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orge/Documents/Data-Classwork /crowdfunding analysis/"/>
    </mc:Choice>
  </mc:AlternateContent>
  <xr:revisionPtr revIDLastSave="0" documentId="8_{23BCD258-4CD0-254B-A269-7FCFEA21146E}" xr6:coauthVersionLast="47" xr6:coauthVersionMax="47" xr10:uidLastSave="{00000000-0000-0000-0000-000000000000}"/>
  <bookViews>
    <workbookView xWindow="100" yWindow="500" windowWidth="27800" windowHeight="14700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Descriptive Statistics" sheetId="8" r:id="rId4"/>
    <sheet name="Edinburgh Research" sheetId="5" r:id="rId5"/>
    <sheet name="Category Statistics" sheetId="2" r:id="rId6"/>
    <sheet name="subcategory statistics" sheetId="3" r:id="rId7"/>
    <sheet name="Outcomes based on launch date " sheetId="4" r:id="rId8"/>
  </sheets>
  <definedNames>
    <definedName name="_xlnm._FilterDatabase" localSheetId="0" hidden="1">Kickstarter!$A$1:$V$4115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2" l="1"/>
  <c r="C13" i="12"/>
  <c r="D12" i="12"/>
  <c r="C12" i="12"/>
  <c r="D11" i="12"/>
  <c r="C11" i="12"/>
  <c r="D10" i="12"/>
  <c r="C10" i="12"/>
  <c r="D9" i="12"/>
  <c r="C9" i="12"/>
  <c r="D8" i="12"/>
  <c r="C8" i="12"/>
  <c r="D7" i="12"/>
  <c r="C7" i="12"/>
  <c r="D6" i="12"/>
  <c r="C6" i="12"/>
  <c r="D5" i="12"/>
  <c r="C5" i="12"/>
  <c r="D4" i="12"/>
  <c r="C4" i="12"/>
  <c r="D3" i="12"/>
  <c r="C3" i="12"/>
  <c r="D2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C13" i="8"/>
  <c r="B13" i="8"/>
  <c r="C12" i="8"/>
  <c r="B12" i="8"/>
  <c r="B5" i="8"/>
  <c r="C11" i="8"/>
  <c r="B11" i="8"/>
  <c r="B4" i="8"/>
  <c r="C7" i="8"/>
  <c r="C6" i="8"/>
  <c r="B6" i="8"/>
  <c r="C5" i="8"/>
  <c r="C4" i="8"/>
  <c r="C10" i="8"/>
  <c r="B10" i="8"/>
  <c r="C9" i="8"/>
  <c r="B9" i="8"/>
  <c r="C3" i="8"/>
  <c r="B3" i="8"/>
  <c r="C2" i="8"/>
  <c r="B2" i="8"/>
  <c r="B4" i="5"/>
  <c r="F3" i="5"/>
  <c r="F4" i="5"/>
  <c r="F5" i="5"/>
  <c r="F6" i="5"/>
  <c r="F2" i="5"/>
  <c r="E4" i="5"/>
  <c r="D3" i="5"/>
  <c r="D4" i="5"/>
  <c r="D5" i="5"/>
  <c r="D6" i="5"/>
  <c r="D2" i="5"/>
  <c r="C3" i="5"/>
  <c r="C4" i="5"/>
  <c r="C5" i="5"/>
  <c r="C6" i="5"/>
  <c r="C2" i="5"/>
  <c r="B3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  <c r="B14" i="8" l="1"/>
  <c r="C14" i="8"/>
  <c r="F11" i="12"/>
  <c r="G5" i="12"/>
  <c r="H5" i="12" s="1"/>
  <c r="F5" i="12"/>
  <c r="E2" i="12"/>
  <c r="F2" i="12" s="1"/>
  <c r="E10" i="12"/>
  <c r="F10" i="12" s="1"/>
  <c r="E6" i="12"/>
  <c r="F6" i="12" s="1"/>
  <c r="E13" i="12"/>
  <c r="F13" i="12" s="1"/>
  <c r="E9" i="12"/>
  <c r="G9" i="12" s="1"/>
  <c r="H9" i="12" s="1"/>
  <c r="E5" i="12"/>
  <c r="E12" i="12"/>
  <c r="G12" i="12" s="1"/>
  <c r="H12" i="12" s="1"/>
  <c r="E8" i="12"/>
  <c r="F8" i="12" s="1"/>
  <c r="E4" i="12"/>
  <c r="G4" i="12" s="1"/>
  <c r="H4" i="12" s="1"/>
  <c r="E11" i="12"/>
  <c r="G11" i="12" s="1"/>
  <c r="H11" i="12" s="1"/>
  <c r="E7" i="12"/>
  <c r="F7" i="12" s="1"/>
  <c r="E3" i="12"/>
  <c r="F3" i="12" s="1"/>
  <c r="V2" i="1"/>
  <c r="U2" i="1"/>
  <c r="B7" i="8"/>
  <c r="G7" i="12" l="1"/>
  <c r="H7" i="12" s="1"/>
  <c r="G10" i="12"/>
  <c r="H10" i="12" s="1"/>
  <c r="G2" i="12"/>
  <c r="H2" i="12" s="1"/>
  <c r="F4" i="12"/>
  <c r="G13" i="12"/>
  <c r="H13" i="12" s="1"/>
  <c r="G8" i="12"/>
  <c r="H8" i="12" s="1"/>
  <c r="G3" i="12"/>
  <c r="H3" i="12" s="1"/>
  <c r="G6" i="12"/>
  <c r="H6" i="12" s="1"/>
  <c r="F9" i="12"/>
  <c r="F12" i="12"/>
</calcChain>
</file>

<file path=xl/sharedStrings.xml><?xml version="1.0" encoding="utf-8"?>
<sst xmlns="http://schemas.openxmlformats.org/spreadsheetml/2006/main" count="33100" uniqueCount="8422">
  <si>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</si>
  <si>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</si>
  <si>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</si>
  <si>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</si>
  <si>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</si>
  <si>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</si>
  <si>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</si>
  <si>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</si>
  <si>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</si>
  <si>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</si>
  <si>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</si>
  <si>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</si>
  <si>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</si>
  <si>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</si>
  <si>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</si>
  <si>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</si>
  <si>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</si>
  <si>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</si>
  <si>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</si>
  <si>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</si>
  <si>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</si>
  <si>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</si>
  <si>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</si>
  <si>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</si>
  <si>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</si>
  <si>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</si>
  <si>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</si>
  <si>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</si>
  <si>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</si>
  <si>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</si>
  <si>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</si>
  <si>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</si>
  <si>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</si>
  <si>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</si>
  <si>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</si>
  <si>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</si>
  <si>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</si>
  <si>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</si>
  <si>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</si>
  <si>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</si>
  <si>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</si>
  <si>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</si>
  <si>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</si>
  <si>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</si>
  <si>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</si>
  <si>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</si>
  <si>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</si>
  <si>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</si>
  <si>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</si>
  <si>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</si>
  <si>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</si>
  <si>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</si>
  <si>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</si>
  <si>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</si>
  <si>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</si>
  <si>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</si>
  <si>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</si>
  <si>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</si>
  <si>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</si>
  <si>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</si>
  <si>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</si>
  <si>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</si>
  <si>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</si>
  <si>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</si>
  <si>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</si>
  <si>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</si>
  <si>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</si>
  <si>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</si>
  <si>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</si>
  <si>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</si>
  <si>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</si>
  <si>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</si>
  <si>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</si>
  <si>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</si>
  <si>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</si>
  <si>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</si>
  <si>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</si>
  <si>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</si>
  <si>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</si>
  <si>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</si>
  <si>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</si>
  <si>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</si>
  <si>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</si>
  <si>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</si>
  <si>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</si>
  <si>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</si>
  <si>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</si>
  <si>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</si>
  <si>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</si>
  <si>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</si>
  <si>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</si>
  <si>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</si>
  <si>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</si>
  <si>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</si>
  <si>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</si>
  <si>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</si>
  <si>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</si>
  <si>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</si>
  <si>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</si>
  <si>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</si>
  <si>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</si>
  <si>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</si>
  <si>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</si>
  <si>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</si>
  <si>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</si>
  <si>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</si>
  <si>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</si>
  <si>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</si>
  <si>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</si>
  <si>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</si>
  <si>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</si>
  <si>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</si>
  <si>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</si>
  <si>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</si>
  <si>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</si>
  <si>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</si>
  <si>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</si>
  <si>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</si>
  <si>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</si>
  <si>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</si>
  <si>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</si>
  <si>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</si>
  <si>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</si>
  <si>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</si>
  <si>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</si>
  <si>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</si>
  <si>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</si>
  <si>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</si>
  <si>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</si>
  <si>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</si>
  <si>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</si>
  <si>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</si>
  <si>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</si>
  <si>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</si>
  <si>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</si>
  <si>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</si>
  <si>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</si>
  <si>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</si>
  <si>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</si>
  <si>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</si>
  <si>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</si>
  <si>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</si>
  <si>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</si>
  <si>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</si>
  <si>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</si>
  <si>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</si>
  <si>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</si>
  <si>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</si>
  <si>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</si>
  <si>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</si>
  <si>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</si>
  <si>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</si>
  <si>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</si>
  <si>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</si>
  <si>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</si>
  <si>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</si>
  <si>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</si>
  <si>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</si>
  <si>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</si>
  <si>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</si>
  <si>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</si>
  <si>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</si>
  <si>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</si>
  <si>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</si>
  <si>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</si>
  <si>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</si>
  <si>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</si>
  <si>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</si>
  <si>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</si>
  <si>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</si>
  <si>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</si>
  <si>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</si>
  <si>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</si>
  <si>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</si>
  <si>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</si>
  <si>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</si>
  <si>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</si>
  <si>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</si>
  <si>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</si>
  <si>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</si>
  <si>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</si>
  <si>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</si>
  <si>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</si>
  <si>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</si>
  <si>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</si>
  <si>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</si>
  <si>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</si>
  <si>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</si>
  <si>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</si>
  <si>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</si>
  <si>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</si>
  <si>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</si>
  <si>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</si>
  <si>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</si>
  <si>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</si>
  <si>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</si>
  <si>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</si>
  <si>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</si>
  <si>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</si>
  <si>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</si>
  <si>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</si>
  <si>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</si>
  <si>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</si>
  <si>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</si>
  <si>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</si>
  <si>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</si>
  <si>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</si>
  <si>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</si>
  <si>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</si>
  <si>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</si>
  <si>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</si>
  <si>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</si>
  <si>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</si>
  <si>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</si>
  <si>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</si>
  <si>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</si>
  <si>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</si>
  <si>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</si>
  <si>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</si>
  <si>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</si>
  <si>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</si>
  <si>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</si>
  <si>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</si>
  <si>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</si>
  <si>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</si>
  <si>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</si>
  <si>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</si>
  <si>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</si>
  <si>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</si>
  <si>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</si>
  <si>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</si>
  <si>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</si>
  <si>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</si>
  <si>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</si>
  <si>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</si>
  <si>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</si>
  <si>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</si>
  <si>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</si>
  <si>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</si>
  <si>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</si>
  <si>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</si>
  <si>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</si>
  <si>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</si>
  <si>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</si>
  <si>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</si>
  <si>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</si>
  <si>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</si>
  <si>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</si>
  <si>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</si>
  <si>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</si>
  <si>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</si>
  <si>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</si>
  <si>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</si>
  <si>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</si>
  <si>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</si>
  <si>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</si>
  <si>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</si>
  <si>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</si>
  <si>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</si>
  <si>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</si>
  <si>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</si>
  <si>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</si>
  <si>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</si>
  <si>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</si>
  <si>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</si>
  <si>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</si>
  <si>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</si>
  <si>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</si>
  <si>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</si>
  <si>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</si>
  <si>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</si>
  <si>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</si>
  <si>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</si>
  <si>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</si>
  <si>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</si>
  <si>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</si>
  <si>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</si>
  <si>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</si>
  <si>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</si>
  <si>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</si>
  <si>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</si>
  <si>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</si>
  <si>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</si>
  <si>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</si>
  <si>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</si>
  <si>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</si>
  <si>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</si>
  <si>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</si>
  <si>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</si>
  <si>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</si>
  <si>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</si>
  <si>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</si>
  <si>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</si>
  <si>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</si>
  <si>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</si>
  <si>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</si>
  <si>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</si>
  <si>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</si>
  <si>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</si>
  <si>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</si>
  <si>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</si>
  <si>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</si>
  <si>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</si>
  <si>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</si>
  <si>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</si>
  <si>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</si>
  <si>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</si>
  <si>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</si>
  <si>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</si>
  <si>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</si>
  <si>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</si>
  <si>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</si>
  <si>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</si>
  <si>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</si>
  <si>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</si>
  <si>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</si>
  <si>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</si>
  <si>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</si>
  <si>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</si>
  <si>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</si>
  <si>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</si>
  <si>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</si>
  <si>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</si>
  <si>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</si>
  <si>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</si>
  <si>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</si>
  <si>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</si>
  <si>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</si>
  <si>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</si>
  <si>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</si>
  <si>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</si>
  <si>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</si>
  <si>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</si>
  <si>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</si>
  <si>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</si>
  <si>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</si>
  <si>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</si>
  <si>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</si>
  <si>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</si>
  <si>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</si>
  <si>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</si>
  <si>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</si>
  <si>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</si>
  <si>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</si>
  <si>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</si>
  <si>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</si>
  <si>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</si>
  <si>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</si>
  <si>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</si>
  <si>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</si>
  <si>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</si>
  <si>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</si>
  <si>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</si>
  <si>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</si>
  <si>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</si>
  <si>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</si>
  <si>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</si>
  <si>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</si>
  <si>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</si>
  <si>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</si>
  <si>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</si>
  <si>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</si>
  <si>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</si>
  <si>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</si>
  <si>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</si>
  <si>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</si>
  <si>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</si>
  <si>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</si>
  <si>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</si>
  <si>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</si>
  <si>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</si>
  <si>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</si>
  <si>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</si>
  <si>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</si>
  <si>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</si>
  <si>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</si>
  <si>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</si>
  <si>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</si>
  <si>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</si>
  <si>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</si>
  <si>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</si>
  <si>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</si>
  <si>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</si>
  <si>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</si>
  <si>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</si>
  <si>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</si>
  <si>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</si>
  <si>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</si>
  <si>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</si>
  <si>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</si>
  <si>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</si>
  <si>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</si>
  <si>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</si>
  <si>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</si>
  <si>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</si>
  <si>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</si>
  <si>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</si>
  <si>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</si>
  <si>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</si>
  <si>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</si>
  <si>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</si>
  <si>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</si>
  <si>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</si>
  <si>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</si>
  <si>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</si>
  <si>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</si>
  <si>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</si>
  <si>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</si>
  <si>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</si>
  <si>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</si>
  <si>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</si>
  <si>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</si>
  <si>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</si>
  <si>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</si>
  <si>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</si>
  <si>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</si>
  <si>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</si>
  <si>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</si>
  <si>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</si>
  <si>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</si>
  <si>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</si>
  <si>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</si>
  <si>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</si>
  <si>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</si>
  <si>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</si>
  <si>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</si>
  <si>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</si>
  <si>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</si>
  <si>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</si>
  <si>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</si>
  <si>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</si>
  <si>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</si>
  <si>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</si>
  <si>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</si>
  <si>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</si>
  <si>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</si>
  <si>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</si>
  <si>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</si>
  <si>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</si>
  <si>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</si>
  <si>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</si>
  <si>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</si>
  <si>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</si>
  <si>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</si>
  <si>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</si>
  <si>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</si>
  <si>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</si>
  <si>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</si>
  <si>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</si>
  <si>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</si>
  <si>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</si>
  <si>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</si>
  <si>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</si>
  <si>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</si>
  <si>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</si>
  <si>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</si>
  <si>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</si>
  <si>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</si>
  <si>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</si>
  <si>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</si>
  <si>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</si>
  <si>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</si>
  <si>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</si>
  <si>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</si>
  <si>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</si>
  <si>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</si>
  <si>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</si>
  <si>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</si>
  <si>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</si>
  <si>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</si>
  <si>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</si>
  <si>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</si>
  <si>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</si>
  <si>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</si>
  <si>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</si>
  <si>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</si>
  <si>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</si>
  <si>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</si>
  <si>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</si>
  <si>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</si>
  <si>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</si>
  <si>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</si>
  <si>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</si>
  <si>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</si>
  <si>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</si>
  <si>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</si>
  <si>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</si>
  <si>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</si>
  <si>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</si>
  <si>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</si>
  <si>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</si>
  <si>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</si>
  <si>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</si>
  <si>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</si>
  <si>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</si>
  <si>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</si>
  <si>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</si>
  <si>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</si>
  <si>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</si>
  <si>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</si>
  <si>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</si>
  <si>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</si>
  <si>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</si>
  <si>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</si>
  <si>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</si>
  <si>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</si>
  <si>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</si>
  <si>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</si>
  <si>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</si>
  <si>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</si>
  <si>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</si>
  <si>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</si>
  <si>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</si>
  <si>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</si>
  <si>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</si>
  <si>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</si>
  <si>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</si>
  <si>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</si>
  <si>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</si>
  <si>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</si>
  <si>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</si>
  <si>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</si>
  <si>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</si>
  <si>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</si>
  <si>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</si>
  <si>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</si>
  <si>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</si>
  <si>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</si>
  <si>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</si>
  <si>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</si>
  <si>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</si>
  <si>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</si>
  <si>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</si>
  <si>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</si>
  <si>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</si>
  <si>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</si>
  <si>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</si>
  <si>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</si>
  <si>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</si>
  <si>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</si>
  <si>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</si>
  <si>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</si>
  <si>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</si>
  <si>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</si>
  <si>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</si>
  <si>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</si>
  <si>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</si>
  <si>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</si>
  <si>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</si>
  <si>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</si>
  <si>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</si>
  <si>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</si>
  <si>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</si>
  <si>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</si>
  <si>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</si>
  <si>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</si>
  <si>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</si>
  <si>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</si>
  <si>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</si>
  <si>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</si>
  <si>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</si>
  <si>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</si>
  <si>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</si>
  <si>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</si>
  <si>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</si>
  <si>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</si>
  <si>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</si>
  <si>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</si>
  <si>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</si>
  <si>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</si>
  <si>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</si>
  <si>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</si>
  <si>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</si>
  <si>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</si>
  <si>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</si>
  <si>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</si>
  <si>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</si>
  <si>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</si>
  <si>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</si>
  <si>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</si>
  <si>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</si>
  <si>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</si>
  <si>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</si>
  <si>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</si>
  <si>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</si>
  <si>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</si>
  <si>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</si>
  <si>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</si>
  <si>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</si>
  <si>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</si>
  <si>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</si>
  <si>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</si>
  <si>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</si>
  <si>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</si>
  <si>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</si>
  <si>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</si>
  <si>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</si>
  <si>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</si>
  <si>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</si>
  <si>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</si>
  <si>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</si>
  <si>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</si>
  <si>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</si>
  <si>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</si>
  <si>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</si>
  <si>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</si>
  <si>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</si>
  <si>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</si>
  <si>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</si>
  <si>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</si>
  <si>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</si>
  <si>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</si>
  <si>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</si>
  <si>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</si>
  <si>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</si>
  <si>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</si>
  <si>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</si>
  <si>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</si>
  <si>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</si>
  <si>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</si>
  <si>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</si>
  <si>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</si>
  <si>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</si>
  <si>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</si>
  <si>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</si>
  <si>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</si>
  <si>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</si>
  <si>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</si>
  <si>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</si>
  <si>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</si>
  <si>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</si>
  <si>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</si>
  <si>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</si>
  <si>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</si>
  <si>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</si>
  <si>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</si>
  <si>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</si>
  <si>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</si>
  <si>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</si>
  <si>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</si>
  <si>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</si>
  <si>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</si>
  <si>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</si>
  <si>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</si>
  <si>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</si>
  <si>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</si>
  <si>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</si>
  <si>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</si>
  <si>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</si>
  <si>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</si>
  <si>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</si>
  <si>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</si>
  <si>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</si>
  <si>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</si>
  <si>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</si>
  <si>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</si>
  <si>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</si>
  <si>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</si>
  <si>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</si>
  <si>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</si>
  <si>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</si>
  <si>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</si>
  <si>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</si>
  <si>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</si>
  <si>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</si>
  <si>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</si>
  <si>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</si>
  <si>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</si>
  <si>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</si>
  <si>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</si>
  <si>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</si>
  <si>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</si>
  <si>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</si>
  <si>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</si>
  <si>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</si>
  <si>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</si>
  <si>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</si>
  <si>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</si>
  <si>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</si>
  <si>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</si>
  <si>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</si>
  <si>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</si>
  <si>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</si>
  <si>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</si>
  <si>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</si>
  <si>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</si>
  <si>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</si>
  <si>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</si>
  <si>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</si>
  <si>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</si>
  <si>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</si>
  <si>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</si>
  <si>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</si>
  <si>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</si>
  <si>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</si>
  <si>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</si>
  <si>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</si>
  <si>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</si>
  <si>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</si>
  <si>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</si>
  <si>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</si>
  <si>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</si>
  <si>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</si>
  <si>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</si>
  <si>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</si>
  <si>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</si>
  <si>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</si>
  <si>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</si>
  <si>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</si>
  <si>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</si>
  <si>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</si>
  <si>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</si>
  <si>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</si>
  <si>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</si>
  <si>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</si>
  <si>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</si>
  <si>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</si>
  <si>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</si>
  <si>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</si>
  <si>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</si>
  <si>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</si>
  <si>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</si>
  <si>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</si>
  <si>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</si>
  <si>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</si>
  <si>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</si>
  <si>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</si>
  <si>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</si>
  <si>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</si>
  <si>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</si>
  <si>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</si>
  <si>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</si>
  <si>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</si>
  <si>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</si>
  <si>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</si>
  <si>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</si>
  <si>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</si>
  <si>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</si>
  <si>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</si>
  <si>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</si>
  <si>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</si>
  <si>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</si>
  <si>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</si>
  <si>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</si>
  <si>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</si>
  <si>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</si>
  <si>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</si>
  <si>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</si>
  <si>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</si>
  <si>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</si>
  <si>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</si>
  <si>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</si>
  <si>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</si>
  <si>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</si>
  <si>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</si>
  <si>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</si>
  <si>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</si>
  <si>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</si>
  <si>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</si>
  <si>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</si>
  <si>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</si>
  <si>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</si>
  <si>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</si>
  <si>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</si>
  <si>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</si>
  <si>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</si>
  <si>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</si>
  <si>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</si>
  <si>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</si>
  <si>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</si>
  <si>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</si>
  <si>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</si>
  <si>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</si>
  <si>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</si>
  <si>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</si>
  <si>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</si>
  <si>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</si>
  <si>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</si>
  <si>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</si>
  <si>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</si>
  <si>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</si>
  <si>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</si>
  <si>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</si>
  <si>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</si>
  <si>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</si>
  <si>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</si>
  <si>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</si>
  <si>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</si>
  <si>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</si>
  <si>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</si>
  <si>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</si>
  <si>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</si>
  <si>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</si>
  <si>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</si>
  <si>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</si>
  <si>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</si>
  <si>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</si>
  <si>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</si>
  <si>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</si>
  <si>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</si>
  <si>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</si>
  <si>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</si>
  <si>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</si>
  <si>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</si>
  <si>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</si>
  <si>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</si>
  <si>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</si>
  <si>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</si>
  <si>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</si>
  <si>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</si>
  <si>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</si>
  <si>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</si>
  <si>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</si>
  <si>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</si>
  <si>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</si>
  <si>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</si>
  <si>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</si>
  <si>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</si>
  <si>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</si>
  <si>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</si>
  <si>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</si>
  <si>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</si>
  <si>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</si>
  <si>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</si>
  <si>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</si>
  <si>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</si>
  <si>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</si>
  <si>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</si>
  <si>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</si>
  <si>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</si>
  <si>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</si>
  <si>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</si>
  <si>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</si>
  <si>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</si>
  <si>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</si>
  <si>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</si>
  <si>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</si>
  <si>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</si>
  <si>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</si>
  <si>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</si>
  <si>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</si>
  <si>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</si>
  <si>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</si>
  <si>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</si>
  <si>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</si>
  <si>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</si>
  <si>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</si>
  <si>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</si>
  <si>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</si>
  <si>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</si>
  <si>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</si>
  <si>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</si>
  <si>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</si>
  <si>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</si>
  <si>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</si>
  <si>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</si>
  <si>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</si>
  <si>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</si>
  <si>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</si>
  <si>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</si>
  <si>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</si>
  <si>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</si>
  <si>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</si>
  <si>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</si>
  <si>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</si>
  <si>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</si>
  <si>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</si>
  <si>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</si>
  <si>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</si>
  <si>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</si>
  <si>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</si>
  <si>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</si>
  <si>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</si>
  <si>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</si>
  <si>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</si>
  <si>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</si>
  <si>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</si>
  <si>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</si>
  <si>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</si>
  <si>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</si>
  <si>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</si>
  <si>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</si>
  <si>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</si>
  <si>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</si>
  <si>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</si>
  <si>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</si>
  <si>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</si>
  <si>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</si>
  <si>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</si>
  <si>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</si>
  <si>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</si>
  <si>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</si>
  <si>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</si>
  <si>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</si>
  <si>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</si>
  <si>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</si>
  <si>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</si>
  <si>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</si>
  <si>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</si>
  <si>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</si>
  <si>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</si>
  <si>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</si>
  <si>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</si>
  <si>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</si>
  <si>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</si>
  <si>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</si>
  <si>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</si>
  <si>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</si>
  <si>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</si>
  <si>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</si>
  <si>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</si>
  <si>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</si>
  <si>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</si>
  <si>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</si>
  <si>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</si>
  <si>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</si>
  <si>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</si>
  <si>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</si>
  <si>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</si>
  <si>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</si>
  <si>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</si>
  <si>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</si>
  <si>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</si>
  <si>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</si>
  <si>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</si>
  <si>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</si>
  <si>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</si>
  <si>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</si>
  <si>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</si>
  <si>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</si>
  <si>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</si>
  <si>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</si>
  <si>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</si>
  <si>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</si>
  <si>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</si>
  <si>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</si>
  <si>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</si>
  <si>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</si>
  <si>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</si>
  <si>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</si>
  <si>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</si>
  <si>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</si>
  <si>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</si>
  <si>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</si>
  <si>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</si>
  <si>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</si>
  <si>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</si>
  <si>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</si>
  <si>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</si>
  <si>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</si>
  <si>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</si>
  <si>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</si>
  <si>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</si>
  <si>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</si>
  <si>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</si>
  <si>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</si>
  <si>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</si>
  <si>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</si>
  <si>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</si>
  <si>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</si>
  <si>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</si>
  <si>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</si>
  <si>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</si>
  <si>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</si>
  <si>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</si>
  <si>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</si>
  <si>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</si>
  <si>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</si>
  <si>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</si>
  <si>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</si>
  <si>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</si>
  <si>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</si>
  <si>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</si>
  <si>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</si>
  <si>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</si>
  <si>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</si>
  <si>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</si>
  <si>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</si>
  <si>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</si>
  <si>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</si>
  <si>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</si>
  <si>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</si>
  <si>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</si>
  <si>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</si>
  <si>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</si>
  <si>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</si>
  <si>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</si>
  <si>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</si>
  <si>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</si>
  <si>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</si>
  <si>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</si>
  <si>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</si>
  <si>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</si>
  <si>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</si>
  <si>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</si>
  <si>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</si>
  <si>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</si>
  <si>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</si>
  <si>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</si>
  <si>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</si>
  <si>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</si>
  <si>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</si>
  <si>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</si>
  <si>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</si>
  <si>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</si>
  <si>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</si>
  <si>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</si>
  <si>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</si>
  <si>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</si>
  <si>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</si>
  <si>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</si>
  <si>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</si>
  <si>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</si>
  <si>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</si>
  <si>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</si>
  <si>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</si>
  <si>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</si>
  <si>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</si>
  <si>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</si>
  <si>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</si>
  <si>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</si>
  <si>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</si>
  <si>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</si>
  <si>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</si>
  <si>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</si>
  <si>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</si>
  <si>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</si>
  <si>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</si>
  <si>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</si>
  <si>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</si>
  <si>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</si>
  <si>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</si>
  <si>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</si>
  <si>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</si>
  <si>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</si>
  <si>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</si>
  <si>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</si>
  <si>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</si>
  <si>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</si>
  <si>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</si>
  <si>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</si>
  <si>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</si>
  <si>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</si>
  <si>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</si>
  <si>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</si>
  <si>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</si>
  <si>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</si>
  <si>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</si>
  <si>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</si>
  <si>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</si>
  <si>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</si>
  <si>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</si>
  <si>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</si>
  <si>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</si>
  <si>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</si>
  <si>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</si>
  <si>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</si>
  <si>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</si>
  <si>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</si>
  <si>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</si>
  <si>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</si>
  <si>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</si>
  <si>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</si>
  <si>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</si>
  <si>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</si>
  <si>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</si>
  <si>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</si>
  <si>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</si>
  <si>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</si>
  <si>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</si>
  <si>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</si>
  <si>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</si>
  <si>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</si>
  <si>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</si>
  <si>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</si>
  <si>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</si>
  <si>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</si>
  <si>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</si>
  <si>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</si>
  <si>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</si>
  <si>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</si>
  <si>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</si>
  <si>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</si>
  <si>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</si>
  <si>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</si>
  <si>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</si>
  <si>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</si>
  <si>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</si>
  <si>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</si>
  <si>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</si>
  <si>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</si>
  <si>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</si>
  <si>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</si>
  <si>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</si>
  <si>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</si>
  <si>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</si>
  <si>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</si>
  <si>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</si>
  <si>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</si>
  <si>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</si>
  <si>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</si>
  <si>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</si>
  <si>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</si>
  <si>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</si>
  <si>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</si>
  <si>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</si>
  <si>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</si>
  <si>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</si>
  <si>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</si>
  <si>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</si>
  <si>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</si>
  <si>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</si>
  <si>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</si>
  <si>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</si>
  <si>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</si>
  <si>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</si>
  <si>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</si>
  <si>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</si>
  <si>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</si>
  <si>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</si>
  <si>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</si>
  <si>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</si>
  <si>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</si>
  <si>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</si>
  <si>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</si>
  <si>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</si>
  <si>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</si>
  <si>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</si>
  <si>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</si>
  <si>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</si>
  <si>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</si>
  <si>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</si>
  <si>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</si>
  <si>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</si>
  <si>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</si>
  <si>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</si>
  <si>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</si>
  <si>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</si>
  <si>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</si>
  <si>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</si>
  <si>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</si>
  <si>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</si>
  <si>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</si>
  <si>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</si>
  <si>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</si>
  <si>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</si>
  <si>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</si>
  <si>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</si>
  <si>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</si>
  <si>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</si>
  <si>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</si>
  <si>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</si>
  <si>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</si>
  <si>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</si>
  <si>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</si>
  <si>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</si>
  <si>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</si>
  <si>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</si>
  <si>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</si>
  <si>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</si>
  <si>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</si>
  <si>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</si>
  <si>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</si>
  <si>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</si>
  <si>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</si>
  <si>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</si>
  <si>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</si>
  <si>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</si>
  <si>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</si>
  <si>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</si>
  <si>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</si>
  <si>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</si>
  <si>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</si>
  <si>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</si>
  <si>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</si>
  <si>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</si>
  <si>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</si>
  <si>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</si>
  <si>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</si>
  <si>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</si>
  <si>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</si>
  <si>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</si>
  <si>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</si>
  <si>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</si>
  <si>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</si>
  <si>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</si>
  <si>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</si>
  <si>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</si>
  <si>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</si>
  <si>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</si>
  <si>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</si>
  <si>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</si>
  <si>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</si>
  <si>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</si>
  <si>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</si>
  <si>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</si>
  <si>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</si>
  <si>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</si>
  <si>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</si>
  <si>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</si>
  <si>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</si>
  <si>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</si>
  <si>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</si>
  <si>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</si>
  <si>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</si>
  <si>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</si>
  <si>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</si>
  <si>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</si>
  <si>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</si>
  <si>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</si>
  <si>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</si>
  <si>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</si>
  <si>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</si>
  <si>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</si>
  <si>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</si>
  <si>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</si>
  <si>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</si>
  <si>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</si>
  <si>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</si>
  <si>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</si>
  <si>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</si>
  <si>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</si>
  <si>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</si>
  <si>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</si>
  <si>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</si>
  <si>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</si>
  <si>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</si>
  <si>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</si>
  <si>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</si>
  <si>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</si>
  <si>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</si>
  <si>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</si>
  <si>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</si>
  <si>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</si>
  <si>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</si>
  <si>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</si>
  <si>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</si>
  <si>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</si>
  <si>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</si>
  <si>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</si>
  <si>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</si>
  <si>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</si>
  <si>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</si>
  <si>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</si>
  <si>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</si>
  <si>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</si>
  <si>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</si>
  <si>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</si>
  <si>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</si>
  <si>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</si>
  <si>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</si>
  <si>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</si>
  <si>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</si>
  <si>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</si>
  <si>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</si>
  <si>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</si>
  <si>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</si>
  <si>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</si>
  <si>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</si>
  <si>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</si>
  <si>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</si>
  <si>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</si>
  <si>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</si>
  <si>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</si>
  <si>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</si>
  <si>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</si>
  <si>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</si>
  <si>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</si>
  <si>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</si>
  <si>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</si>
  <si>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</si>
  <si>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</si>
  <si>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</si>
  <si>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</si>
  <si>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</si>
  <si>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</si>
  <si>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</si>
  <si>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</si>
  <si>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</si>
  <si>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</si>
  <si>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</si>
  <si>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</si>
  <si>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</si>
  <si>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</si>
  <si>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</si>
  <si>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</si>
  <si>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</si>
  <si>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</si>
  <si>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</si>
  <si>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</si>
  <si>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</si>
  <si>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</si>
  <si>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</si>
  <si>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</si>
  <si>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</si>
  <si>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</si>
  <si>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</si>
  <si>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</si>
  <si>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</si>
  <si>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</si>
  <si>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</si>
  <si>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</si>
  <si>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</si>
  <si>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</si>
  <si>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</si>
  <si>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</si>
  <si>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</si>
  <si>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</si>
  <si>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</si>
  <si>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</si>
  <si>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</si>
  <si>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</si>
  <si>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</si>
  <si>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</si>
  <si>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</si>
  <si>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</si>
  <si>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</si>
  <si>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</si>
  <si>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</si>
  <si>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</si>
  <si>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</si>
  <si>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</si>
  <si>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</si>
  <si>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</si>
  <si>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</si>
  <si>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</si>
  <si>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</si>
  <si>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</si>
  <si>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</si>
  <si>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</si>
  <si>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</si>
  <si>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</si>
  <si>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</si>
  <si>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</si>
  <si>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</si>
  <si>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</si>
  <si>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</si>
  <si>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</si>
  <si>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</si>
  <si>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</si>
  <si>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</si>
  <si>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</si>
  <si>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</si>
  <si>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</si>
  <si>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</si>
  <si>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</si>
  <si>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</si>
  <si>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</si>
  <si>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</si>
  <si>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</si>
  <si>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</si>
  <si>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</si>
  <si>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</si>
  <si>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</si>
  <si>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</si>
  <si>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</si>
  <si>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</si>
  <si>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</si>
  <si>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</si>
  <si>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</si>
  <si>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</si>
  <si>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</si>
  <si>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</si>
  <si>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</si>
  <si>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</si>
  <si>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</si>
  <si>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</si>
  <si>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</si>
  <si>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</si>
  <si>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</si>
  <si>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</si>
  <si>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</si>
  <si>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</si>
  <si>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</si>
  <si>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</si>
  <si>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</si>
  <si>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</si>
  <si>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</si>
  <si>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</si>
  <si>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</si>
  <si>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</si>
  <si>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</si>
  <si>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</si>
  <si>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</si>
  <si>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</si>
  <si>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</si>
  <si>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</si>
  <si>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</si>
  <si>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</si>
  <si>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</si>
  <si>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</si>
  <si>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</si>
  <si>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</si>
  <si>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</si>
  <si>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</si>
  <si>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</si>
  <si>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</si>
  <si>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</si>
  <si>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</si>
  <si>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</si>
  <si>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</si>
  <si>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</si>
  <si>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</si>
  <si>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</si>
  <si>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</si>
  <si>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</si>
  <si>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</si>
  <si>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</si>
  <si>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</si>
  <si>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</si>
  <si>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</si>
  <si>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</si>
  <si>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</si>
  <si>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</si>
  <si>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</si>
  <si>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</si>
  <si>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</si>
  <si>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</si>
  <si>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</si>
  <si>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</si>
  <si>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</si>
  <si>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</si>
  <si>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</si>
  <si>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</si>
  <si>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</si>
  <si>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</si>
  <si>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</si>
  <si>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</si>
  <si>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</si>
  <si>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</si>
  <si>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</si>
  <si>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</si>
  <si>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</si>
  <si>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</si>
  <si>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</si>
  <si>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</si>
  <si>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</si>
  <si>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</si>
  <si>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</si>
  <si>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</si>
  <si>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</si>
  <si>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</si>
  <si>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</si>
  <si>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</si>
  <si>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</si>
  <si>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</si>
  <si>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</si>
  <si>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</si>
  <si>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</si>
  <si>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</si>
  <si>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</si>
  <si>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</si>
  <si>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</si>
  <si>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</si>
  <si>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</si>
  <si>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</si>
  <si>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</si>
  <si>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</si>
  <si>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</si>
  <si>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</si>
  <si>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</si>
  <si>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</si>
  <si>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</si>
  <si>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</si>
  <si>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</si>
  <si>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</si>
  <si>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</si>
  <si>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</si>
  <si>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</si>
  <si>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</si>
  <si>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</si>
  <si>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</si>
  <si>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</si>
  <si>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</si>
  <si>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</si>
  <si>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</si>
  <si>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</si>
  <si>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</si>
  <si>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</si>
  <si>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</si>
  <si>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</si>
  <si>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</si>
  <si>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</si>
  <si>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</si>
  <si>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</si>
  <si>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</si>
  <si>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</si>
  <si>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</si>
  <si>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</si>
  <si>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</si>
  <si>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</si>
  <si>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</si>
  <si>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</si>
  <si>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</si>
  <si>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</si>
  <si>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</si>
  <si>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</si>
  <si>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</si>
  <si>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</si>
  <si>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</si>
  <si>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</si>
  <si>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</si>
  <si>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</si>
  <si>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</si>
  <si>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</si>
  <si>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</si>
  <si>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</si>
  <si>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</si>
  <si>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</si>
  <si>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</si>
  <si>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</si>
  <si>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</si>
  <si>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</si>
  <si>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</si>
  <si>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</si>
  <si>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</si>
  <si>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</si>
  <si>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</si>
  <si>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</si>
  <si>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</si>
  <si>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</si>
  <si>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</si>
  <si>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</si>
  <si>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</si>
  <si>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</si>
  <si>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</si>
  <si>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</si>
  <si>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</si>
  <si>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</si>
  <si>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</si>
  <si>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</si>
  <si>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</si>
  <si>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</si>
  <si>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</si>
  <si>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</si>
  <si>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</si>
  <si>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</si>
  <si>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</si>
  <si>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</si>
  <si>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</si>
  <si>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</si>
  <si>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</si>
  <si>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</si>
  <si>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</si>
  <si>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</si>
  <si>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</si>
  <si>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</si>
  <si>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</si>
  <si>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</si>
  <si>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</si>
  <si>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</si>
  <si>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</si>
  <si>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</si>
  <si>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</si>
  <si>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</si>
  <si>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</si>
  <si>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</si>
  <si>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</si>
  <si>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</si>
  <si>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</si>
  <si>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</si>
  <si>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</si>
  <si>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</si>
  <si>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</si>
  <si>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</si>
  <si>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</si>
  <si>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</si>
  <si>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</si>
  <si>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</si>
  <si>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</si>
  <si>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</si>
  <si>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</si>
  <si>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</si>
  <si>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</si>
  <si>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</si>
  <si>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</si>
  <si>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</si>
  <si>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</si>
  <si>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</si>
  <si>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</si>
  <si>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</si>
  <si>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</si>
  <si>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</si>
  <si>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</si>
  <si>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</si>
  <si>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</si>
  <si>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</si>
  <si>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</si>
  <si>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</si>
  <si>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</si>
  <si>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</si>
  <si>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</si>
  <si>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</si>
  <si>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</si>
  <si>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</si>
  <si>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</si>
  <si>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</si>
  <si>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</si>
  <si>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</si>
  <si>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</si>
  <si>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</si>
  <si>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</si>
  <si>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</si>
  <si>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</si>
  <si>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</si>
  <si>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</si>
  <si>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</si>
  <si>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</si>
  <si>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</si>
  <si>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</si>
  <si>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</si>
  <si>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</si>
  <si>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</si>
  <si>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</si>
  <si>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</si>
  <si>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</si>
  <si>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</si>
  <si>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</si>
  <si>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</si>
  <si>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</si>
  <si>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</si>
  <si>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</si>
  <si>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</si>
  <si>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</si>
  <si>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</si>
  <si>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</si>
  <si>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</si>
  <si>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</si>
  <si>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</si>
  <si>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</si>
  <si>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</si>
  <si>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</si>
  <si>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</si>
  <si>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</si>
  <si>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</si>
  <si>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</si>
  <si>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</si>
  <si>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</si>
  <si>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</si>
  <si>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</si>
  <si>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</si>
  <si>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</si>
  <si>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</si>
  <si>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</si>
  <si>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</si>
  <si>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</si>
  <si>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</si>
  <si>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</si>
  <si>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</si>
  <si>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</si>
  <si>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</si>
  <si>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</si>
  <si>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</si>
  <si>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</si>
  <si>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</si>
  <si>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</si>
  <si>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</si>
  <si>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</si>
  <si>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</si>
  <si>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</si>
  <si>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</si>
  <si>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</si>
  <si>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</si>
  <si>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</si>
  <si>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</si>
  <si>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</si>
  <si>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</si>
  <si>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</si>
  <si>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</si>
  <si>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</si>
  <si>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</si>
  <si>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</si>
  <si>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</si>
  <si>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</si>
  <si>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</si>
  <si>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</si>
  <si>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</si>
  <si>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</si>
  <si>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</si>
  <si>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</si>
  <si>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</si>
  <si>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</si>
  <si>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</si>
  <si>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</si>
  <si>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</si>
  <si>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</si>
  <si>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</si>
  <si>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</si>
  <si>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</si>
  <si>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</si>
  <si>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</si>
  <si>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</si>
  <si>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</si>
  <si>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</si>
  <si>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</si>
  <si>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</si>
  <si>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</si>
  <si>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</si>
  <si>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</si>
  <si>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</si>
  <si>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</si>
  <si>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</si>
  <si>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</si>
  <si>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</si>
  <si>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</si>
  <si>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</si>
  <si>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</si>
  <si>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</si>
  <si>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</si>
  <si>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</si>
  <si>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</si>
  <si>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</si>
  <si>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</si>
  <si>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</si>
  <si>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</si>
  <si>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</si>
  <si>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</si>
  <si>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</si>
  <si>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</si>
  <si>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</si>
  <si>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</si>
  <si>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</si>
  <si>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</si>
  <si>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</si>
  <si>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</si>
  <si>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</si>
  <si>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</si>
  <si>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</si>
  <si>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</si>
  <si>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</si>
  <si>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</si>
  <si>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</si>
  <si>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</si>
  <si>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</si>
  <si>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</si>
  <si>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</si>
  <si>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</si>
  <si>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</si>
  <si>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</si>
  <si>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</si>
  <si>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</si>
  <si>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</si>
  <si>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</si>
  <si>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</si>
  <si>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</si>
  <si>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</si>
  <si>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</si>
  <si>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</si>
  <si>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</si>
  <si>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</si>
  <si>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</si>
  <si>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</si>
  <si>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</si>
  <si>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</si>
  <si>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</si>
  <si>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</si>
  <si>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</si>
  <si>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</si>
  <si>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</si>
  <si>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</si>
  <si>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</si>
  <si>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</si>
  <si>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</si>
  <si>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</si>
  <si>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</si>
  <si>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</si>
  <si>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</si>
  <si>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</si>
  <si>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</si>
  <si>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</si>
  <si>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</si>
  <si>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</si>
  <si>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</si>
  <si>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</si>
  <si>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</si>
  <si>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</si>
  <si>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</si>
  <si>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</si>
  <si>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</si>
  <si>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</si>
  <si>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</si>
  <si>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</si>
  <si>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</si>
  <si>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</si>
  <si>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</si>
  <si>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</si>
  <si>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</si>
  <si>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</si>
  <si>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</si>
  <si>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</si>
  <si>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</si>
  <si>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</si>
  <si>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</si>
  <si>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</si>
  <si>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</si>
  <si>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</si>
  <si>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</si>
  <si>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</si>
  <si>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</si>
  <si>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</si>
  <si>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</si>
  <si>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</si>
  <si>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</si>
  <si>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</si>
  <si>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</si>
  <si>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</si>
  <si>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</si>
  <si>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</si>
  <si>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</si>
  <si>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</si>
  <si>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</si>
  <si>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</si>
  <si>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</si>
  <si>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</si>
  <si>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</si>
  <si>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</si>
  <si>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</si>
  <si>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</si>
  <si>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</si>
  <si>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</si>
  <si>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</si>
  <si>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</si>
  <si>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</si>
  <si>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</si>
  <si>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</si>
  <si>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</si>
  <si>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</si>
  <si>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</si>
  <si>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</si>
  <si>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</si>
  <si>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</si>
  <si>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</si>
  <si>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</si>
  <si>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</si>
  <si>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</si>
  <si>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</si>
  <si>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</si>
  <si>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</si>
  <si>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</si>
  <si>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</si>
  <si>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</si>
  <si>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</si>
  <si>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</si>
  <si>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</si>
  <si>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</si>
  <si>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</si>
  <si>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</si>
  <si>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</si>
  <si>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</si>
  <si>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</si>
  <si>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</si>
  <si>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</si>
  <si>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</si>
  <si>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</si>
  <si>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</si>
  <si>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</si>
  <si>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</si>
  <si>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</si>
  <si>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</si>
  <si>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</si>
  <si>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</si>
  <si>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</si>
  <si>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</si>
  <si>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</si>
  <si>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</si>
  <si>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</si>
  <si>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</si>
  <si>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</si>
  <si>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</si>
  <si>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</si>
  <si>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</si>
  <si>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</si>
  <si>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</si>
  <si>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</si>
  <si>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</si>
  <si>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</si>
  <si>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</si>
  <si>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</si>
  <si>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</si>
  <si>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</si>
  <si>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</si>
  <si>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</si>
  <si>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</si>
  <si>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</si>
  <si>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</si>
  <si>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</si>
  <si>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</si>
  <si>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</si>
  <si>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</si>
  <si>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</si>
  <si>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</si>
  <si>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</si>
  <si>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</si>
  <si>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</si>
  <si>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</si>
  <si>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</si>
  <si>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</si>
  <si>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</si>
  <si>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</si>
  <si>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</si>
  <si>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</si>
  <si>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</si>
  <si>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</si>
  <si>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</si>
  <si>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</si>
  <si>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</si>
  <si>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</si>
  <si>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</si>
  <si>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</si>
  <si>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</si>
  <si>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</si>
  <si>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</si>
  <si>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</si>
  <si>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</si>
  <si>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</si>
  <si>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</si>
  <si>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</si>
  <si>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</si>
  <si>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</si>
  <si>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</si>
  <si>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</si>
  <si>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</si>
  <si>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</si>
  <si>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</si>
  <si>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</si>
  <si>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</si>
  <si>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</si>
  <si>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</si>
  <si>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</si>
  <si>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</si>
  <si>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</si>
  <si>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</si>
  <si>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</si>
  <si>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</si>
  <si>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</si>
  <si>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</si>
  <si>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</si>
  <si>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</si>
  <si>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</si>
  <si>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</si>
  <si>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</si>
  <si>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</si>
  <si>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</si>
  <si>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</si>
  <si>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</si>
  <si>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</si>
  <si>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</si>
  <si>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</si>
  <si>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</si>
  <si>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</si>
  <si>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</si>
  <si>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</si>
  <si>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</si>
  <si>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</si>
  <si>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</si>
  <si>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</si>
  <si>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</si>
  <si>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</si>
  <si>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</si>
  <si>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</si>
  <si>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</si>
  <si>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</si>
  <si>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</si>
  <si>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</si>
  <si>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</si>
  <si>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</si>
  <si>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</si>
  <si>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</si>
  <si>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</si>
  <si>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</si>
  <si>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</si>
  <si>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</si>
  <si>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</si>
  <si>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</si>
  <si>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</si>
  <si>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</si>
  <si>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</si>
  <si>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</si>
  <si>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</si>
  <si>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</si>
  <si>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</si>
  <si>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</si>
  <si>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</si>
  <si>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</si>
  <si>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</si>
  <si>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</si>
  <si>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</si>
  <si>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</si>
  <si>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</si>
  <si>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</si>
  <si>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</si>
  <si>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</si>
  <si>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</si>
  <si>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</si>
  <si>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</si>
  <si>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</si>
  <si>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</si>
  <si>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</si>
  <si>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</si>
  <si>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</si>
  <si>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</si>
  <si>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</si>
  <si>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</si>
  <si>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</si>
  <si>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</si>
  <si>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</si>
  <si>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</si>
  <si>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</si>
  <si>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</si>
  <si>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</si>
  <si>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</si>
  <si>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</si>
  <si>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</si>
  <si>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</si>
  <si>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</si>
  <si>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</si>
  <si>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</si>
  <si>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</si>
  <si>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</si>
  <si>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</si>
  <si>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</si>
  <si>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</si>
  <si>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</si>
  <si>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</si>
  <si>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</si>
  <si>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</si>
  <si>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</si>
  <si>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</si>
  <si>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</si>
  <si>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</si>
  <si>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</si>
  <si>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</si>
  <si>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</si>
  <si>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</si>
  <si>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</si>
  <si>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</si>
  <si>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</si>
  <si>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</si>
  <si>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</si>
  <si>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</si>
  <si>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</si>
  <si>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</si>
  <si>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</si>
  <si>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</si>
  <si>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</si>
  <si>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</si>
  <si>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</si>
  <si>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</si>
  <si>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</si>
  <si>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</si>
  <si>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</si>
  <si>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</si>
  <si>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</si>
  <si>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</si>
  <si>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</si>
  <si>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</si>
  <si>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</si>
  <si>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</si>
  <si>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</si>
  <si>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</si>
  <si>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</si>
  <si>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</si>
  <si>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</si>
  <si>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</si>
  <si>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</si>
  <si>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</si>
  <si>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</si>
  <si>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</si>
  <si>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</si>
  <si>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</si>
  <si>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</si>
  <si>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</si>
  <si>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</si>
  <si>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</si>
  <si>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</si>
  <si>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</si>
  <si>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</si>
  <si>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</si>
  <si>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</si>
  <si>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</si>
  <si>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</si>
  <si>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</si>
  <si>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</si>
  <si>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</si>
  <si>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</si>
  <si>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</si>
  <si>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</si>
  <si>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</si>
  <si>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</si>
  <si>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</si>
  <si>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</si>
  <si>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</si>
  <si>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</si>
  <si>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</si>
  <si>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</si>
  <si>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</si>
  <si>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</si>
  <si>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</si>
  <si>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</si>
  <si>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</si>
  <si>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</si>
  <si>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</si>
  <si>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</si>
  <si>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</si>
  <si>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</si>
  <si>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</si>
  <si>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</si>
  <si>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</si>
  <si>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</si>
  <si>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</si>
  <si>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</si>
  <si>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</si>
  <si>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</si>
  <si>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</si>
  <si>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</si>
  <si>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</si>
  <si>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</si>
  <si>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</si>
  <si>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</si>
  <si>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</si>
  <si>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</si>
  <si>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</si>
  <si>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</si>
  <si>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</si>
  <si>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</si>
  <si>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</si>
  <si>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</si>
  <si>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</si>
  <si>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</si>
  <si>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</si>
  <si>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</si>
  <si>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</si>
  <si>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</si>
  <si>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</si>
  <si>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</si>
  <si>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</si>
  <si>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</si>
  <si>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</si>
  <si>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</si>
  <si>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</si>
  <si>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</si>
  <si>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</si>
  <si>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</si>
  <si>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</si>
  <si>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</si>
  <si>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</si>
  <si>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</si>
  <si>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</si>
  <si>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</si>
  <si>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</si>
  <si>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</si>
  <si>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</si>
  <si>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</si>
  <si>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</si>
  <si>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</si>
  <si>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</si>
  <si>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</si>
  <si>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</si>
  <si>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</si>
  <si>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</si>
  <si>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</si>
  <si>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</si>
  <si>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</si>
  <si>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</si>
  <si>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</si>
  <si>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</si>
  <si>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</si>
  <si>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</si>
  <si>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</si>
  <si>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</si>
  <si>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</si>
  <si>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</si>
  <si>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</si>
  <si>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</si>
  <si>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</si>
  <si>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</si>
  <si>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</si>
  <si>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</si>
  <si>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</si>
  <si>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</si>
  <si>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</si>
  <si>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</si>
  <si>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</si>
  <si>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</si>
  <si>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</si>
  <si>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</si>
  <si>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</si>
  <si>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</si>
  <si>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</si>
  <si>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</si>
  <si>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</si>
  <si>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</si>
  <si>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</si>
  <si>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</si>
  <si>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</si>
  <si>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</si>
  <si>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</si>
  <si>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</si>
  <si>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</si>
  <si>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</si>
  <si>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</si>
  <si>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</si>
  <si>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</si>
  <si>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</si>
  <si>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</si>
  <si>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</si>
  <si>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</si>
  <si>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</si>
  <si>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</si>
  <si>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</si>
  <si>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</si>
  <si>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</si>
  <si>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</si>
  <si>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</si>
  <si>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</si>
  <si>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</si>
  <si>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</si>
  <si>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</si>
  <si>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</si>
  <si>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</si>
  <si>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</si>
  <si>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</si>
  <si>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</si>
  <si>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</si>
  <si>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</si>
  <si>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</si>
  <si>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</si>
  <si>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</si>
  <si>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</si>
  <si>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</si>
  <si>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</si>
  <si>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</si>
  <si>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</si>
  <si>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</si>
  <si>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</si>
  <si>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</si>
  <si>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</si>
  <si>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</si>
  <si>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</si>
  <si>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</si>
  <si>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</si>
  <si>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</si>
  <si>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</si>
  <si>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</si>
  <si>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</si>
  <si>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</si>
  <si>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</si>
  <si>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</si>
  <si>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</si>
  <si>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</si>
  <si>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</si>
  <si>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</si>
  <si>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</si>
  <si>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</si>
  <si>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</si>
  <si>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</si>
  <si>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</si>
  <si>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</si>
  <si>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</si>
  <si>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</si>
  <si>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</si>
  <si>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</si>
  <si>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</si>
  <si>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</si>
  <si>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</si>
  <si>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</si>
  <si>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</si>
  <si>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</si>
  <si>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</si>
  <si>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</si>
  <si>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</si>
  <si>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</si>
  <si>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</si>
  <si>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</si>
  <si>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</si>
  <si>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</si>
  <si>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</si>
  <si>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</si>
  <si>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</si>
  <si>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</si>
  <si>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</si>
  <si>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</si>
  <si>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</si>
  <si>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</si>
  <si>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</si>
  <si>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</si>
  <si>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</si>
  <si>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</si>
  <si>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</si>
  <si>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</si>
  <si>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</si>
  <si>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</si>
  <si>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</si>
  <si>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</si>
  <si>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</si>
  <si>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</si>
  <si>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</si>
  <si>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</si>
  <si>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</si>
  <si>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</si>
  <si>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</si>
  <si>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</si>
  <si>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</si>
  <si>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</si>
  <si>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</si>
  <si>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</si>
  <si>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</si>
  <si>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</si>
  <si>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</si>
  <si>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</si>
  <si>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</si>
  <si>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</si>
  <si>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</si>
  <si>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</si>
  <si>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</si>
  <si>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</si>
  <si>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</si>
  <si>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</si>
  <si>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</si>
  <si>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</si>
  <si>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</si>
  <si>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</si>
  <si>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</si>
  <si>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</si>
  <si>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</si>
  <si>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</si>
  <si>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</si>
  <si>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</si>
  <si>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</si>
  <si>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</si>
  <si>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</si>
  <si>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</si>
  <si>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</si>
  <si>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</si>
  <si>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</si>
  <si>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</si>
  <si>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</si>
  <si>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</si>
  <si>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</si>
  <si>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</si>
  <si>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</si>
  <si>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</si>
  <si>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</si>
  <si>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</si>
  <si>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</si>
  <si>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</si>
  <si>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</si>
  <si>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</si>
  <si>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</si>
  <si>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</si>
  <si>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</si>
  <si>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</si>
  <si>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</si>
  <si>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</si>
  <si>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</si>
  <si>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</si>
  <si>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</si>
  <si>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</si>
  <si>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</si>
  <si>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</si>
  <si>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</si>
  <si>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</si>
  <si>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</si>
  <si>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</si>
  <si>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</si>
  <si>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</si>
  <si>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</si>
  <si>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</si>
  <si>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</si>
  <si>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</si>
  <si>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</si>
  <si>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</si>
  <si>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</si>
  <si>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</si>
  <si>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</si>
  <si>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</si>
  <si>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</si>
  <si>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</si>
  <si>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</si>
  <si>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</si>
  <si>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</si>
  <si>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</si>
  <si>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</si>
  <si>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</si>
  <si>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</si>
  <si>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</si>
  <si>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</si>
  <si>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</si>
  <si>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</si>
  <si>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</si>
  <si>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</si>
  <si>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</si>
  <si>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</si>
  <si>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</si>
  <si>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</si>
  <si>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</si>
  <si>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</si>
  <si>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</si>
  <si>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</si>
  <si>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</si>
  <si>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</si>
  <si>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</si>
  <si>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</si>
  <si>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</si>
  <si>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</si>
  <si>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</si>
  <si>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</si>
  <si>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</si>
  <si>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</si>
  <si>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</si>
  <si>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</si>
  <si>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</si>
  <si>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</si>
  <si>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</si>
  <si>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</si>
  <si>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</si>
  <si>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</si>
  <si>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</si>
  <si>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</si>
  <si>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</si>
  <si>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</si>
  <si>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</si>
  <si>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</si>
  <si>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</si>
  <si>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</si>
  <si>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</si>
  <si>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</si>
  <si>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</si>
  <si>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</si>
  <si>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</si>
  <si>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</si>
  <si>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</si>
  <si>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</si>
  <si>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</si>
  <si>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</si>
  <si>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</si>
  <si>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</si>
  <si>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</si>
  <si>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</si>
  <si>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</si>
  <si>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</si>
  <si>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</si>
  <si>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</si>
  <si>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</si>
  <si>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</si>
  <si>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</si>
  <si>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</si>
  <si>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</si>
  <si>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</si>
  <si>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</si>
  <si>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</si>
  <si>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</si>
  <si>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</si>
  <si>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</si>
  <si>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</si>
  <si>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</si>
  <si>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</si>
  <si>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</si>
  <si>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</si>
  <si>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</si>
  <si>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</si>
  <si>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</si>
  <si>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</si>
  <si>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</si>
  <si>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</si>
  <si>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</si>
  <si>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</si>
  <si>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</si>
  <si>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</si>
  <si>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</si>
  <si>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</si>
  <si>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</si>
  <si>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</si>
  <si>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</si>
  <si>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</si>
  <si>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</si>
  <si>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</si>
  <si>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</si>
  <si>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</si>
  <si>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</si>
  <si>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</si>
  <si>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</si>
  <si>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</si>
  <si>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</si>
  <si>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</si>
  <si>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</si>
  <si>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</si>
  <si>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</si>
  <si>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</si>
  <si>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</si>
  <si>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</si>
  <si>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</si>
  <si>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</si>
  <si>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</si>
  <si>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</si>
  <si>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</si>
  <si>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</si>
  <si>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</si>
  <si>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</si>
  <si>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</si>
  <si>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</si>
  <si>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</si>
  <si>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</si>
  <si>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</si>
  <si>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</si>
  <si>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</si>
  <si>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</si>
  <si>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</si>
  <si>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</si>
  <si>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</si>
  <si>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</si>
  <si>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</si>
  <si>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</si>
  <si>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</si>
  <si>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</si>
  <si>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</si>
  <si>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</si>
  <si>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</si>
  <si>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</si>
  <si>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</si>
  <si>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</si>
  <si>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</si>
  <si>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</si>
  <si>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</si>
  <si>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</si>
  <si>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</si>
  <si>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</si>
  <si>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</si>
  <si>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</si>
  <si>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</si>
  <si>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</si>
  <si>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</si>
  <si>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</si>
  <si>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</si>
  <si>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</si>
  <si>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</si>
  <si>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</si>
  <si>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</si>
  <si>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</si>
  <si>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</si>
  <si>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</si>
  <si>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</si>
  <si>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</si>
  <si>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</si>
  <si>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</si>
  <si>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</si>
  <si>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</si>
  <si>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</si>
  <si>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</si>
  <si>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</si>
  <si>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</si>
  <si>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</si>
  <si>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</si>
  <si>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</si>
  <si>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</si>
  <si>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</si>
  <si>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</si>
  <si>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</si>
  <si>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</si>
  <si>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</si>
  <si>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</si>
  <si>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</si>
  <si>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</si>
  <si>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</si>
  <si>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</si>
  <si>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</si>
  <si>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</si>
  <si>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</si>
  <si>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</si>
  <si>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</si>
  <si>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</si>
  <si>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</si>
  <si>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</si>
  <si>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</si>
  <si>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</si>
  <si>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</si>
  <si>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</si>
  <si>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</si>
  <si>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</si>
  <si>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</si>
  <si>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</si>
  <si>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</si>
  <si>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</si>
  <si>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</si>
  <si>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</si>
  <si>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</si>
  <si>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</si>
  <si>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</si>
  <si>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</si>
  <si>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</si>
  <si>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</si>
  <si>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</si>
  <si>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</si>
  <si>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</si>
  <si>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</si>
  <si>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</si>
  <si>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</si>
  <si>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</si>
  <si>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</si>
  <si>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</si>
  <si>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</si>
  <si>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</si>
  <si>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</si>
  <si>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</si>
  <si>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</si>
  <si>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</si>
  <si>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</si>
  <si>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</si>
  <si>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</si>
  <si>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</si>
  <si>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</si>
  <si>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</si>
  <si>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</si>
  <si>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</si>
  <si>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</si>
  <si>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</si>
  <si>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</si>
  <si>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</si>
  <si>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</si>
  <si>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</si>
  <si>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</si>
  <si>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</si>
  <si>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</si>
  <si>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</si>
  <si>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</si>
  <si>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</si>
  <si>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</si>
  <si>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</si>
  <si>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</si>
  <si>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</si>
  <si>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</si>
  <si>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</si>
  <si>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</si>
  <si>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</si>
  <si>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</si>
  <si>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</si>
  <si>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</si>
  <si>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</si>
  <si>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</si>
  <si>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</si>
  <si>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</si>
  <si>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</si>
  <si>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</si>
  <si>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</si>
  <si>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</si>
  <si>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</si>
  <si>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</si>
  <si>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</si>
  <si>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</si>
  <si>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</si>
  <si>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</si>
  <si>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</si>
  <si>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</si>
  <si>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</si>
  <si>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</si>
  <si>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</si>
  <si>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</si>
  <si>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</si>
  <si>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</si>
  <si>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</si>
  <si>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</si>
  <si>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</si>
  <si>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</si>
  <si>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</si>
  <si>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</si>
  <si>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</si>
  <si>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</si>
  <si>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</si>
  <si>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</si>
  <si>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</si>
  <si>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</si>
  <si>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</si>
  <si>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</si>
  <si>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</si>
  <si>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</si>
  <si>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</si>
  <si>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</si>
  <si>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</si>
  <si>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</si>
  <si>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</si>
  <si>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</si>
  <si>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</si>
  <si>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</si>
  <si>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</si>
  <si>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</si>
  <si>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</si>
  <si>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</si>
  <si>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</si>
  <si>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</si>
  <si>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</si>
  <si>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</si>
  <si>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</si>
  <si>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</si>
  <si>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</si>
  <si>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</si>
  <si>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</si>
  <si>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</si>
  <si>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</si>
  <si>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</si>
  <si>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</si>
  <si>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</si>
  <si>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</si>
  <si>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</si>
  <si>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</si>
  <si>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</si>
  <si>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</si>
  <si>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</si>
  <si>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</si>
  <si>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</si>
  <si>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</si>
  <si>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</si>
  <si>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</si>
  <si>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</si>
  <si>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</si>
  <si>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</si>
  <si>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</si>
  <si>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</si>
  <si>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</si>
  <si>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</si>
  <si>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</si>
  <si>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</si>
  <si>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</si>
  <si>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</si>
  <si>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</si>
  <si>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</si>
  <si>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</si>
  <si>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</si>
  <si>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</si>
  <si>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</si>
  <si>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</si>
  <si>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</si>
  <si>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</si>
  <si>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</si>
  <si>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</si>
  <si>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</si>
  <si>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</si>
  <si>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</si>
  <si>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</si>
  <si>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</si>
  <si>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</si>
  <si>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</si>
  <si>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</si>
  <si>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</si>
  <si>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</si>
  <si>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</si>
  <si>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</si>
  <si>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</si>
  <si>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</si>
  <si>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</si>
  <si>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</si>
  <si>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</si>
  <si>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</si>
  <si>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</si>
  <si>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</si>
  <si>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</si>
  <si>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</si>
  <si>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</si>
  <si>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</si>
  <si>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</si>
  <si>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</si>
  <si>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</si>
  <si>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</si>
  <si>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</si>
  <si>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</si>
  <si>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</si>
  <si>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</si>
  <si>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</si>
  <si>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</si>
  <si>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</si>
  <si>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</si>
  <si>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</si>
  <si>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</si>
  <si>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</si>
  <si>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</si>
  <si>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</si>
  <si>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</si>
  <si>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</si>
  <si>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</si>
  <si>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</si>
  <si>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</si>
  <si>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</si>
  <si>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</si>
  <si>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</si>
  <si>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</si>
  <si>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</si>
  <si>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</si>
  <si>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</si>
  <si>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</si>
  <si>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</si>
  <si>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</si>
  <si>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</si>
  <si>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</si>
  <si>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</si>
  <si>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</si>
  <si>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</si>
  <si>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</si>
  <si>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</si>
  <si>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</si>
  <si>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</si>
  <si>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</si>
  <si>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</si>
  <si>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</si>
  <si>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</si>
  <si>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</si>
  <si>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</si>
  <si>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</si>
  <si>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</si>
  <si>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</si>
  <si>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</si>
  <si>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</si>
  <si>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</si>
  <si>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</si>
  <si>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</si>
  <si>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</si>
  <si>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</si>
  <si>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</si>
  <si>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</si>
  <si>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</si>
  <si>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</si>
  <si>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</si>
  <si>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</si>
  <si>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</si>
  <si>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</si>
  <si>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</si>
  <si>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</si>
  <si>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</si>
  <si>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</si>
  <si>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</si>
  <si>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</si>
  <si>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</si>
  <si>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</si>
  <si>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</si>
  <si>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</si>
  <si>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</si>
  <si>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</si>
  <si>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</si>
  <si>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</si>
  <si>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</si>
  <si>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</si>
  <si>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</si>
  <si>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</si>
  <si>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</si>
  <si>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</si>
  <si>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</si>
  <si>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</si>
  <si>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</si>
  <si>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</si>
  <si>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</si>
  <si>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</si>
  <si>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</si>
  <si>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</si>
  <si>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</si>
  <si>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</si>
  <si>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</si>
  <si>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</si>
  <si>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</si>
  <si>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</si>
  <si>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</si>
  <si>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</si>
  <si>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</si>
  <si>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</si>
  <si>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</si>
  <si>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</si>
  <si>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</si>
  <si>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</si>
  <si>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</si>
  <si>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</si>
  <si>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</si>
  <si>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</si>
  <si>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</si>
  <si>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</si>
  <si>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</si>
  <si>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</si>
  <si>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</si>
  <si>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</si>
  <si>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</si>
  <si>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</si>
  <si>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</si>
  <si>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</si>
  <si>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</si>
  <si>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</si>
  <si>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</si>
  <si>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</si>
  <si>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</si>
  <si>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</si>
  <si>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</si>
  <si>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</si>
  <si>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</si>
  <si>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</si>
  <si>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</si>
  <si>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</si>
  <si>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</si>
  <si>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</si>
  <si>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</si>
  <si>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</si>
  <si>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</si>
  <si>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</si>
  <si>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</si>
  <si>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</si>
  <si>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</si>
  <si>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</si>
  <si>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</si>
  <si>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</si>
  <si>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</si>
  <si>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</si>
  <si>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</si>
  <si>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</si>
  <si>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</si>
  <si>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</si>
  <si>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</si>
  <si>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</si>
  <si>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</si>
  <si>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</si>
  <si>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</si>
  <si>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</si>
  <si>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</si>
  <si>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</si>
  <si>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</si>
  <si>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</si>
  <si>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</si>
  <si>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</si>
  <si>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</si>
  <si>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</si>
  <si>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</si>
  <si>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</si>
  <si>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</si>
  <si>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</si>
  <si>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</si>
  <si>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</si>
  <si>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</si>
  <si>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</si>
  <si>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</si>
  <si>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</si>
  <si>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</si>
  <si>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</si>
  <si>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</si>
  <si>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</si>
  <si>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</si>
  <si>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</si>
  <si>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</si>
  <si>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</si>
  <si>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</si>
  <si>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</si>
  <si>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</si>
  <si>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</si>
  <si>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</si>
  <si>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</si>
  <si>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</si>
  <si>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</si>
  <si>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</si>
  <si>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</si>
  <si>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</si>
  <si>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</si>
  <si>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</si>
  <si>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</si>
  <si>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</si>
  <si>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</si>
  <si>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</si>
  <si>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</si>
  <si>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</si>
  <si>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</si>
  <si>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</si>
  <si>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</si>
  <si>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</si>
  <si>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</si>
  <si>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</si>
  <si>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</si>
  <si>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</si>
  <si>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</si>
  <si>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</si>
  <si>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</si>
  <si>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</si>
  <si>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</si>
  <si>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</si>
  <si>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</si>
  <si>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</si>
  <si>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</si>
  <si>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</si>
  <si>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</si>
  <si>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</si>
  <si>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</si>
  <si>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</si>
  <si>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</si>
  <si>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</si>
  <si>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</si>
  <si>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</si>
  <si>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</si>
  <si>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</si>
  <si>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</si>
  <si>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</si>
  <si>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</si>
  <si>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</si>
  <si>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</si>
  <si>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</si>
  <si>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</si>
  <si>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</si>
  <si>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</si>
  <si>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</si>
  <si>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</si>
  <si>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</si>
  <si>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</si>
  <si>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</si>
  <si>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</si>
  <si>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</si>
  <si>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</si>
  <si>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</si>
  <si>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</si>
  <si>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</si>
  <si>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</si>
  <si>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</si>
  <si>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</si>
  <si>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</si>
  <si>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</si>
  <si>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</si>
  <si>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</si>
  <si>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</si>
  <si>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</si>
  <si>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</si>
  <si>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</si>
  <si>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</si>
  <si>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</si>
  <si>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</si>
  <si>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</si>
  <si>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</si>
  <si>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</si>
  <si>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</si>
  <si>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</si>
  <si>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</si>
  <si>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</si>
  <si>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</si>
  <si>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</si>
  <si>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</si>
  <si>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</si>
  <si>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</si>
  <si>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</si>
  <si>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</si>
  <si>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</si>
  <si>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</si>
  <si>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</si>
  <si>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</si>
  <si>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</si>
  <si>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</si>
  <si>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</si>
  <si>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</si>
  <si>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</si>
  <si>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</si>
  <si>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</si>
  <si>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</si>
  <si>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</si>
  <si>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</si>
  <si>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</si>
  <si>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</si>
  <si>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</si>
  <si>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</si>
  <si>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</si>
  <si>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</si>
  <si>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</si>
  <si>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</si>
  <si>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</si>
  <si>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</si>
  <si>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</si>
  <si>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</si>
  <si>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</si>
  <si>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</si>
  <si>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</si>
  <si>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</si>
  <si>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</si>
  <si>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</si>
  <si>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</si>
  <si>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</si>
  <si>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</si>
  <si>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</si>
  <si>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</si>
  <si>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</si>
  <si>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</si>
  <si>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</si>
  <si>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</si>
  <si>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</si>
  <si>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</si>
  <si>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</si>
  <si>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</si>
  <si>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</si>
  <si>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</si>
  <si>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</si>
  <si>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</si>
  <si>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</si>
  <si>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</si>
  <si>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</si>
  <si>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</si>
  <si>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</si>
  <si>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</si>
  <si>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</si>
  <si>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</si>
  <si>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</si>
  <si>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</si>
  <si>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</si>
  <si>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</si>
  <si>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</si>
  <si>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</si>
  <si>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</si>
  <si>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</si>
  <si>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</si>
  <si>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</si>
  <si>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</si>
  <si>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</si>
  <si>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</si>
  <si>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</si>
  <si>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</si>
  <si>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</si>
  <si>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</si>
  <si>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</si>
  <si>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</si>
  <si>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</si>
  <si>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</si>
  <si>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</si>
  <si>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</si>
  <si>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</si>
  <si>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</si>
  <si>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</si>
  <si>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</si>
  <si>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</si>
  <si>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</si>
  <si>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</si>
  <si>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</si>
  <si>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</si>
  <si>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</si>
  <si>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</si>
  <si>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</si>
  <si>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</si>
  <si>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</si>
  <si>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</si>
  <si>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</si>
  <si>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</si>
  <si>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</si>
  <si>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</si>
  <si>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</si>
  <si>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</si>
  <si>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</si>
  <si>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</si>
  <si>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</si>
  <si>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</si>
  <si>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</si>
  <si>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</si>
  <si>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</si>
  <si>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</si>
  <si>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</si>
  <si>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</si>
  <si>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</si>
  <si>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</si>
  <si>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</si>
  <si>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</si>
  <si>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</si>
  <si>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</si>
  <si>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</si>
  <si>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</si>
  <si>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</si>
  <si>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</si>
  <si>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</si>
  <si>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</si>
  <si>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</si>
  <si>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</si>
  <si>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</si>
  <si>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</si>
  <si>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</si>
  <si>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</si>
  <si>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</si>
  <si>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</si>
  <si>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</si>
  <si>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</si>
  <si>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</si>
  <si>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</si>
  <si>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</si>
  <si>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</si>
  <si>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</si>
  <si>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</si>
  <si>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</si>
  <si>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</si>
  <si>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</si>
  <si>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</si>
  <si>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</si>
  <si>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</si>
  <si>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</si>
  <si>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</si>
  <si>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</si>
  <si>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</si>
  <si>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</si>
  <si>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</si>
  <si>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</si>
  <si>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</si>
  <si>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</si>
  <si>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</si>
  <si>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</si>
  <si>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</si>
  <si>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</si>
  <si>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</si>
  <si>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</si>
  <si>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</si>
  <si>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</si>
  <si>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</si>
  <si>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</si>
  <si>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</si>
  <si>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</si>
  <si>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</si>
  <si>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</si>
  <si>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</si>
  <si>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</si>
  <si>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</si>
  <si>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</si>
  <si>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</si>
  <si>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</si>
  <si>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</si>
  <si>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</si>
  <si>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</si>
  <si>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</si>
  <si>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</si>
  <si>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</si>
  <si>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</si>
  <si>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</si>
  <si>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</si>
  <si>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</si>
  <si>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</si>
  <si>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</si>
  <si>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</si>
  <si>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</si>
  <si>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</si>
  <si>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</si>
  <si>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</si>
  <si>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</si>
  <si>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</si>
  <si>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</si>
  <si>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</si>
  <si>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</si>
  <si>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</si>
  <si>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</si>
  <si>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</si>
  <si>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</si>
  <si>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</si>
  <si>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</si>
  <si>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</si>
  <si>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</si>
  <si>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</si>
  <si>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</si>
  <si>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</si>
  <si>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</si>
  <si>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</si>
  <si>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</si>
  <si>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</si>
  <si>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</si>
  <si>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</si>
  <si>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</si>
  <si>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</si>
  <si>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</si>
  <si>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</si>
  <si>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</si>
  <si>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</si>
  <si>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</si>
  <si>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</si>
  <si>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</si>
  <si>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</si>
  <si>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</si>
  <si>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</si>
  <si>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</si>
  <si>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</si>
  <si>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</si>
  <si>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</si>
  <si>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</si>
  <si>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</si>
  <si>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</si>
  <si>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</si>
  <si>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</si>
  <si>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</si>
  <si>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</si>
  <si>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</si>
  <si>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</si>
  <si>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</si>
  <si>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</si>
  <si>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</si>
  <si>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</si>
  <si>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</si>
  <si>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</si>
  <si>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</si>
  <si>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</si>
  <si>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</si>
  <si>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</si>
  <si>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</si>
  <si>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</si>
  <si>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</si>
  <si>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</si>
  <si>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</si>
  <si>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</si>
  <si>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</si>
  <si>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</si>
  <si>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</si>
  <si>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</si>
  <si>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</si>
  <si>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</si>
  <si>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</si>
  <si>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</si>
  <si>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</si>
  <si>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</si>
  <si>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</si>
  <si>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</si>
  <si>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</si>
  <si>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</si>
  <si>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</si>
  <si>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</si>
  <si>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</si>
  <si>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</si>
  <si>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</si>
  <si>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</si>
  <si>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</si>
  <si>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</si>
  <si>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</si>
  <si>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</si>
  <si>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</si>
  <si>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</si>
  <si>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</si>
  <si>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</si>
  <si>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</si>
  <si>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</si>
  <si>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</si>
  <si>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</si>
  <si>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</si>
  <si>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</si>
  <si>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</si>
  <si>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</si>
  <si>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</si>
  <si>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</si>
  <si>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</si>
  <si>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</si>
  <si>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</si>
  <si>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</si>
  <si>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</si>
  <si>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</si>
  <si>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</si>
  <si>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</si>
  <si>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</si>
  <si>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</si>
  <si>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</si>
  <si>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</si>
  <si>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</si>
  <si>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</si>
  <si>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</si>
  <si>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</si>
  <si>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</si>
  <si>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</si>
  <si>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</si>
  <si>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</si>
  <si>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</si>
  <si>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</si>
  <si>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</si>
  <si>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</si>
  <si>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</si>
  <si>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</si>
  <si>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</si>
  <si>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</si>
  <si>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</si>
  <si>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</si>
  <si>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</si>
  <si>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</si>
  <si>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</si>
  <si>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</si>
  <si>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</si>
  <si>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</si>
  <si>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</si>
  <si>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</si>
  <si>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</si>
  <si>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</si>
  <si>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</si>
  <si>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</si>
  <si>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</si>
  <si>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</si>
  <si>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</si>
  <si>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</si>
  <si>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</si>
  <si>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</si>
  <si>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</si>
  <si>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</si>
  <si>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</si>
  <si>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</si>
  <si>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</si>
  <si>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</si>
  <si>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</si>
  <si>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</si>
  <si>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</si>
  <si>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</si>
  <si>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</si>
  <si>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</si>
  <si>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</si>
  <si>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</si>
  <si>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</si>
  <si>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</si>
  <si>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</si>
  <si>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</si>
  <si>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</si>
  <si>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</si>
  <si>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</si>
  <si>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</si>
  <si>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</si>
  <si>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</si>
  <si>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</si>
  <si>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</si>
  <si>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</si>
  <si>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</si>
  <si>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</si>
  <si>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</si>
  <si>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</si>
  <si>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</si>
  <si>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</si>
  <si>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</si>
  <si>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</si>
  <si>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</si>
  <si>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</si>
  <si>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</si>
  <si>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</si>
  <si>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</si>
  <si>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</si>
  <si>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</si>
  <si>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</si>
  <si>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</si>
  <si>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</si>
  <si>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</si>
  <si>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</si>
  <si>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</si>
  <si>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</si>
  <si>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</si>
  <si>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</si>
  <si>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</si>
  <si>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</si>
  <si>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</si>
  <si>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</si>
  <si>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</si>
  <si>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</si>
  <si>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</si>
  <si>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</si>
  <si>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</si>
  <si>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</si>
  <si>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</si>
  <si>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</si>
  <si>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</si>
  <si>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</si>
  <si>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</si>
  <si>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</si>
  <si>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</si>
  <si>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</si>
  <si>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</si>
  <si>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</si>
  <si>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</si>
  <si>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</si>
  <si>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</si>
  <si>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</si>
  <si>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</si>
  <si>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</si>
  <si>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</si>
  <si>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</si>
  <si>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</si>
  <si>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</si>
  <si>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</si>
  <si>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</si>
  <si>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</si>
  <si>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</si>
  <si>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</si>
  <si>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</si>
  <si>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</si>
  <si>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</si>
  <si>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</si>
  <si>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</si>
  <si>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</si>
  <si>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</si>
  <si>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</si>
  <si>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</si>
  <si>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</si>
  <si>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</si>
  <si>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</si>
  <si>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</si>
  <si>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</si>
  <si>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</si>
  <si>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</si>
  <si>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</si>
  <si>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</si>
  <si>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</si>
  <si>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</si>
  <si>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</si>
  <si>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</si>
  <si>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</si>
  <si>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</si>
  <si>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</si>
  <si>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</si>
  <si>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</si>
  <si>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</si>
  <si>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</si>
  <si>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</si>
  <si>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</si>
  <si>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</si>
  <si>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</si>
  <si>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</si>
  <si>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</si>
  <si>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</si>
  <si>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</si>
  <si>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</si>
  <si>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</si>
  <si>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</si>
  <si>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</si>
  <si>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</si>
  <si>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</si>
  <si>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</si>
  <si>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</si>
  <si>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</si>
  <si>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</si>
  <si>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</si>
  <si>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</si>
  <si>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</si>
  <si>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</si>
  <si>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</si>
  <si>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</si>
  <si>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</si>
  <si>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</si>
  <si>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</si>
  <si>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</si>
  <si>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</si>
  <si>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</si>
  <si>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</si>
  <si>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</si>
  <si>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</si>
  <si>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</si>
  <si>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</si>
  <si>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</si>
  <si>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</si>
  <si>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</si>
  <si>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</si>
  <si>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</si>
  <si>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</si>
  <si>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</si>
  <si>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</si>
  <si>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</si>
  <si>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</si>
  <si>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</si>
  <si>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</si>
  <si>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</si>
  <si>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</si>
  <si>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</si>
  <si>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</si>
  <si>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</si>
  <si>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</si>
  <si>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</si>
  <si>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</si>
  <si>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</si>
  <si>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</si>
  <si>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</si>
  <si>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</si>
  <si>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</si>
  <si>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</si>
  <si>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</si>
  <si>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</si>
  <si>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</si>
  <si>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</si>
  <si>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</si>
  <si>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</si>
  <si>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</si>
  <si>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</si>
  <si>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</si>
  <si>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</si>
  <si>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</si>
  <si>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</si>
  <si>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</si>
  <si>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</si>
  <si>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</si>
  <si>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</si>
  <si>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</si>
  <si>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</si>
  <si>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</si>
  <si>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</si>
  <si>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</si>
  <si>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</si>
  <si>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</si>
  <si>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</si>
  <si>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</si>
  <si>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</si>
  <si>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</si>
  <si>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</si>
  <si>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</si>
  <si>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</si>
  <si>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</si>
  <si>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</si>
  <si>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</si>
  <si>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</si>
  <si>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</si>
  <si>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</si>
  <si>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</si>
  <si>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</si>
  <si>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</si>
  <si>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</si>
  <si>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</si>
  <si>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</si>
  <si>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</si>
  <si>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</si>
  <si>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</si>
  <si>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</si>
  <si>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</si>
  <si>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</si>
  <si>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</si>
  <si>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</si>
  <si>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</si>
  <si>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</si>
  <si>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</si>
  <si>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</si>
  <si>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</si>
  <si>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</si>
  <si>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</si>
  <si>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</si>
  <si>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</si>
  <si>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</si>
  <si>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</si>
  <si>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</si>
  <si>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</si>
  <si>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</si>
  <si>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</si>
  <si>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</si>
  <si>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</si>
  <si>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</si>
  <si>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</si>
  <si>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</si>
  <si>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</si>
  <si>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</si>
  <si>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</si>
  <si>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</si>
  <si>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</si>
  <si>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</si>
  <si>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</si>
  <si>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</si>
  <si>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</si>
  <si>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</si>
  <si>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</si>
  <si>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</si>
  <si>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</si>
  <si>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</si>
  <si>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</si>
  <si>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</si>
  <si>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</si>
  <si>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</si>
  <si>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</si>
  <si>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</si>
  <si>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</si>
  <si>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</si>
  <si>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</si>
  <si>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</si>
  <si>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</si>
  <si>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</si>
  <si>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</si>
  <si>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</si>
  <si>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</si>
  <si>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</si>
  <si>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</si>
  <si>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</si>
  <si>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</si>
  <si>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</si>
  <si>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</si>
  <si>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</si>
  <si>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</si>
  <si>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</si>
  <si>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</si>
  <si>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</si>
  <si>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</si>
  <si>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</si>
  <si>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</si>
  <si>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</si>
  <si>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</si>
  <si>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</si>
  <si>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</si>
  <si>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</si>
  <si>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</si>
  <si>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</si>
  <si>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</si>
  <si>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</si>
  <si>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</si>
  <si>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</si>
  <si>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</si>
  <si>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</si>
  <si>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</si>
  <si>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</si>
  <si>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</si>
  <si>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</si>
  <si>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</si>
  <si>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</si>
  <si>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</si>
  <si>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</si>
  <si>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</si>
  <si>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</si>
  <si>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</si>
  <si>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</si>
  <si>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</si>
  <si>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</si>
  <si>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</si>
  <si>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</si>
  <si>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</si>
  <si>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</si>
  <si>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</si>
  <si>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</si>
  <si>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</si>
  <si>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</si>
  <si>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</si>
  <si>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</si>
  <si>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</si>
  <si>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</si>
  <si>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</si>
  <si>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</si>
  <si>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</si>
  <si>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</si>
  <si>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</si>
  <si>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</si>
  <si>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</si>
  <si>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</si>
  <si>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</si>
  <si>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</si>
  <si>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</si>
  <si>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</si>
  <si>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</si>
  <si>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</si>
  <si>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</si>
  <si>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</si>
  <si>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</si>
  <si>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</si>
  <si>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</si>
  <si>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</si>
  <si>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</si>
  <si>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</si>
  <si>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</si>
  <si>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</si>
  <si>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</si>
  <si>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</si>
  <si>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</si>
  <si>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</si>
  <si>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</si>
  <si>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</si>
  <si>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</si>
  <si>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</si>
  <si>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</si>
  <si>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</si>
  <si>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</si>
  <si>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</si>
  <si>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</si>
  <si>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</si>
  <si>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</si>
  <si>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</si>
  <si>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</si>
  <si>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</si>
  <si>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</si>
  <si>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</si>
  <si>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</si>
  <si>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</si>
  <si>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</si>
  <si>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</si>
  <si>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</si>
  <si>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</si>
  <si>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</si>
  <si>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</si>
  <si>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</si>
  <si>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</si>
  <si>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</si>
  <si>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</si>
  <si>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</si>
  <si>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</si>
  <si>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</si>
  <si>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</si>
  <si>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</si>
  <si>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</si>
  <si>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</si>
  <si>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</si>
  <si>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</si>
  <si>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</si>
  <si>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</si>
  <si>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</si>
  <si>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</si>
  <si>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</si>
  <si>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</si>
  <si>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</si>
  <si>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</si>
  <si>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</si>
  <si>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</si>
  <si>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</si>
  <si>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</si>
  <si>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</si>
  <si>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</si>
  <si>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</si>
  <si>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</si>
  <si>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</si>
  <si>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</si>
  <si>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</si>
  <si>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</si>
  <si>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</si>
  <si>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</si>
  <si>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</si>
  <si>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</si>
  <si>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</si>
  <si>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</si>
  <si>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</si>
  <si>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</si>
  <si>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</si>
  <si>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</si>
  <si>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</si>
  <si>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</si>
  <si>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</si>
  <si>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</si>
  <si>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</si>
  <si>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</si>
  <si>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</si>
  <si>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</si>
  <si>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</si>
  <si>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</si>
  <si>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</si>
  <si>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</si>
  <si>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</si>
  <si>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</si>
  <si>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</si>
  <si>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</si>
  <si>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</si>
  <si>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</si>
  <si>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</si>
  <si>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</si>
  <si>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</si>
  <si>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</si>
  <si>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</si>
  <si>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</si>
  <si>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</si>
  <si>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</si>
  <si>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</si>
  <si>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</si>
  <si>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</si>
  <si>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</si>
  <si>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</si>
  <si>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</si>
  <si>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</si>
  <si>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</si>
  <si>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</si>
  <si>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</si>
  <si>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</si>
  <si>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</si>
  <si>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</si>
  <si>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</si>
  <si>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</si>
  <si>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</si>
  <si>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</si>
  <si>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</si>
  <si>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</si>
  <si>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</si>
  <si>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</si>
  <si>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</si>
  <si>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</si>
  <si>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</si>
  <si>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</si>
  <si>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</si>
  <si>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</si>
  <si>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</si>
  <si>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</si>
  <si>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</si>
  <si>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</si>
  <si>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</si>
  <si>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</si>
  <si>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</si>
  <si>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</si>
  <si>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</si>
  <si>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</si>
  <si>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</si>
  <si>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</si>
  <si>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</si>
  <si>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</si>
  <si>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</si>
  <si>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</si>
  <si>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</si>
  <si>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</si>
  <si>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</si>
  <si>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</si>
  <si>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</si>
  <si>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</si>
  <si>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</si>
  <si>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</si>
  <si>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</si>
  <si>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</si>
  <si>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</si>
  <si>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</si>
  <si>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</si>
  <si>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</si>
  <si>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</si>
  <si>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</si>
  <si>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</si>
  <si>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</si>
  <si>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</si>
  <si>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</si>
  <si>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</si>
  <si>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</si>
  <si>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</si>
  <si>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</si>
  <si>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</si>
  <si>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</si>
  <si>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</si>
  <si>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</si>
  <si>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</si>
  <si>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</si>
  <si>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</si>
  <si>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</si>
  <si>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</si>
  <si>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</si>
  <si>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</si>
  <si>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</si>
  <si>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</si>
  <si>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</si>
  <si>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</si>
  <si>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</si>
  <si>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</si>
  <si>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</si>
  <si>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</si>
  <si>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</si>
  <si>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</si>
  <si>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</si>
  <si>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</si>
  <si>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</si>
  <si>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</si>
  <si>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</si>
  <si>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</si>
  <si>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</si>
  <si>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</si>
  <si>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</si>
  <si>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</si>
  <si>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</si>
  <si>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</si>
  <si>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</si>
  <si>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</si>
  <si>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</si>
  <si>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</si>
  <si>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</si>
  <si>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</si>
  <si>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</si>
  <si>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</si>
  <si>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</si>
  <si>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</si>
  <si>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</si>
  <si>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</si>
  <si>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</si>
  <si>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</si>
  <si>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</si>
  <si>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</si>
  <si>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</si>
  <si>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</si>
  <si>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</si>
  <si>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</si>
  <si>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</si>
  <si>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</si>
  <si>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</si>
  <si>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</si>
  <si>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</si>
  <si>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</si>
  <si>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</si>
  <si>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</si>
  <si>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</si>
  <si>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</si>
  <si>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</si>
  <si>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</si>
  <si>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</si>
  <si>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</si>
  <si>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</si>
  <si>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</si>
  <si>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</si>
  <si>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</si>
  <si>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</si>
  <si>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</si>
  <si>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</si>
  <si>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</si>
  <si>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</si>
  <si>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</si>
  <si>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</si>
  <si>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</si>
  <si>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</si>
  <si>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</si>
  <si>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</si>
  <si>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</si>
  <si>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</si>
  <si>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</si>
  <si>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</si>
  <si>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</si>
  <si>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</si>
  <si>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</si>
  <si>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</si>
  <si>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</si>
  <si>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</si>
  <si>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</si>
  <si>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</si>
  <si>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</si>
  <si>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</si>
  <si>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</si>
  <si>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</si>
  <si>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</si>
  <si>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</si>
  <si>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</si>
  <si>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</si>
  <si>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</si>
  <si>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</si>
  <si>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</si>
  <si>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</si>
  <si>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</si>
  <si>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</si>
  <si>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</si>
  <si>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</si>
  <si>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</si>
  <si>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</si>
  <si>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</si>
  <si>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</si>
  <si>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</si>
  <si>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</si>
  <si>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</si>
  <si>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</si>
  <si>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</si>
  <si>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</si>
  <si>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</si>
  <si>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</si>
  <si>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</si>
  <si>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</si>
  <si>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</si>
  <si>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</si>
  <si>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</si>
  <si>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</si>
  <si>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</si>
  <si>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</si>
  <si>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</si>
  <si>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</si>
  <si>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</si>
  <si>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</si>
  <si>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</si>
  <si>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</si>
  <si>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</si>
  <si>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</si>
  <si>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</si>
  <si>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</si>
  <si>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</si>
  <si>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</si>
  <si>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</si>
  <si>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</si>
  <si>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</si>
  <si>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</si>
  <si>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</si>
  <si>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</si>
  <si>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</si>
  <si>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</si>
  <si>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</si>
  <si>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</si>
  <si>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</si>
  <si>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</si>
  <si>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</si>
  <si>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</si>
  <si>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</si>
  <si>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</si>
  <si>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</si>
  <si>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</si>
  <si>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</si>
  <si>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</si>
  <si>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</si>
  <si>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</si>
  <si>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</si>
  <si>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</si>
  <si>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</si>
  <si>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</si>
  <si>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</si>
  <si>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</si>
  <si>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</si>
  <si>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</si>
  <si>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</si>
  <si>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</si>
  <si>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</si>
  <si>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</si>
  <si>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</si>
  <si>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</si>
  <si>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</si>
  <si>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</si>
  <si>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</si>
  <si>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</si>
  <si>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</si>
  <si>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</si>
  <si>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</si>
  <si>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</si>
  <si>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</si>
  <si>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</si>
  <si>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</si>
  <si>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</si>
  <si>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</si>
  <si>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</si>
  <si>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</si>
  <si>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</si>
  <si>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</si>
  <si>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</si>
  <si>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</si>
  <si>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</si>
  <si>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</si>
  <si>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</si>
  <si>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</si>
  <si>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</si>
  <si>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</si>
  <si>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</si>
  <si>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</si>
  <si>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</si>
  <si>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</si>
  <si>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</si>
  <si>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</si>
  <si>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</si>
  <si>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</si>
  <si>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</si>
  <si>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</si>
  <si>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</si>
  <si>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</si>
  <si>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</si>
  <si>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</si>
  <si>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</si>
  <si>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</si>
  <si>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</si>
  <si>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</si>
  <si>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</si>
  <si>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</si>
  <si>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</si>
  <si>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</si>
  <si>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</si>
  <si>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</si>
  <si>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</si>
  <si>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</si>
  <si>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</si>
  <si>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</si>
  <si>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</si>
  <si>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</si>
  <si>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</si>
  <si>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</si>
  <si>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</si>
  <si>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</si>
  <si>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</si>
  <si>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</si>
  <si>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</si>
  <si>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</si>
  <si>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</si>
  <si>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</si>
  <si>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</si>
  <si>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</si>
  <si>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</si>
  <si>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</si>
  <si>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</si>
  <si>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</si>
  <si>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</si>
  <si>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</si>
  <si>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</si>
  <si>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</si>
  <si>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</si>
  <si>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</si>
  <si>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</si>
  <si>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</si>
  <si>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</si>
  <si>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</si>
  <si>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</si>
  <si>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</si>
  <si>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</si>
  <si>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</si>
  <si>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</si>
  <si>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</si>
  <si>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</si>
  <si>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</si>
  <si>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</si>
  <si>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</si>
  <si>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</si>
  <si>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</si>
  <si>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</si>
  <si>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</si>
  <si>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</si>
  <si>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</si>
  <si>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</si>
  <si>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</si>
  <si>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</si>
  <si>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</si>
  <si>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</si>
  <si>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</si>
  <si>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</si>
  <si>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</si>
  <si>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</si>
  <si>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</si>
  <si>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</si>
  <si>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</si>
  <si>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</si>
  <si>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</si>
  <si>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</si>
  <si>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</si>
  <si>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</si>
  <si>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</si>
  <si>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</si>
  <si>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</si>
  <si>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</si>
  <si>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</si>
  <si>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</si>
  <si>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</si>
  <si>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</si>
  <si>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</si>
  <si>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</si>
  <si>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</si>
  <si>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</si>
  <si>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</si>
  <si>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</si>
  <si>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</si>
  <si>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</si>
  <si>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</si>
  <si>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</si>
  <si>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</si>
  <si>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</si>
  <si>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</si>
  <si>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</si>
  <si>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</si>
  <si>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</si>
  <si>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</si>
  <si>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</si>
  <si>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</si>
  <si>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</si>
  <si>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</si>
  <si>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</si>
  <si>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</si>
  <si>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</si>
  <si>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</si>
  <si>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</si>
  <si>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</si>
  <si>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</si>
  <si>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</si>
  <si>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</si>
  <si>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</si>
  <si>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</si>
  <si>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</si>
  <si>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</si>
  <si>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</si>
  <si>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</si>
  <si>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</si>
  <si>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</si>
  <si>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</si>
  <si>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</si>
  <si>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</si>
  <si>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</si>
  <si>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</si>
  <si>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</si>
  <si>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</si>
  <si>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</si>
  <si>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</si>
  <si>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</si>
  <si>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</si>
  <si>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</si>
  <si>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</si>
  <si>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</si>
  <si>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</si>
  <si>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</si>
  <si>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</si>
  <si>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</si>
  <si>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</si>
  <si>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</si>
  <si>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</si>
  <si>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</si>
  <si>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</si>
  <si>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</si>
  <si>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</si>
  <si>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</si>
  <si>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</si>
  <si>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</si>
  <si>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</si>
  <si>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</si>
  <si>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</si>
  <si>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</si>
  <si>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</si>
  <si>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</si>
  <si>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</si>
  <si>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</si>
  <si>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</si>
  <si>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</si>
  <si>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</si>
  <si>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</si>
  <si>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</si>
  <si>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</si>
  <si>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</si>
  <si>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</si>
  <si>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</si>
  <si>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</si>
  <si>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</si>
  <si>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</si>
  <si>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</si>
  <si>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</si>
  <si>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</si>
  <si>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</si>
  <si>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</si>
  <si>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</si>
  <si>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</si>
  <si>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</si>
  <si>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</si>
  <si>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</si>
  <si>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</si>
  <si>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</si>
  <si>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</si>
  <si>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</si>
  <si>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</si>
  <si>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</si>
  <si>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</si>
  <si>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</si>
  <si>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</si>
  <si>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</si>
  <si>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</si>
  <si>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</si>
  <si>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</si>
  <si>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</si>
  <si>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</si>
  <si>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</si>
  <si>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</si>
  <si>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</si>
  <si>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</si>
  <si>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</si>
  <si>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</si>
  <si>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</si>
  <si>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</si>
  <si>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</si>
  <si>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</si>
  <si>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</si>
  <si>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</si>
  <si>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</si>
  <si>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</si>
  <si>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</si>
  <si>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</si>
  <si>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</si>
  <si>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</si>
  <si>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</si>
  <si>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</si>
  <si>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</si>
  <si>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</si>
  <si>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</si>
  <si>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</si>
  <si>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</si>
  <si>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</si>
  <si>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</si>
  <si>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</si>
  <si>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</si>
  <si>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</si>
  <si>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</si>
  <si>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</si>
  <si>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</si>
  <si>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</si>
  <si>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</si>
  <si>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</si>
  <si>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</si>
  <si>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</si>
  <si>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</si>
  <si>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</si>
  <si>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</si>
  <si>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</si>
  <si>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</si>
  <si>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</si>
  <si>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</si>
  <si>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</si>
  <si>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</si>
  <si>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</si>
  <si>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</si>
  <si>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</si>
  <si>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</si>
  <si>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</si>
  <si>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</si>
  <si>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</si>
  <si>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</si>
  <si>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</si>
  <si>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</si>
  <si>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</si>
  <si>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</si>
  <si>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</si>
  <si>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</si>
  <si>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</si>
  <si>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</si>
  <si>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</si>
  <si>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</si>
  <si>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</si>
  <si>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</si>
  <si>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</si>
  <si>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</si>
  <si>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</si>
  <si>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</si>
  <si>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</si>
  <si>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</si>
  <si>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</si>
  <si>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</si>
  <si>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</si>
  <si>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</si>
  <si>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</si>
  <si>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</si>
  <si>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</si>
  <si>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</si>
  <si>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</si>
  <si>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</si>
  <si>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</si>
  <si>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</si>
  <si>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</si>
  <si>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</si>
  <si>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</si>
  <si>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</si>
  <si>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</si>
  <si>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</si>
  <si>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</si>
  <si>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</si>
  <si>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</si>
  <si>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</si>
  <si>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</si>
  <si>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</si>
  <si>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</si>
  <si>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</si>
  <si>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</si>
  <si>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</si>
  <si>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</si>
  <si>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</si>
  <si>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</si>
  <si>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</si>
  <si>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</si>
  <si>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</si>
  <si>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</si>
  <si>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</si>
  <si>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</si>
  <si>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</si>
  <si>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</si>
  <si>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</si>
  <si>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</si>
  <si>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</si>
  <si>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</si>
  <si>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</si>
  <si>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</si>
  <si>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</si>
  <si>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</si>
  <si>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</si>
  <si>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</si>
  <si>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</si>
  <si>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</si>
  <si>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</si>
  <si>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</si>
  <si>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</si>
  <si>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</si>
  <si>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</si>
  <si>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</si>
  <si>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</si>
  <si>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</si>
  <si>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</si>
  <si>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</si>
  <si>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</si>
  <si>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</si>
  <si>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</si>
  <si>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</si>
  <si>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</si>
  <si>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</si>
  <si>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</si>
  <si>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</si>
  <si>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</si>
  <si>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</si>
  <si>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</si>
  <si>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</si>
  <si>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</si>
  <si>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</si>
  <si>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</si>
  <si>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</si>
  <si>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</si>
  <si>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</si>
  <si>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</si>
  <si>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</si>
  <si>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</si>
  <si>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</si>
  <si>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</si>
  <si>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</si>
  <si>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</si>
  <si>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</si>
  <si>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</si>
  <si>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</si>
  <si>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</si>
  <si>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</si>
  <si>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</si>
  <si>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</si>
  <si>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</si>
  <si>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</si>
  <si>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</si>
  <si>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</si>
  <si>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</si>
  <si>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</si>
  <si>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</si>
  <si>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</si>
  <si>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</si>
  <si>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</si>
  <si>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</si>
  <si>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</si>
  <si>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</si>
  <si>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</si>
  <si>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</si>
  <si>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</si>
  <si>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</si>
  <si>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</si>
  <si>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</si>
  <si>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</si>
  <si>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</si>
  <si>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</si>
  <si>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</si>
  <si>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</si>
  <si>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</si>
  <si>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</si>
  <si>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</si>
  <si>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</si>
  <si>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</si>
  <si>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</si>
  <si>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</si>
  <si>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</si>
  <si>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</si>
  <si>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</si>
  <si>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</si>
  <si>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</si>
  <si>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</si>
  <si>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</si>
  <si>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</si>
  <si>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</si>
  <si>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</si>
  <si>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</si>
  <si>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</si>
  <si>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</si>
  <si>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</si>
  <si>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</si>
  <si>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</si>
  <si>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</si>
  <si>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</si>
  <si>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</si>
  <si>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</si>
  <si>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</si>
  <si>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</si>
  <si>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</si>
  <si>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</si>
  <si>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</si>
  <si>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</si>
  <si>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</si>
  <si>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</si>
  <si>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</si>
  <si>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</si>
  <si>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</si>
  <si>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</si>
  <si>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</si>
  <si>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</si>
  <si>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</si>
  <si>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</si>
  <si>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</si>
  <si>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</si>
  <si>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</si>
  <si>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</si>
  <si>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</si>
  <si>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</si>
  <si>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</si>
  <si>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</si>
  <si>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</si>
  <si>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</si>
  <si>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</si>
  <si>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</si>
  <si>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</si>
  <si>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</si>
  <si>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</si>
  <si>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</si>
  <si>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</si>
  <si>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</si>
  <si>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</si>
  <si>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</si>
  <si>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</si>
  <si>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</si>
  <si>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</si>
  <si>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</si>
  <si>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</si>
  <si>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</si>
  <si>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</si>
  <si>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</si>
  <si>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</si>
  <si>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</si>
  <si>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</si>
  <si>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</si>
  <si>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</si>
  <si>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</si>
  <si>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</si>
  <si>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</si>
  <si>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</si>
  <si>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</si>
  <si>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</si>
  <si>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</si>
  <si>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</si>
  <si>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</si>
  <si>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</si>
  <si>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</si>
  <si>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</si>
  <si>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</si>
  <si>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</si>
  <si>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</si>
  <si>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</si>
  <si>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</si>
  <si>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</si>
  <si>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</si>
  <si>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</si>
  <si>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</si>
  <si>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</si>
  <si>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</si>
  <si>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</si>
  <si>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</si>
  <si>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</si>
  <si>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</si>
  <si>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</si>
  <si>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</si>
  <si>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</si>
  <si>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</si>
  <si>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</si>
  <si>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</si>
  <si>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</si>
  <si>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</si>
  <si>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</si>
  <si>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</si>
  <si>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</si>
  <si>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</si>
  <si>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</si>
  <si>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</si>
  <si>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</si>
  <si>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</si>
  <si>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</si>
  <si>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</si>
  <si>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</si>
  <si>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</si>
  <si>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</si>
  <si>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</si>
  <si>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</si>
  <si>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</si>
  <si>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</si>
  <si>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</si>
  <si>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</si>
  <si>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</si>
  <si>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</si>
  <si>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</si>
  <si>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</si>
  <si>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</si>
  <si>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</si>
  <si>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</si>
  <si>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</si>
  <si>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</si>
  <si>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</si>
  <si>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</si>
  <si>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</si>
  <si>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</si>
  <si>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</si>
  <si>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</si>
  <si>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</si>
  <si>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</si>
  <si>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</si>
  <si>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</si>
  <si>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</si>
  <si>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</si>
  <si>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</si>
  <si>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</si>
  <si>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</si>
  <si>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</si>
  <si>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</si>
  <si>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</si>
  <si>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</si>
  <si>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</si>
  <si>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</si>
  <si>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</si>
  <si>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</si>
  <si>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</si>
  <si>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</si>
  <si>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</si>
  <si>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</si>
  <si>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</si>
  <si>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</si>
  <si>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</si>
  <si>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</si>
  <si>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</si>
  <si>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</si>
  <si>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</si>
  <si>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</si>
  <si>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</si>
  <si>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</si>
  <si>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</si>
  <si>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</si>
  <si>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</si>
  <si>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</si>
  <si>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</si>
  <si>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</si>
  <si>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</si>
  <si>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</si>
  <si>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</si>
  <si>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</si>
  <si>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</si>
  <si>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</si>
  <si>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</si>
  <si>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</si>
  <si>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</si>
  <si>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</si>
  <si>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</si>
  <si>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</si>
  <si>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</si>
  <si>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</si>
  <si>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</si>
  <si>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</si>
  <si>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</si>
  <si>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</si>
  <si>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</si>
  <si>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</si>
  <si>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</si>
  <si>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</si>
  <si>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</si>
  <si>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</si>
  <si>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</si>
  <si>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</si>
  <si>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</si>
  <si>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</si>
  <si>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</si>
  <si>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</si>
  <si>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</si>
  <si>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</si>
  <si>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</si>
  <si>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</si>
  <si>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</si>
  <si>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</si>
  <si>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</si>
  <si>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</si>
  <si>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</si>
  <si>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</si>
  <si>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</si>
  <si>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</si>
  <si>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</si>
  <si>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</si>
  <si>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</si>
  <si>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</si>
  <si>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</si>
  <si>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</si>
  <si>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</si>
  <si>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</si>
  <si>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</si>
  <si>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</si>
  <si>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</si>
  <si>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</si>
  <si>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</si>
  <si>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</si>
  <si>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</si>
  <si>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</si>
  <si>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</si>
  <si>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</si>
  <si>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</si>
  <si>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</si>
  <si>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</si>
  <si>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</si>
  <si>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</si>
  <si>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</si>
  <si>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</si>
  <si>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</si>
  <si>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</si>
  <si>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</si>
  <si>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</si>
  <si>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</si>
  <si>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</si>
  <si>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</si>
  <si>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</si>
  <si>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</si>
  <si>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</si>
  <si>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</si>
  <si>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</si>
  <si>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</si>
  <si>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</si>
  <si>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</si>
  <si>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</si>
  <si>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</si>
  <si>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</si>
  <si>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</si>
  <si>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</si>
  <si>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</si>
  <si>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</si>
  <si>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</si>
  <si>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</si>
  <si>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</si>
  <si>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</si>
  <si>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</si>
  <si>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</si>
  <si>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</si>
  <si>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</si>
  <si>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</si>
  <si>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</si>
  <si>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</si>
  <si>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</si>
  <si>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</si>
  <si>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</si>
  <si>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</si>
  <si>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</si>
  <si>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</si>
  <si>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</si>
  <si>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</si>
  <si>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</si>
  <si>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</si>
  <si>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</si>
  <si>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</si>
  <si>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</si>
  <si>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</si>
  <si>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</si>
  <si>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</si>
  <si>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</si>
  <si>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</si>
  <si>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</si>
  <si>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</si>
  <si>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</si>
  <si>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</si>
  <si>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</si>
  <si>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</si>
  <si>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</si>
  <si>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</si>
  <si>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</si>
  <si>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</si>
  <si>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</si>
  <si>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</si>
  <si>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</si>
  <si>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</si>
  <si>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</si>
  <si>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</si>
  <si>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</si>
  <si>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</si>
  <si>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</si>
  <si>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</si>
  <si>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</si>
  <si>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</si>
  <si>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</si>
  <si>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</si>
  <si>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</si>
  <si>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</si>
  <si>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</si>
  <si>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</si>
  <si>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</si>
  <si>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</si>
  <si>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</si>
  <si>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</si>
  <si>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</si>
  <si>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</si>
  <si>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</si>
  <si>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</si>
  <si>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</si>
  <si>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</si>
  <si>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</si>
  <si>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</si>
  <si>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</si>
  <si>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</si>
  <si>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</si>
  <si>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</si>
  <si>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</si>
  <si>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</si>
  <si>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</si>
  <si>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</si>
  <si>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</si>
  <si>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</si>
  <si>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</si>
  <si>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</si>
  <si>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</si>
  <si>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</si>
  <si>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</si>
  <si>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</si>
  <si>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</si>
  <si>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</si>
  <si>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</si>
  <si>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</si>
  <si>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</si>
  <si>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</si>
  <si>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</si>
  <si>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</si>
  <si>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</si>
  <si>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</si>
  <si>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</si>
  <si>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</si>
  <si>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</si>
  <si>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</si>
  <si>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</si>
  <si>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</si>
  <si>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</si>
  <si>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</si>
  <si>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</si>
  <si>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</si>
  <si>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</si>
  <si>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</si>
  <si>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</si>
  <si>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</si>
  <si>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</si>
  <si>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</si>
  <si>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</si>
  <si>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</si>
  <si>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</si>
  <si>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</si>
  <si>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</si>
  <si>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</si>
  <si>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</si>
  <si>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</si>
  <si>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</si>
  <si>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</si>
  <si>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</si>
  <si>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</si>
  <si>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</si>
  <si>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</si>
  <si>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</si>
  <si>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</si>
  <si>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</si>
  <si>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</si>
  <si>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</si>
  <si>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</si>
  <si>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</si>
  <si>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</si>
  <si>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</si>
  <si>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</si>
  <si>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</si>
  <si>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</si>
  <si>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</si>
  <si>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</si>
  <si>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</si>
  <si>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</si>
  <si>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</si>
  <si>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</si>
  <si>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</si>
  <si>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</si>
  <si>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</si>
  <si>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</si>
  <si>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</si>
  <si>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</si>
  <si>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</si>
  <si>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</si>
  <si>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</si>
  <si>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</si>
  <si>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</si>
  <si>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</si>
  <si>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</si>
  <si>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</si>
  <si>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</si>
  <si>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</si>
  <si>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</si>
  <si>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</si>
  <si>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</si>
  <si>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</si>
  <si>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</si>
  <si>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</si>
  <si>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</si>
  <si>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</si>
  <si>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</si>
  <si>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</si>
  <si>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</si>
  <si>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</si>
  <si>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</si>
  <si>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</si>
  <si>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</si>
  <si>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</si>
  <si>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</si>
  <si>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</si>
  <si>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</si>
  <si>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</si>
  <si>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</si>
  <si>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</si>
  <si>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</si>
  <si>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</si>
  <si>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</si>
  <si>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</si>
  <si>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</si>
  <si>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</si>
  <si>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</si>
  <si>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</si>
  <si>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</si>
  <si>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</si>
  <si>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</si>
  <si>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</si>
  <si>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</si>
  <si>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</si>
  <si>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</si>
  <si>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</si>
  <si>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</si>
  <si>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</si>
  <si>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</si>
  <si>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</si>
  <si>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</si>
  <si>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</si>
  <si>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</si>
  <si>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</si>
  <si>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</si>
  <si>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</si>
  <si>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</si>
  <si>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</si>
  <si>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</si>
  <si>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</si>
  <si>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</si>
  <si>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</si>
  <si>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</si>
  <si>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</si>
  <si>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</si>
  <si>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</si>
  <si>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</si>
  <si>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</si>
  <si>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</si>
  <si>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</si>
  <si>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</si>
  <si>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</si>
  <si>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</si>
  <si>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</si>
  <si>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</si>
  <si>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</si>
  <si>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</si>
  <si>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</si>
  <si>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</si>
  <si>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</si>
  <si>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</si>
  <si>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</si>
  <si>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</si>
  <si>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</si>
  <si>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</si>
  <si>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</si>
  <si>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</si>
  <si>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</si>
  <si>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</si>
  <si>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</si>
  <si>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</si>
  <si>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</si>
  <si>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</si>
  <si>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</si>
  <si>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</si>
  <si>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</si>
  <si>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</si>
  <si>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</si>
  <si>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</si>
  <si>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</si>
  <si>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</si>
  <si>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</si>
  <si>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</si>
  <si>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</si>
  <si>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</si>
  <si>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</si>
  <si>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</si>
  <si>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</si>
  <si>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</si>
  <si>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</si>
  <si>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</si>
  <si>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</si>
  <si>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</si>
  <si>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</si>
  <si>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</si>
  <si>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</si>
  <si>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</si>
  <si>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</si>
  <si>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</si>
  <si>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</si>
  <si>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</si>
  <si>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</si>
  <si>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</si>
  <si>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</si>
  <si>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</si>
  <si>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</si>
  <si>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</si>
  <si>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</si>
  <si>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</si>
  <si>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</si>
  <si>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</si>
  <si>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</si>
  <si>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</si>
  <si>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</si>
  <si>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</si>
  <si>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</si>
  <si>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</si>
  <si>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</si>
  <si>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</si>
  <si>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</si>
  <si>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</si>
  <si>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</si>
  <si>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</si>
  <si>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</si>
  <si>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</si>
  <si>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</si>
  <si>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</si>
  <si>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</si>
  <si>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</si>
  <si>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</si>
  <si>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</si>
  <si>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</si>
  <si>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</si>
  <si>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</si>
  <si>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</si>
  <si>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</si>
  <si>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</si>
  <si>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</si>
  <si>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</si>
  <si>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</si>
  <si>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</si>
  <si>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</si>
  <si>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</si>
  <si>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</si>
  <si>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</si>
  <si>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</si>
  <si>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</si>
  <si>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</si>
  <si>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</si>
  <si>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</si>
  <si>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</si>
  <si>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</si>
  <si>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</si>
  <si>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</si>
  <si>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</si>
  <si>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</si>
  <si>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</si>
  <si>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</si>
  <si>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</si>
  <si>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</si>
  <si>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</si>
  <si>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</si>
  <si>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</si>
  <si>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</si>
  <si>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</si>
  <si>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</si>
  <si>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</si>
  <si>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</si>
  <si>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</si>
  <si>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</si>
  <si>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</si>
  <si>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</si>
  <si>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</si>
  <si>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</si>
  <si>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</si>
  <si>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</si>
  <si>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</si>
  <si>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</si>
  <si>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</si>
  <si>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</si>
  <si>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</si>
  <si>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</si>
  <si>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</si>
  <si>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</si>
  <si>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</si>
  <si>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</si>
  <si>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</si>
  <si>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</si>
  <si>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</si>
  <si>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</si>
  <si>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</si>
  <si>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</si>
  <si>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</si>
  <si>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</si>
  <si>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</si>
  <si>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</si>
  <si>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</si>
  <si>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</si>
  <si>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</si>
  <si>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</si>
  <si>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</si>
  <si>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</si>
  <si>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</si>
  <si>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</si>
  <si>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</si>
  <si>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</si>
  <si>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</si>
  <si>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</si>
  <si>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</si>
  <si>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</si>
  <si>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</si>
  <si>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</si>
  <si>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</si>
  <si>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</si>
  <si>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</si>
  <si>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</si>
  <si>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</si>
  <si>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</si>
  <si>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</si>
  <si>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</si>
  <si>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</si>
  <si>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</si>
  <si>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</si>
  <si>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</si>
  <si>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</si>
  <si>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</si>
  <si>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</si>
  <si>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</si>
  <si>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</si>
  <si>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</si>
  <si>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</si>
  <si>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</si>
  <si>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</si>
  <si>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</si>
  <si>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</si>
  <si>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</si>
  <si>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</si>
  <si>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</si>
  <si>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</si>
  <si>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</si>
  <si>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</si>
  <si>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</si>
  <si>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</si>
  <si>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</si>
  <si>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</si>
  <si>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</si>
  <si>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</si>
  <si>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</si>
  <si>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</si>
  <si>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</si>
  <si>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</si>
  <si>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</si>
  <si>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</si>
  <si>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</si>
  <si>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</si>
  <si>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</si>
  <si>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</si>
  <si>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</si>
  <si>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</si>
  <si>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</si>
  <si>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</si>
  <si>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</si>
  <si>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</si>
  <si>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</si>
  <si>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</si>
  <si>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</si>
  <si>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</si>
  <si>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</si>
  <si>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</si>
  <si>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</si>
  <si>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</si>
  <si>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</si>
  <si>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</si>
  <si>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</si>
  <si>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</si>
  <si>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</si>
  <si>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</si>
  <si>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</si>
  <si>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</si>
  <si>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</si>
  <si>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</si>
  <si>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</si>
  <si>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</si>
  <si>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</si>
  <si>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</si>
  <si>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</si>
  <si>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</si>
  <si>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</si>
  <si>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</si>
  <si>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</si>
  <si>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</si>
  <si>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</si>
  <si>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</si>
  <si>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</si>
  <si>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</si>
  <si>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</si>
  <si>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</si>
  <si>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</si>
  <si>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</si>
  <si>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</si>
  <si>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</si>
  <si>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</si>
  <si>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</si>
  <si>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</si>
  <si>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</si>
  <si>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</si>
  <si>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</si>
  <si>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</si>
  <si>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</si>
  <si>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</si>
  <si>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</si>
  <si>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</si>
  <si>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</si>
  <si>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</si>
  <si>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</si>
  <si>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</si>
  <si>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</si>
  <si>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</si>
  <si>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</si>
  <si>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</si>
  <si>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</si>
  <si>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</si>
  <si>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</si>
  <si>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</si>
  <si>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</si>
  <si>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</si>
  <si>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</si>
  <si>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</si>
  <si>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</si>
  <si>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</si>
  <si>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</si>
  <si>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</si>
  <si>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</si>
  <si>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</si>
  <si>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</si>
  <si>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</si>
  <si>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</si>
  <si>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</si>
  <si>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</si>
  <si>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</si>
  <si>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</si>
  <si>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</si>
  <si>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</si>
  <si>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</si>
  <si>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</si>
  <si>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</si>
  <si>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</si>
  <si>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</si>
  <si>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</si>
  <si>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</si>
  <si>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</si>
  <si>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</si>
  <si>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</si>
  <si>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</si>
  <si>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</si>
  <si>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</si>
  <si>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</si>
  <si>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</si>
  <si>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</si>
  <si>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</si>
  <si>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</si>
  <si>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</si>
  <si>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</si>
  <si>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</si>
  <si>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</si>
  <si>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</si>
  <si>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</si>
  <si>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</si>
  <si>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</si>
  <si>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</si>
  <si>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</si>
  <si>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</si>
  <si>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</si>
  <si>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</si>
  <si>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</si>
  <si>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</si>
  <si>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</si>
  <si>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</si>
  <si>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</si>
  <si>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</si>
  <si>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</si>
  <si>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</si>
  <si>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</si>
  <si>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</si>
  <si>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</si>
  <si>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</si>
  <si>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</si>
  <si>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</si>
  <si>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</si>
  <si>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</si>
  <si>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</si>
  <si>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</si>
  <si>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</si>
  <si>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</si>
  <si>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</si>
  <si>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</si>
  <si>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</si>
  <si>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</si>
  <si>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</si>
  <si>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</si>
  <si>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</si>
  <si>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</si>
  <si>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</si>
  <si>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</si>
  <si>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</si>
  <si>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</si>
  <si>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</si>
  <si>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</si>
  <si>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</si>
  <si>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</si>
  <si>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</si>
  <si>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</si>
  <si>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</si>
  <si>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</si>
  <si>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</si>
  <si>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</si>
  <si>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</si>
  <si>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</si>
  <si>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</si>
  <si>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</si>
  <si>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</si>
  <si>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</si>
  <si>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</si>
  <si>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</si>
  <si>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</si>
  <si>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</si>
  <si>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</si>
  <si>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</si>
  <si>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</si>
  <si>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</si>
  <si>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</si>
  <si>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</si>
  <si>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</si>
  <si>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</si>
  <si>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</si>
  <si>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</si>
  <si>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</si>
  <si>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</si>
  <si>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</si>
  <si>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</si>
  <si>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</si>
  <si>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</si>
  <si>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</si>
  <si>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</si>
  <si>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</si>
  <si>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</si>
  <si>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</si>
  <si>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</si>
  <si>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</si>
  <si>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</si>
  <si>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</si>
  <si>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</si>
  <si>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</si>
  <si>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</si>
  <si>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</si>
  <si>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</si>
  <si>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</si>
  <si>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</si>
  <si>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</si>
  <si>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</si>
  <si>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</si>
  <si>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</si>
  <si>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</si>
  <si>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</si>
  <si>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</si>
  <si>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</si>
  <si>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</si>
  <si>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</si>
  <si>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</si>
  <si>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</si>
  <si>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</si>
  <si>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</si>
  <si>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</si>
  <si>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</si>
  <si>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</si>
  <si>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</si>
  <si>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</si>
  <si>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</si>
  <si>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</si>
  <si>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</si>
  <si>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</si>
  <si>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</si>
  <si>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</si>
  <si>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</si>
  <si>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</si>
  <si>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</si>
  <si>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</si>
  <si>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</si>
  <si>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</si>
  <si>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</si>
  <si>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</si>
  <si>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</si>
  <si>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</si>
  <si>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</si>
  <si>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</si>
  <si>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</si>
  <si>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</si>
  <si>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</si>
  <si>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</si>
  <si>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</si>
  <si>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</si>
  <si>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</si>
  <si>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</si>
  <si>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</si>
  <si>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</si>
  <si>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</si>
  <si>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</si>
  <si>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</si>
  <si>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</si>
  <si>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</si>
  <si>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</si>
  <si>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</si>
  <si>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</si>
  <si>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</si>
  <si>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</si>
  <si>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</si>
  <si>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</si>
  <si>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</si>
  <si>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</si>
  <si>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</si>
  <si>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</si>
  <si>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</si>
  <si>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</si>
  <si>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</si>
  <si>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</si>
  <si>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</si>
  <si>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</si>
  <si>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</si>
  <si>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</si>
  <si>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</si>
  <si>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</si>
  <si>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</si>
  <si>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</si>
  <si>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</si>
  <si>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</si>
  <si>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</si>
  <si>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</si>
  <si>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</si>
  <si>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</si>
  <si>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</si>
  <si>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</si>
  <si>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</si>
  <si>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</si>
  <si>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</si>
  <si>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</si>
  <si>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</si>
  <si>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</si>
  <si>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</si>
  <si>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</si>
  <si>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</si>
  <si>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</si>
  <si>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</si>
  <si>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</si>
  <si>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</si>
  <si>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</si>
  <si>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</si>
  <si>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</si>
  <si>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</si>
  <si>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</si>
  <si>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</si>
  <si>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</si>
  <si>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</si>
  <si>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</si>
  <si>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</si>
  <si>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</si>
  <si>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</si>
  <si>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</si>
  <si>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</si>
  <si>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</si>
  <si>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</si>
  <si>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</si>
  <si>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</si>
  <si>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</si>
  <si>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</si>
  <si>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</si>
  <si>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</si>
  <si>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</si>
  <si>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</si>
  <si>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</si>
  <si>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</si>
  <si>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</si>
  <si>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</si>
  <si>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</si>
  <si>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</si>
  <si>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</si>
  <si>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</si>
  <si>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</si>
  <si>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</si>
  <si>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</si>
  <si>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</si>
  <si>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</si>
  <si>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</si>
  <si>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</si>
  <si>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</si>
  <si>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</si>
  <si>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</si>
  <si>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</si>
  <si>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</si>
  <si>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</si>
  <si>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</si>
  <si>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</si>
  <si>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</si>
  <si>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</si>
  <si>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</si>
  <si>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</si>
  <si>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</si>
  <si>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</si>
  <si>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</si>
  <si>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</si>
  <si>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</si>
  <si>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</si>
  <si>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</si>
  <si>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</si>
  <si>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</si>
  <si>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</si>
  <si>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</si>
  <si>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</si>
  <si>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</si>
  <si>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</si>
  <si>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</si>
  <si>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</si>
  <si>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</si>
  <si>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</si>
  <si>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</si>
  <si>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</si>
  <si>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</si>
  <si>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</si>
  <si>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</si>
  <si>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</si>
  <si>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</si>
  <si>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</si>
  <si>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</si>
  <si>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</si>
  <si>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</si>
  <si>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</si>
  <si>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</si>
  <si>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</si>
  <si>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</si>
  <si>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</si>
  <si>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</si>
  <si>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</si>
  <si>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</si>
  <si>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</si>
  <si>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</si>
  <si>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</si>
  <si>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</si>
  <si>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</si>
  <si>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</si>
  <si>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</si>
  <si>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</si>
  <si>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</si>
  <si>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</si>
  <si>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</si>
  <si>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</si>
  <si>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</si>
  <si>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</si>
  <si>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</si>
  <si>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</si>
  <si>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</si>
  <si>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</si>
  <si>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</si>
  <si>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</si>
  <si>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</si>
  <si>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</si>
  <si>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</si>
  <si>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</si>
  <si>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</si>
  <si>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</si>
  <si>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</si>
  <si>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</si>
  <si>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</si>
  <si>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</si>
  <si>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</si>
  <si>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</si>
  <si>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</si>
  <si>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</si>
  <si>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</si>
  <si>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</si>
  <si>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</si>
  <si>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</si>
  <si>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</si>
  <si>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</si>
  <si>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</si>
  <si>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</si>
  <si>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</si>
  <si>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</si>
  <si>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</si>
  <si>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</si>
  <si>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</si>
  <si>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</si>
  <si>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</si>
  <si>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</si>
  <si>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</si>
  <si>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</si>
  <si>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</si>
  <si>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</si>
  <si>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</si>
  <si>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</si>
  <si>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</si>
  <si>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</si>
  <si>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</si>
  <si>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</si>
  <si>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</si>
  <si>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</si>
  <si>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</si>
  <si>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</si>
  <si>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</si>
  <si>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</si>
  <si>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</si>
  <si>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</si>
  <si>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</si>
  <si>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</si>
  <si>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</si>
  <si>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</si>
  <si>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</si>
  <si>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</si>
  <si>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</si>
  <si>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</si>
  <si>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</si>
  <si>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</si>
  <si>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</si>
  <si>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</si>
  <si>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</si>
  <si>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</si>
  <si>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</si>
  <si>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</si>
  <si>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</si>
  <si>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</si>
  <si>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</si>
  <si>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</si>
  <si>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</si>
  <si>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</si>
  <si>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</si>
  <si>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</si>
  <si>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</si>
  <si>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</si>
  <si>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</si>
  <si>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</si>
  <si>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</si>
  <si>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</si>
  <si>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</si>
  <si>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</si>
  <si>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</si>
  <si>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</si>
  <si>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</si>
  <si>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</si>
  <si>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</si>
  <si>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</si>
  <si>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</si>
  <si>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</si>
  <si>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</si>
  <si>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</si>
  <si>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</si>
  <si>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</si>
  <si>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</si>
  <si>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</si>
  <si>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</si>
  <si>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</si>
  <si>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</si>
  <si>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</si>
  <si>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</si>
  <si>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</si>
  <si>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</si>
  <si>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</si>
  <si>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</si>
  <si>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</si>
  <si>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</si>
  <si>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</si>
  <si>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</si>
  <si>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</si>
  <si>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</si>
  <si>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</si>
  <si>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</si>
  <si>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</si>
  <si>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</si>
  <si>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</si>
  <si>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</si>
  <si>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</si>
  <si>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</si>
  <si>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</si>
  <si>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</si>
  <si>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</si>
  <si>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</si>
  <si>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</si>
  <si>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</si>
  <si>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</si>
  <si>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</si>
  <si>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</si>
  <si>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</si>
  <si>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</si>
  <si>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</si>
  <si>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</si>
  <si>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</si>
  <si>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</si>
  <si>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</si>
  <si>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</si>
  <si>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</si>
  <si>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</si>
  <si>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</si>
  <si>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</si>
  <si>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</si>
  <si>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</si>
  <si>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</si>
  <si>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</si>
  <si>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</si>
  <si>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</si>
  <si>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</si>
  <si>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</si>
  <si>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</si>
  <si>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</si>
  <si>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</si>
  <si>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</si>
  <si>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</si>
  <si>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</si>
  <si>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</si>
  <si>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</si>
  <si>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</si>
  <si>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</si>
  <si>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</si>
  <si>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</si>
  <si>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</si>
  <si>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</si>
  <si>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</si>
  <si>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</si>
  <si>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</si>
  <si>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</si>
  <si>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</si>
  <si>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</si>
  <si>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</si>
  <si>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</si>
  <si>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</si>
  <si>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</si>
  <si>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</si>
  <si>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</si>
  <si>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</si>
  <si>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</si>
  <si>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</si>
  <si>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</si>
  <si>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</si>
  <si>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</si>
  <si>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</si>
  <si>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</si>
  <si>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</si>
  <si>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</si>
  <si>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</si>
  <si>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</si>
  <si>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</si>
  <si>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</si>
  <si>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</si>
  <si>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</si>
  <si>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</si>
  <si>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</si>
  <si>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</si>
  <si>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</si>
  <si>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</si>
  <si>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</si>
  <si>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</si>
  <si>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</si>
  <si>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</si>
  <si>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</si>
  <si>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</si>
  <si>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</si>
  <si>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</si>
  <si>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</si>
  <si>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</si>
  <si>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</si>
  <si>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</si>
  <si>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</si>
  <si>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</si>
  <si>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</si>
  <si>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</si>
  <si>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</si>
  <si>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</si>
  <si>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</si>
  <si>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</si>
  <si>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</si>
  <si>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</si>
  <si>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</si>
  <si>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</si>
  <si>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</si>
  <si>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</si>
  <si>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</si>
  <si>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</si>
  <si>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</si>
  <si>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</si>
  <si>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</si>
  <si>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</si>
  <si>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</si>
  <si>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</si>
  <si>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</si>
  <si>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</si>
  <si>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</si>
  <si>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</si>
  <si>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</si>
  <si>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</si>
  <si>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</si>
  <si>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</si>
  <si>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</si>
  <si>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</si>
  <si>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</si>
  <si>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</si>
  <si>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</si>
  <si>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</si>
  <si>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</si>
  <si>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</si>
  <si>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</si>
  <si>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</si>
  <si>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</si>
  <si>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</si>
  <si>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</si>
  <si>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</si>
  <si>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</si>
  <si>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</si>
  <si>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</si>
  <si>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</si>
  <si>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</si>
  <si>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</si>
  <si>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</si>
  <si>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</si>
  <si>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</si>
  <si>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</si>
  <si>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</si>
  <si>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</si>
  <si>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</si>
  <si>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</si>
  <si>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</si>
  <si>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</si>
  <si>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</si>
  <si>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</si>
  <si>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</si>
  <si>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</si>
  <si>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</si>
  <si>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</si>
  <si>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</si>
  <si>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</si>
  <si>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</si>
  <si>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</si>
  <si>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</si>
  <si>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</si>
  <si>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</si>
  <si>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</si>
  <si>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</si>
  <si>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</si>
  <si>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</si>
  <si>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</si>
  <si>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</si>
  <si>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</si>
  <si>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</si>
  <si>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</si>
  <si>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</si>
  <si>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</si>
  <si>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</si>
  <si>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</si>
  <si>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</si>
  <si>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</si>
  <si>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</si>
  <si>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</si>
  <si>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</si>
  <si>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</si>
  <si>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</si>
  <si>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</si>
  <si>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</si>
  <si>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</si>
  <si>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</si>
  <si>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</si>
  <si>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</si>
  <si>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</si>
  <si>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</si>
  <si>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</si>
  <si>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</si>
  <si>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</si>
  <si>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</si>
  <si>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</si>
  <si>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</si>
  <si>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</si>
  <si>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</si>
  <si>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</si>
  <si>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</si>
  <si>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</si>
  <si>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</si>
  <si>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</si>
  <si>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</si>
  <si>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</si>
  <si>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</si>
  <si>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</si>
  <si>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</si>
  <si>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</si>
  <si>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</si>
  <si>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</si>
  <si>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</si>
  <si>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</si>
  <si>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</si>
  <si>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</si>
  <si>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</si>
  <si>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</si>
  <si>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</si>
  <si>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</si>
  <si>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</si>
  <si>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</si>
  <si>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</si>
  <si>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</si>
  <si>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</si>
  <si>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</si>
  <si>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</si>
  <si>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</si>
  <si>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</si>
  <si>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</si>
  <si>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</si>
  <si>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</si>
  <si>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</si>
  <si>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</si>
  <si>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</si>
  <si>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</si>
  <si>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</si>
  <si>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</si>
  <si>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</si>
  <si>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</si>
  <si>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</si>
  <si>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</si>
  <si>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</si>
  <si>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</si>
  <si>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</si>
  <si>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</si>
  <si>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</si>
  <si>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</si>
  <si>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</si>
  <si>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</si>
  <si>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</si>
  <si>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</si>
  <si>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</si>
  <si>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</si>
  <si>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</si>
  <si>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</si>
  <si>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</si>
  <si>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</si>
  <si>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</si>
  <si>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</si>
  <si>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</si>
  <si>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</si>
  <si>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</si>
  <si>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</si>
  <si>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</si>
  <si>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</si>
  <si>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</si>
  <si>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</si>
  <si>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</si>
  <si>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</si>
  <si>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</si>
  <si>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</si>
  <si>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</si>
  <si>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</si>
  <si>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</si>
  <si>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</si>
  <si>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</si>
  <si>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</si>
  <si>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</si>
  <si>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</si>
  <si>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</si>
  <si>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</si>
  <si>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</si>
  <si>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</si>
  <si>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</si>
  <si>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</si>
  <si>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</si>
  <si>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</si>
  <si>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</si>
  <si>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</si>
  <si>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</si>
  <si>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</si>
  <si>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</si>
  <si>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</si>
  <si>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</si>
  <si>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</si>
  <si>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</si>
  <si>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</si>
  <si>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</si>
  <si>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</si>
  <si>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</si>
  <si>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</si>
  <si>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</si>
  <si>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</si>
  <si>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</si>
  <si>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</si>
  <si>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</si>
  <si>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</si>
  <si>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</si>
  <si>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</si>
  <si>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</si>
  <si>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</si>
  <si>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</si>
  <si>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</si>
  <si>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</si>
  <si>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</si>
  <si>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</si>
  <si>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</si>
  <si>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</si>
  <si>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</si>
  <si>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</si>
  <si>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</si>
  <si>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</si>
  <si>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</si>
  <si>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</si>
  <si>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</si>
  <si>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</si>
  <si>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</si>
  <si>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</si>
  <si>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</si>
  <si>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</si>
  <si>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</si>
  <si>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</si>
  <si>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</si>
  <si>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</si>
  <si>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</si>
  <si>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</si>
  <si>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</si>
  <si>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</si>
  <si>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</si>
  <si>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</si>
  <si>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</si>
  <si>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</si>
  <si>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</si>
  <si>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</si>
  <si>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</si>
  <si>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</si>
  <si>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</si>
  <si>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</si>
  <si>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</si>
  <si>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</si>
  <si>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</si>
  <si>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</si>
  <si>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</si>
  <si>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</si>
  <si>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</si>
  <si>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</si>
  <si>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</si>
  <si>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</si>
  <si>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</si>
  <si>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</si>
  <si>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</si>
  <si>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</si>
  <si>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</si>
  <si>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</si>
  <si>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</si>
  <si>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</si>
  <si>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</si>
  <si>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</si>
  <si>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</si>
  <si>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</si>
  <si>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</si>
  <si>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</si>
  <si>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</si>
  <si>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</si>
  <si>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</si>
  <si>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</si>
  <si>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</si>
  <si>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</si>
  <si>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</si>
  <si>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</si>
  <si>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</si>
  <si>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</si>
  <si>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</si>
  <si>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</si>
  <si>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</si>
  <si>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</si>
  <si>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</si>
  <si>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</si>
  <si>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</si>
  <si>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</si>
  <si>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</si>
  <si>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</si>
  <si>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</si>
  <si>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</si>
  <si>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</si>
  <si>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</si>
  <si>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</si>
  <si>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</si>
  <si>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</si>
  <si>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</si>
  <si>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</si>
  <si>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</si>
  <si>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</si>
  <si>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</si>
  <si>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</si>
  <si>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</si>
  <si>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</si>
  <si>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</si>
  <si>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</si>
  <si>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</si>
  <si>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</si>
  <si>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</si>
  <si>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</si>
  <si>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</si>
  <si>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</si>
  <si>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</si>
  <si>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</si>
  <si>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</si>
  <si>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</si>
  <si>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</si>
  <si>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</si>
  <si>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</si>
  <si>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</si>
  <si>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</si>
  <si>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</si>
  <si>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</si>
  <si>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</si>
  <si>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</si>
  <si>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</si>
  <si>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</si>
  <si>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</si>
  <si>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</si>
  <si>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</si>
  <si>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</si>
  <si>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</si>
  <si>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</si>
  <si>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</si>
  <si>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</si>
  <si>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</si>
  <si>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</si>
  <si>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</si>
  <si>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</si>
  <si>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</si>
  <si>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</si>
  <si>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</si>
  <si>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</si>
  <si>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</si>
  <si>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</si>
  <si>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</si>
  <si>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</si>
  <si>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</si>
  <si>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</si>
  <si>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</si>
  <si>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</si>
  <si>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</si>
  <si>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</si>
  <si>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</si>
  <si>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</si>
  <si>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</si>
  <si>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</si>
  <si>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</si>
  <si>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</si>
  <si>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</si>
  <si>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</si>
  <si>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</si>
  <si>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</si>
  <si>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</si>
  <si>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</si>
  <si>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</si>
  <si>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</si>
  <si>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</si>
  <si>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</si>
  <si>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</si>
  <si>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</si>
  <si>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</si>
  <si>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</si>
  <si>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</si>
  <si>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</si>
  <si>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</si>
  <si>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</si>
  <si>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</si>
  <si>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</si>
  <si>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</si>
  <si>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</si>
  <si>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</si>
  <si>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</si>
  <si>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</si>
  <si>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</si>
  <si>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</si>
  <si>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</si>
  <si>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</si>
  <si>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</si>
  <si>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</si>
  <si>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</si>
  <si>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</si>
  <si>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</si>
  <si>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</si>
  <si>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</si>
  <si>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</si>
  <si>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</si>
  <si>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</si>
  <si>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</si>
  <si>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</si>
  <si>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</si>
  <si>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</si>
  <si>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</si>
  <si>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</si>
  <si>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</si>
  <si>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</si>
  <si>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</si>
  <si>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</si>
  <si>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</si>
  <si>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</si>
  <si>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</si>
  <si>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</si>
  <si>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</si>
  <si>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</si>
  <si>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</si>
  <si>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</si>
  <si>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</si>
  <si>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</si>
  <si>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</si>
  <si>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</si>
  <si>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</si>
  <si>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</si>
  <si>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</si>
  <si>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</si>
  <si>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</si>
  <si>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</si>
  <si>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</si>
  <si>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</si>
  <si>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</si>
  <si>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</si>
  <si>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</si>
  <si>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</si>
  <si>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</si>
  <si>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</si>
  <si>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</si>
  <si>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</si>
  <si>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</si>
  <si>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</si>
  <si>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</si>
  <si>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</si>
  <si>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</si>
  <si>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</si>
  <si>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</si>
  <si>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</si>
  <si>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</si>
  <si>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</si>
  <si>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</si>
  <si>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</si>
  <si>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</si>
  <si>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</si>
  <si>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</si>
  <si>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</si>
  <si>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</si>
  <si>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</si>
  <si>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</si>
  <si>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</si>
  <si>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</si>
  <si>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</si>
  <si>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</si>
  <si>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</si>
  <si>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</si>
  <si>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</si>
  <si>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</si>
  <si>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</si>
  <si>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</si>
  <si>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</si>
  <si>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</si>
  <si>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</si>
  <si>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</si>
  <si>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</si>
  <si>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</si>
  <si>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</si>
  <si>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</si>
  <si>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</si>
  <si>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</si>
  <si>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</si>
  <si>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</si>
  <si>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</si>
  <si>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</si>
  <si>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</si>
  <si>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</si>
  <si>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</si>
  <si>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</si>
  <si>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</si>
  <si>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</si>
  <si>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</si>
  <si>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</si>
  <si>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</si>
  <si>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</si>
  <si>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</si>
  <si>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</si>
  <si>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</si>
  <si>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</si>
  <si>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</si>
  <si>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</si>
  <si>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</si>
  <si>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</si>
  <si>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</si>
  <si>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</si>
  <si>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</si>
  <si>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</si>
  <si>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</si>
  <si>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</si>
  <si>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</si>
  <si>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</si>
  <si>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</si>
  <si>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</si>
  <si>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</si>
  <si>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</si>
  <si>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</si>
  <si>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</si>
  <si>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</si>
  <si>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</si>
  <si>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</si>
  <si>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</si>
  <si>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</si>
  <si>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</si>
  <si>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</si>
  <si>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</si>
  <si>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</si>
  <si>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</si>
  <si>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</si>
  <si>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</si>
  <si>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</si>
  <si>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</si>
  <si>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</si>
  <si>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</si>
  <si>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</si>
  <si>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</si>
  <si>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</si>
  <si>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</si>
  <si>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</si>
  <si>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</si>
  <si>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</si>
  <si>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</si>
  <si>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</si>
  <si>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</si>
  <si>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</si>
  <si>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</si>
  <si>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</si>
  <si>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</si>
  <si>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</si>
  <si>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</si>
  <si>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</si>
  <si>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</si>
  <si>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</si>
  <si>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</si>
  <si>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</si>
  <si>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</si>
  <si>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</si>
  <si>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</si>
  <si>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</si>
  <si>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</si>
  <si>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</si>
  <si>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</si>
  <si>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</si>
  <si>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</si>
  <si>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</si>
  <si>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</si>
  <si>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</si>
  <si>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</si>
  <si>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</si>
  <si>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</si>
  <si>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</si>
  <si>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</si>
  <si>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</si>
  <si>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</si>
  <si>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</si>
  <si>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</si>
  <si>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</si>
  <si>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</si>
  <si>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</si>
  <si>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</si>
  <si>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</si>
  <si>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</si>
  <si>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</si>
  <si>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</si>
  <si>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</si>
  <si>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</si>
  <si>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</si>
  <si>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</si>
  <si>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</si>
  <si>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</si>
  <si>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</si>
  <si>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</si>
  <si>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</si>
  <si>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</si>
  <si>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</si>
  <si>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</si>
  <si>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</si>
  <si>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</si>
  <si>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</si>
  <si>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</si>
  <si>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</si>
  <si>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</si>
  <si>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</si>
  <si>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</si>
  <si>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</si>
  <si>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</si>
  <si>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</si>
  <si>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</si>
  <si>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</si>
  <si>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</si>
  <si>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</si>
  <si>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</si>
  <si>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</si>
  <si>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</si>
  <si>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</si>
  <si>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</si>
  <si>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</si>
  <si>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</si>
  <si>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</si>
  <si>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</si>
  <si>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</si>
  <si>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</si>
  <si>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</si>
  <si>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</si>
  <si>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</si>
  <si>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</si>
  <si>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</si>
  <si>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</si>
  <si>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</si>
  <si>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</si>
  <si>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</si>
  <si>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</si>
  <si>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</si>
  <si>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</si>
  <si>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</si>
  <si>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</si>
  <si>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</si>
  <si>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</si>
  <si>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</si>
  <si>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</si>
  <si>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</si>
  <si>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</si>
  <si>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</si>
  <si>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</si>
  <si>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</si>
  <si>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</si>
  <si>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</si>
  <si>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</si>
  <si>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</si>
  <si>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</si>
  <si>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</si>
  <si>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</si>
  <si>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</si>
  <si>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</si>
  <si>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</si>
  <si>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</si>
  <si>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</si>
  <si>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</si>
  <si>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</si>
  <si>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</si>
  <si>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</si>
  <si>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</si>
  <si>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</si>
  <si>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</si>
  <si>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</si>
  <si>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</si>
  <si>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</si>
  <si>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</si>
  <si>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</si>
  <si>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</si>
  <si>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</si>
  <si>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</si>
  <si>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</si>
  <si>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</si>
  <si>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</si>
  <si>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</si>
  <si>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</si>
  <si>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</si>
  <si>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</si>
  <si>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</si>
  <si>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</si>
  <si>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</si>
  <si>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</si>
  <si>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</si>
  <si>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</si>
  <si>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</si>
  <si>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</si>
  <si>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</si>
  <si>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</si>
  <si>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</si>
  <si>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</si>
  <si>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</si>
  <si>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</si>
  <si>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</si>
  <si>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</si>
  <si>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</si>
  <si>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</si>
  <si>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</si>
  <si>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</si>
  <si>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</si>
  <si>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</si>
  <si>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</si>
  <si>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</si>
  <si>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</si>
  <si>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</si>
  <si>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</si>
  <si>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</si>
  <si>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</si>
  <si>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</si>
  <si>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</si>
  <si>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</si>
  <si>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</si>
  <si>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</si>
  <si>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</si>
  <si>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</si>
  <si>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</si>
  <si>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</si>
  <si>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</si>
  <si>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</si>
  <si>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</si>
  <si>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</si>
  <si>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</si>
  <si>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</si>
  <si>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</si>
  <si>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</si>
  <si>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</si>
  <si>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</si>
  <si>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</si>
  <si>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</si>
  <si>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</si>
  <si>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</si>
  <si>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</si>
  <si>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</si>
  <si>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</si>
  <si>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</si>
  <si>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</si>
  <si>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</si>
  <si>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</si>
  <si>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</si>
  <si>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</si>
  <si>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</si>
  <si>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</si>
  <si>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</si>
  <si>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</si>
  <si>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</si>
  <si>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</si>
  <si>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</si>
  <si>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</si>
  <si>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</si>
  <si>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</si>
  <si>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</si>
  <si>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</si>
  <si>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</si>
  <si>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</si>
  <si>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</si>
  <si>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</si>
  <si>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</si>
  <si>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</si>
  <si>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</si>
  <si>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</si>
  <si>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</si>
  <si>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</si>
  <si>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</si>
  <si>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</si>
  <si>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</si>
  <si>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</si>
  <si>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</si>
  <si>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</si>
  <si>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</si>
  <si>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</si>
  <si>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</si>
  <si>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</si>
  <si>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</si>
  <si>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</si>
  <si>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</si>
  <si>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</si>
  <si>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</si>
  <si>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</si>
  <si>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</si>
  <si>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</si>
  <si>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</si>
  <si>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</si>
  <si>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</si>
  <si>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</si>
  <si>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</si>
  <si>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</si>
  <si>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</si>
  <si>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</si>
  <si>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</si>
  <si>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</si>
  <si>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</si>
  <si>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</si>
  <si>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</si>
  <si>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</si>
  <si>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</si>
  <si>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</si>
  <si>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</si>
  <si>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</si>
  <si>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</si>
  <si>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</si>
  <si>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</si>
  <si>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</si>
  <si>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</si>
  <si>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</si>
  <si>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</si>
  <si>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</si>
  <si>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</si>
  <si>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</si>
  <si>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</si>
  <si>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</si>
  <si>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</si>
  <si>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</si>
  <si>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</si>
  <si>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</si>
  <si>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</si>
  <si>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</si>
  <si>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</si>
  <si>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</si>
  <si>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</si>
  <si>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</si>
  <si>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</si>
  <si>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</si>
  <si>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</si>
  <si>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</si>
  <si>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</si>
  <si>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</si>
  <si>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</si>
  <si>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</si>
  <si>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</si>
  <si>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</si>
  <si>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</si>
  <si>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</si>
  <si>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</si>
  <si>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</si>
  <si>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</si>
  <si>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</si>
  <si>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</si>
  <si>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</si>
  <si>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</si>
  <si>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</si>
  <si>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</si>
  <si>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</si>
  <si>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</si>
  <si>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</si>
  <si>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</si>
  <si>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</si>
  <si>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</si>
  <si>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</si>
  <si>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</si>
  <si>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</si>
  <si>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</si>
  <si>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</si>
  <si>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</si>
  <si>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</si>
  <si>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</si>
  <si>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</si>
  <si>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</si>
  <si>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</si>
  <si>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</si>
  <si>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</si>
  <si>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</si>
  <si>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</si>
  <si>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</si>
  <si>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</si>
  <si>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</si>
  <si>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</si>
  <si>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</si>
  <si>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</si>
  <si>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</si>
  <si>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</si>
  <si>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</si>
  <si>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</si>
  <si>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</si>
  <si>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</si>
  <si>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</si>
  <si>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</si>
  <si>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</si>
  <si>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</si>
  <si>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</si>
  <si>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</si>
  <si>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</si>
  <si>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</si>
  <si>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</si>
  <si>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</si>
  <si>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</si>
  <si>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</si>
  <si>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</si>
  <si>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</si>
  <si>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</si>
  <si>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</si>
  <si>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</si>
  <si>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</si>
  <si>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</si>
  <si>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</si>
  <si>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</si>
  <si>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</si>
  <si>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</si>
  <si>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</si>
  <si>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</si>
  <si>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</si>
  <si>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</si>
  <si>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</si>
  <si>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</si>
  <si>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</si>
  <si>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</si>
  <si>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</si>
  <si>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</si>
  <si>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</si>
  <si>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</si>
  <si>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</si>
  <si>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</si>
  <si>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</si>
  <si>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</si>
  <si>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</si>
  <si>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</si>
  <si>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</si>
  <si>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</si>
  <si>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</si>
  <si>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</si>
  <si>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</si>
  <si>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</si>
  <si>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</si>
  <si>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</si>
  <si>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</si>
  <si>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</si>
  <si>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</si>
  <si>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</si>
  <si>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</si>
  <si>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</si>
  <si>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</si>
  <si>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</si>
  <si>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</si>
  <si>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</si>
  <si>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</si>
  <si>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</si>
  <si>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</si>
  <si>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</si>
  <si>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</si>
  <si>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</si>
  <si>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</si>
  <si>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</si>
  <si>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</si>
  <si>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</si>
  <si>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</si>
  <si>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</si>
  <si>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</si>
  <si>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</si>
  <si>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</si>
  <si>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</si>
  <si>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</si>
  <si>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</si>
  <si>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</si>
  <si>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</si>
  <si>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</si>
  <si>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</si>
  <si>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</si>
  <si>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</si>
  <si>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</si>
  <si>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</si>
  <si>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</si>
  <si>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</si>
  <si>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</si>
  <si>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</si>
  <si>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</si>
  <si>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</si>
  <si>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</si>
  <si>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</si>
  <si>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</si>
  <si>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</si>
  <si>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</si>
  <si>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</si>
  <si>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</si>
  <si>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</si>
  <si>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</si>
  <si>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</si>
  <si>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</si>
  <si>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</si>
  <si>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</si>
  <si>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</si>
  <si>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</si>
  <si>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</si>
  <si>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</si>
  <si>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</si>
  <si>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</si>
  <si>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</si>
  <si>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</si>
  <si>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</si>
  <si>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</si>
  <si>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</si>
  <si>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</si>
  <si>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</si>
  <si>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</si>
  <si>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</si>
  <si>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</si>
  <si>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</si>
  <si>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</si>
  <si>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</si>
  <si>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</si>
  <si>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</si>
  <si>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</si>
  <si>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</si>
  <si>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</si>
  <si>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</si>
  <si>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</si>
  <si>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</si>
  <si>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</si>
  <si>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</si>
  <si>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</si>
  <si>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</si>
  <si>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</si>
  <si>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</si>
  <si>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</si>
  <si>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</si>
  <si>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</si>
  <si>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</si>
  <si>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</si>
  <si>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</si>
  <si>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</si>
  <si>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</si>
  <si>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</si>
  <si>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</si>
  <si>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</si>
  <si>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</si>
  <si>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</si>
  <si>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</si>
  <si>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</si>
  <si>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</si>
  <si>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</si>
  <si>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</si>
  <si>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</si>
  <si>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</si>
  <si>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</si>
  <si>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</si>
  <si>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</si>
  <si>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</si>
  <si>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</si>
  <si>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</si>
  <si>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</si>
  <si>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</si>
  <si>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</si>
  <si>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</si>
  <si>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</si>
  <si>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</si>
  <si>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</si>
  <si>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</si>
  <si>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</si>
  <si>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</si>
  <si>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</si>
  <si>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</si>
  <si>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</si>
  <si>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</si>
  <si>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</si>
  <si>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</si>
  <si>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</si>
  <si>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</si>
  <si>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</si>
  <si>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</si>
  <si>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</si>
  <si>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</si>
  <si>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</si>
  <si>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</si>
  <si>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</si>
  <si>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</si>
  <si>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</si>
  <si>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</si>
  <si>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</si>
  <si>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</si>
  <si>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</si>
  <si>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</si>
  <si>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</si>
  <si>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</si>
  <si>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</si>
  <si>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</si>
  <si>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</si>
  <si>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</si>
  <si>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</si>
  <si>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</si>
  <si>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</si>
  <si>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</si>
  <si>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</si>
  <si>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</si>
  <si>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</si>
  <si>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</si>
  <si>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</si>
  <si>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</si>
  <si>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</si>
  <si>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</si>
  <si>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</si>
  <si>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</si>
  <si>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</si>
  <si>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</si>
  <si>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</si>
  <si>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</si>
  <si>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</si>
  <si>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</si>
  <si>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</si>
  <si>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</si>
  <si>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</si>
  <si>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</si>
  <si>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</si>
  <si>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</si>
  <si>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</si>
  <si>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</si>
  <si>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</si>
  <si>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</si>
  <si>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</si>
  <si>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</si>
  <si>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</si>
  <si>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</si>
  <si>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</si>
  <si>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</si>
  <si>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</si>
  <si>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</si>
  <si>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</si>
  <si>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</si>
  <si>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</si>
  <si>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</si>
  <si>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</si>
  <si>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</si>
  <si>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</si>
  <si>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</si>
  <si>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</si>
  <si>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</si>
  <si>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</si>
  <si>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</si>
  <si>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</si>
  <si>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</si>
  <si>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</si>
  <si>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</si>
  <si>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</si>
  <si>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</si>
  <si>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</si>
  <si>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</si>
  <si>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</si>
  <si>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</si>
  <si>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</si>
  <si>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</si>
  <si>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</si>
  <si>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</si>
  <si>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</si>
  <si>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</si>
  <si>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</si>
  <si>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</si>
  <si>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</si>
  <si>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</si>
  <si>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</si>
  <si>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</si>
  <si>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</si>
  <si>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</si>
  <si>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</si>
  <si>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</si>
  <si>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</si>
  <si>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</si>
  <si>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</si>
  <si>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</si>
  <si>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</si>
  <si>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</si>
  <si>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</si>
  <si>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</si>
  <si>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</si>
  <si>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</si>
  <si>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</si>
  <si>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</si>
  <si>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</si>
  <si>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</si>
  <si>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</si>
  <si>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</si>
  <si>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</si>
  <si>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</si>
  <si>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</si>
  <si>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</si>
  <si>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</si>
  <si>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</si>
  <si>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</si>
  <si>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</si>
  <si>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</si>
  <si>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</si>
  <si>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</si>
  <si>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</si>
  <si>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</si>
  <si>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</si>
  <si>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</si>
  <si>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</si>
  <si>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</si>
  <si>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</si>
  <si>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</si>
  <si>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</si>
  <si>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</si>
  <si>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</si>
  <si>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</si>
  <si>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</si>
  <si>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</si>
  <si>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</si>
  <si>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</si>
  <si>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</si>
  <si>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</si>
  <si>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</si>
  <si>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</si>
  <si>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</si>
  <si>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</si>
  <si>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</si>
  <si>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</si>
  <si>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</si>
  <si>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</si>
  <si>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</si>
  <si>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</si>
  <si>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</si>
  <si>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</si>
  <si>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</si>
  <si>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</si>
  <si>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</si>
  <si>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</si>
  <si>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</si>
  <si>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</si>
  <si>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</si>
  <si>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</si>
  <si>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</si>
  <si>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</si>
  <si>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</si>
  <si>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</si>
  <si>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</si>
  <si>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</si>
  <si>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</si>
  <si>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</si>
  <si>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</si>
  <si>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</si>
  <si>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</si>
  <si>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</si>
  <si>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</si>
  <si>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</si>
  <si>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</si>
  <si>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</si>
  <si>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</si>
  <si>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</si>
  <si>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</si>
  <si>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</si>
  <si>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</si>
  <si>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</si>
  <si>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</si>
  <si>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</si>
  <si>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</si>
  <si>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</si>
  <si>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</si>
  <si>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</si>
  <si>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</si>
  <si>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</si>
  <si>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</si>
  <si>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</si>
  <si>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</si>
  <si>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</si>
  <si>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</si>
  <si>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</si>
  <si>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</si>
  <si>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</si>
  <si>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</si>
  <si>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</si>
  <si>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</si>
  <si>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</si>
  <si>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</si>
  <si>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</si>
  <si>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</si>
  <si>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</si>
  <si>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</si>
  <si>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</si>
  <si>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</si>
  <si>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</si>
  <si>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</si>
  <si>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</si>
  <si>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</si>
  <si>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</si>
  <si>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</si>
  <si>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</si>
  <si>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</si>
  <si>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</si>
  <si>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</si>
  <si>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</si>
  <si>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</si>
  <si>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</si>
  <si>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</si>
  <si>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</si>
  <si>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</si>
  <si>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</si>
  <si>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</si>
  <si>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</si>
  <si>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</si>
  <si>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</si>
  <si>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</si>
  <si>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</si>
  <si>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</si>
  <si>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</si>
  <si>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</si>
  <si>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</si>
  <si>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</si>
  <si>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</si>
  <si>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</si>
  <si>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</si>
  <si>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</si>
  <si>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</si>
  <si>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</si>
  <si>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</si>
  <si>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</si>
  <si>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</si>
  <si>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</si>
  <si>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</si>
  <si>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</si>
  <si>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</si>
  <si>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</si>
  <si>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</si>
  <si>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</si>
  <si>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</si>
  <si>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</si>
  <si>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</si>
  <si>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</si>
  <si>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</si>
  <si>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</si>
  <si>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</si>
  <si>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</si>
  <si>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</si>
  <si>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</si>
  <si>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</si>
  <si>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</si>
  <si>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</si>
  <si>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</si>
  <si>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</si>
  <si>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</si>
  <si>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</si>
  <si>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</si>
  <si>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</si>
  <si>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</si>
  <si>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</si>
  <si>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</si>
  <si>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</si>
  <si>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</si>
  <si>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</si>
  <si>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</si>
  <si>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</si>
  <si>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</si>
  <si>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</si>
  <si>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</si>
  <si>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</si>
  <si>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</si>
  <si>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</si>
  <si>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</si>
  <si>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</si>
  <si>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</si>
  <si>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</si>
  <si>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</si>
  <si>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</si>
  <si>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</si>
  <si>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</si>
  <si>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</si>
  <si>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</si>
  <si>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</si>
  <si>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</si>
  <si>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</si>
  <si>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</si>
  <si>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</si>
  <si>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</si>
  <si>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</si>
  <si>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</si>
  <si>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</si>
  <si>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</si>
  <si>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</si>
  <si>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</si>
  <si>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</si>
  <si>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</si>
  <si>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</si>
  <si>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</si>
  <si>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</si>
  <si>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</si>
  <si>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</si>
  <si>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</si>
  <si>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</si>
  <si>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</si>
  <si>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</si>
  <si>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</si>
  <si>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</si>
  <si>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</si>
  <si>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</si>
  <si>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</si>
  <si>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</si>
  <si>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</si>
  <si>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</si>
  <si>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</si>
  <si>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</si>
  <si>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</si>
  <si>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</si>
  <si>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</si>
  <si>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</si>
  <si>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</si>
  <si>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</si>
  <si>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</si>
  <si>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</si>
  <si>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</si>
  <si>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</si>
  <si>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</si>
  <si>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</si>
  <si>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</si>
  <si>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</si>
  <si>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</si>
  <si>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</si>
  <si>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</si>
  <si>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</si>
  <si>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</si>
  <si>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</si>
  <si>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</si>
  <si>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</si>
  <si>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</si>
  <si>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</si>
  <si>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</si>
  <si>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</si>
  <si>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</si>
  <si>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</si>
  <si>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</si>
  <si>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</si>
  <si>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</si>
  <si>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</si>
  <si>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</si>
  <si>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</si>
  <si>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</si>
  <si>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</si>
  <si>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</si>
  <si>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</si>
  <si>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</si>
  <si>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</si>
  <si>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</si>
  <si>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</si>
  <si>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</si>
  <si>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</si>
  <si>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</si>
  <si>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</si>
  <si>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</si>
  <si>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</si>
  <si>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</si>
  <si>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</si>
  <si>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</si>
  <si>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</si>
  <si>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</si>
  <si>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</si>
  <si>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</si>
  <si>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</si>
  <si>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</si>
  <si>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</si>
  <si>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</si>
  <si>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</si>
  <si>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</si>
  <si>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</si>
  <si>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</si>
  <si>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</si>
  <si>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</si>
  <si>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</si>
  <si>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</si>
  <si>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</si>
  <si>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</si>
  <si>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</si>
  <si>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</si>
  <si>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</si>
  <si>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</si>
  <si>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</si>
  <si>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</si>
  <si>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</si>
  <si>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</si>
  <si>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</si>
  <si>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</si>
  <si>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</si>
  <si>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</si>
  <si>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</si>
  <si>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</si>
  <si>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</si>
  <si>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</si>
  <si>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</si>
  <si>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</si>
  <si>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</si>
  <si>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</si>
  <si>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</si>
  <si>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</si>
  <si>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</si>
  <si>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</si>
  <si>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</si>
  <si>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</si>
  <si>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</si>
  <si>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</si>
  <si>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</si>
  <si>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</si>
  <si>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</si>
  <si>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</si>
  <si>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</si>
  <si>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</si>
  <si>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</si>
  <si>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</si>
  <si>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</si>
  <si>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</si>
  <si>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</si>
  <si>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</si>
  <si>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</si>
  <si>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</si>
  <si>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</si>
  <si>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</si>
  <si>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</si>
  <si>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</si>
  <si>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</si>
  <si>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</si>
  <si>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</si>
  <si>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</si>
  <si>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</si>
  <si>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</si>
  <si>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</si>
  <si>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</si>
  <si>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</si>
  <si>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</si>
  <si>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</si>
  <si>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</si>
  <si>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</si>
  <si>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</si>
  <si>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</si>
  <si>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</si>
  <si>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</si>
  <si>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</si>
  <si>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</si>
  <si>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</si>
  <si>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</si>
  <si>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</si>
  <si>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</si>
  <si>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</si>
  <si>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</si>
  <si>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</si>
  <si>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</si>
  <si>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</si>
  <si>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</si>
  <si>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</si>
  <si>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</si>
  <si>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</si>
  <si>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</si>
  <si>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</si>
  <si>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</si>
  <si>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</si>
  <si>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</si>
  <si>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</si>
  <si>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</si>
  <si>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</si>
  <si>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</si>
  <si>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</si>
  <si>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</si>
  <si>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</si>
  <si>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</si>
  <si>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</si>
  <si>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</si>
  <si>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</si>
  <si>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</si>
  <si>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</si>
  <si>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</si>
  <si>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</si>
  <si>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</si>
  <si>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</si>
  <si>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</si>
  <si>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</si>
  <si>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</si>
  <si>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</si>
  <si>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</si>
  <si>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</si>
  <si>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</si>
  <si>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</si>
  <si>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</si>
  <si>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</si>
  <si>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</si>
  <si>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</si>
  <si>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</si>
  <si>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</si>
  <si>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</si>
  <si>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</si>
  <si>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</si>
  <si>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</si>
  <si>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</si>
  <si>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</si>
  <si>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</si>
  <si>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</si>
  <si>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</si>
  <si>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</si>
  <si>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</si>
  <si>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</si>
  <si>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</si>
  <si>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</si>
  <si>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</si>
  <si>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</si>
  <si>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</si>
  <si>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</si>
  <si>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</si>
  <si>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</si>
  <si>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</si>
  <si>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</si>
  <si>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</si>
  <si>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</si>
  <si>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</si>
  <si>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</si>
  <si>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</si>
  <si>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</si>
  <si>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</si>
  <si>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</si>
  <si>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</si>
  <si>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</si>
  <si>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</si>
  <si>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</si>
  <si>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</si>
  <si>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</si>
  <si>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</si>
  <si>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</si>
  <si>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</si>
  <si>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</si>
  <si>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</si>
  <si>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</si>
  <si>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</si>
  <si>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</si>
  <si>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</si>
  <si>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</si>
  <si>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</si>
  <si>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</si>
  <si>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</si>
  <si>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</si>
  <si>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</si>
  <si>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</si>
  <si>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</si>
  <si>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</si>
  <si>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</si>
  <si>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</si>
  <si>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</si>
  <si>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</si>
  <si>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</si>
  <si>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</si>
  <si>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</si>
  <si>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</si>
  <si>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</si>
  <si>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</si>
  <si>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</si>
  <si>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</si>
  <si>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</si>
  <si>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</si>
  <si>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</si>
  <si>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</si>
  <si>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</si>
  <si>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</si>
  <si>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</si>
  <si>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</si>
  <si>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</si>
  <si>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</si>
  <si>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</si>
  <si>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</si>
  <si>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</si>
  <si>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</si>
  <si>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</si>
  <si>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</si>
  <si>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</si>
  <si>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</si>
  <si>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</si>
  <si>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</si>
  <si>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</si>
  <si>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</si>
  <si>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</si>
  <si>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</si>
  <si>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</si>
  <si>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</si>
  <si>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</si>
  <si>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</si>
  <si>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</si>
  <si>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</si>
  <si>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</si>
  <si>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</si>
  <si>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</si>
  <si>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</si>
  <si>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</si>
  <si>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</si>
  <si>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</si>
  <si>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</si>
  <si>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</si>
  <si>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</si>
  <si>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</si>
  <si>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</si>
  <si>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</si>
  <si>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</si>
  <si>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</si>
  <si>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</si>
  <si>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</si>
  <si>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</si>
  <si>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</si>
  <si>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</si>
  <si>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</si>
  <si>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</si>
  <si>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</si>
  <si>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</si>
  <si>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</si>
  <si>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</si>
  <si>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</si>
  <si>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</si>
  <si>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</si>
  <si>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</si>
  <si>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</si>
  <si>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</si>
  <si>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</si>
  <si>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</si>
  <si>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</si>
  <si>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</si>
  <si>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</si>
  <si>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</si>
  <si>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</si>
  <si>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</si>
  <si>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</si>
  <si>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</si>
  <si>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</si>
  <si>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</si>
  <si>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</si>
  <si>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</si>
  <si>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</si>
  <si>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</si>
  <si>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</si>
  <si>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</si>
  <si>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</si>
  <si>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</si>
  <si>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</si>
  <si>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</si>
  <si>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</si>
  <si>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</si>
  <si>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</si>
  <si>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</si>
  <si>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</si>
  <si>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</si>
  <si>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</si>
  <si>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</si>
  <si>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</si>
  <si>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</si>
  <si>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</si>
  <si>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</si>
  <si>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</si>
  <si>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</si>
  <si>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</si>
  <si>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</si>
  <si>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</si>
  <si>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</si>
  <si>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</si>
  <si>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</si>
  <si>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</si>
  <si>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</si>
  <si>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</si>
  <si>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</si>
  <si>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</si>
  <si>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</si>
  <si>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</si>
  <si>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</si>
  <si>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</si>
  <si>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</si>
  <si>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</si>
  <si>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</si>
  <si>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</si>
  <si>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</si>
  <si>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</si>
  <si>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</si>
  <si>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</si>
  <si>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</si>
  <si>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</si>
  <si>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</si>
  <si>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</si>
  <si>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</si>
  <si>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</si>
  <si>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</si>
  <si>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</si>
  <si>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</si>
  <si>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</si>
  <si>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</si>
  <si>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</si>
  <si>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</si>
  <si>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</si>
  <si>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</si>
  <si>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</si>
  <si>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</si>
  <si>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</si>
  <si>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</si>
  <si>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</si>
  <si>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</si>
  <si>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</si>
  <si>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</si>
  <si>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</si>
  <si>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</si>
  <si>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</si>
  <si>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</si>
  <si>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</si>
  <si>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</si>
  <si>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</si>
  <si>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</si>
  <si>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</si>
  <si>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</si>
  <si>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</si>
  <si>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</si>
  <si>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</si>
  <si>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</si>
  <si>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</si>
  <si>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</si>
  <si>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</si>
  <si>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</si>
  <si>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</si>
  <si>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</si>
  <si>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</si>
  <si>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</si>
  <si>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</si>
  <si>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</si>
  <si>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</si>
  <si>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</si>
  <si>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</si>
  <si>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</si>
  <si>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</si>
  <si>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</si>
  <si>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</si>
  <si>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</si>
  <si>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</si>
  <si>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</si>
  <si>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</si>
  <si>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</si>
  <si>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</si>
  <si>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</si>
  <si>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</si>
  <si>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</si>
  <si>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</si>
  <si>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</si>
  <si>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</si>
  <si>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</si>
  <si>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</si>
  <si>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</si>
  <si>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</si>
  <si>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</si>
  <si>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</si>
  <si>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</si>
  <si>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</si>
  <si>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</si>
  <si>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</si>
  <si>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</si>
  <si>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</si>
  <si>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</si>
  <si>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</si>
  <si>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</si>
  <si>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</si>
  <si>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</si>
  <si>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</si>
  <si>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</si>
  <si>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</si>
  <si>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</si>
  <si>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</si>
  <si>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</si>
  <si>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</si>
  <si>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</si>
  <si>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</si>
  <si>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</si>
  <si>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</si>
  <si>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</si>
  <si>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</si>
  <si>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</si>
  <si>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</si>
  <si>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</si>
  <si>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</si>
  <si>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</si>
  <si>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</si>
  <si>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</si>
  <si>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</si>
  <si>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</si>
  <si>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</si>
  <si>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</si>
  <si>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</si>
  <si>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</si>
  <si>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</si>
  <si>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</si>
  <si>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</si>
  <si>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</si>
  <si>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</si>
  <si>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</si>
  <si>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</si>
  <si>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</si>
  <si>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</si>
  <si>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</si>
  <si>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</si>
  <si>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</si>
  <si>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</si>
  <si>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</si>
  <si>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</si>
  <si>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</si>
  <si>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</si>
  <si>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</si>
  <si>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</si>
  <si>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</si>
  <si>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</si>
  <si>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</si>
  <si>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</si>
  <si>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</si>
  <si>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</si>
  <si>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</si>
  <si>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</si>
  <si>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</si>
  <si>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</si>
  <si>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</si>
  <si>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</si>
  <si>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</si>
  <si>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</si>
  <si>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</si>
  <si>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</si>
  <si>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</si>
  <si>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</si>
  <si>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</si>
  <si>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</si>
  <si>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</si>
  <si>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</si>
  <si>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</si>
  <si>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</si>
  <si>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</si>
  <si>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</si>
  <si>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</si>
  <si>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</si>
  <si>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</si>
  <si>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</si>
  <si>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</si>
  <si>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</si>
  <si>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</si>
  <si>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</si>
  <si>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</si>
  <si>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</si>
  <si>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</si>
  <si>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</si>
  <si>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</si>
  <si>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</si>
  <si>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</si>
  <si>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</si>
  <si>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</si>
  <si>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</si>
  <si>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</si>
  <si>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</si>
  <si>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</si>
  <si>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</si>
  <si>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</si>
  <si>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</si>
  <si>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</si>
  <si>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</si>
  <si>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</si>
  <si>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</si>
  <si>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</si>
  <si>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</si>
  <si>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</si>
  <si>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</si>
  <si>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</si>
  <si>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</si>
  <si>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</si>
  <si>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</si>
  <si>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</si>
  <si>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</si>
  <si>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</si>
  <si>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</si>
  <si>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</si>
  <si>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</si>
  <si>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</si>
  <si>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</si>
  <si>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</si>
  <si>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</si>
  <si>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</si>
  <si>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</si>
  <si>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</si>
  <si>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</si>
  <si>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</si>
  <si>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</si>
  <si>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</si>
  <si>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</si>
  <si>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</si>
  <si>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</si>
  <si>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</si>
  <si>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</si>
  <si>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</si>
  <si>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</si>
  <si>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</si>
  <si>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</si>
  <si>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</si>
  <si>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</si>
  <si>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</si>
  <si>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</si>
  <si>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</si>
  <si>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</si>
  <si>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</si>
  <si>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</si>
  <si>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</si>
  <si>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</si>
  <si>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</si>
  <si>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</si>
  <si>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</si>
  <si>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</si>
  <si>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</si>
  <si>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</si>
  <si>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</si>
  <si>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</si>
  <si>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</si>
  <si>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</si>
  <si>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</si>
  <si>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</si>
  <si>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</si>
  <si>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</si>
  <si>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</si>
  <si>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</si>
  <si>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</si>
  <si>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</si>
  <si>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</si>
  <si>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</si>
  <si>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</si>
  <si>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</si>
  <si>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</si>
  <si>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</si>
  <si>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</si>
  <si>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</si>
  <si>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</si>
  <si>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</si>
  <si>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</si>
  <si>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</si>
  <si>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</si>
  <si>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</si>
  <si>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</si>
  <si>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</si>
  <si>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</si>
  <si>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</si>
  <si>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</si>
  <si>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</si>
  <si>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</si>
  <si>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</si>
  <si>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</si>
  <si>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</si>
  <si>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</si>
  <si>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</si>
  <si>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</si>
  <si>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</si>
  <si>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</si>
  <si>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</si>
  <si>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</si>
  <si>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</si>
  <si>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</si>
  <si>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</si>
  <si>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</si>
  <si>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</si>
  <si>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</si>
  <si>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</si>
  <si>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</si>
  <si>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</si>
  <si>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</si>
  <si>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</si>
  <si>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</si>
  <si>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</si>
  <si>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</si>
  <si>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</si>
  <si>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</si>
  <si>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</si>
  <si>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</si>
  <si>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</si>
  <si>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</si>
  <si>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</si>
  <si>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</si>
  <si>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</si>
  <si>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</si>
  <si>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</si>
  <si>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</si>
  <si>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</si>
  <si>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</si>
  <si>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</si>
  <si>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</si>
  <si>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</si>
  <si>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</si>
  <si>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</si>
  <si>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</si>
  <si>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</si>
  <si>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</si>
  <si>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</si>
  <si>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</si>
  <si>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</si>
  <si>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</si>
  <si>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</si>
  <si>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</si>
  <si>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</si>
  <si>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</si>
  <si>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</si>
  <si>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</si>
  <si>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</si>
  <si>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</si>
  <si>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</si>
  <si>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</si>
  <si>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</si>
  <si>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</si>
  <si>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</si>
  <si>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</si>
  <si>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</si>
  <si>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</si>
  <si>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</si>
  <si>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</si>
  <si>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</si>
  <si>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</si>
  <si>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</si>
  <si>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</si>
  <si>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</si>
  <si>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</si>
  <si>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</si>
  <si>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</si>
  <si>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</si>
  <si>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</si>
  <si>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</si>
  <si>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</si>
  <si>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</si>
  <si>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</si>
  <si>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</si>
  <si>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</si>
  <si>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</si>
  <si>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</si>
  <si>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</si>
  <si>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</si>
  <si>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</si>
  <si>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</si>
  <si>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</si>
  <si>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</si>
  <si>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</si>
  <si>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</si>
  <si>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</si>
  <si>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</si>
  <si>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</si>
  <si>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</si>
  <si>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</si>
  <si>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</si>
  <si>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</si>
  <si>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</si>
  <si>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</si>
  <si>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</si>
  <si>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</si>
  <si>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</si>
  <si>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</si>
  <si>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</si>
  <si>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</si>
  <si>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</si>
  <si>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</si>
  <si>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</si>
  <si>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</si>
  <si>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</si>
  <si>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</si>
  <si>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</si>
  <si>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</si>
  <si>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</si>
  <si>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</si>
  <si>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</si>
  <si>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</si>
  <si>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</si>
  <si>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</si>
  <si>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</si>
  <si>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</si>
  <si>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</si>
  <si>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</si>
  <si>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</si>
  <si>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</si>
  <si>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</si>
  <si>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</si>
  <si>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</si>
  <si>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</si>
  <si>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</si>
  <si>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</si>
  <si>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</si>
  <si>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</si>
  <si>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</si>
  <si>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</si>
  <si>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</si>
  <si>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</si>
  <si>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</si>
  <si>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</si>
  <si>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</si>
  <si>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</si>
  <si>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</si>
  <si>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</si>
  <si>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</si>
  <si>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</si>
  <si>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</si>
  <si>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</si>
  <si>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</si>
  <si>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</si>
  <si>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</si>
  <si>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</si>
  <si>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</si>
  <si>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</si>
  <si>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</si>
  <si>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</si>
  <si>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</si>
  <si>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</si>
  <si>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</si>
  <si>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</si>
  <si>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</si>
  <si>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</si>
  <si>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</si>
  <si>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</si>
  <si>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</si>
  <si>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</si>
  <si>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</si>
  <si>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</si>
  <si>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</si>
  <si>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</si>
  <si>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</si>
  <si>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</si>
  <si>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</si>
  <si>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</si>
  <si>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</si>
  <si>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</si>
  <si>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</si>
  <si>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</si>
  <si>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</si>
  <si>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</si>
  <si>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</si>
  <si>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</si>
  <si>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</si>
  <si>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</si>
  <si>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</si>
  <si>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</si>
  <si>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</si>
  <si>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</si>
  <si>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</si>
  <si>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</si>
  <si>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</si>
  <si>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</si>
  <si>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</si>
  <si>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</si>
  <si>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</si>
  <si>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</si>
  <si>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</si>
  <si>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</si>
  <si>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</si>
  <si>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</si>
  <si>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</si>
  <si>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</si>
  <si>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</si>
  <si>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</si>
  <si>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</si>
  <si>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</si>
  <si>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</si>
  <si>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</si>
  <si>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</si>
  <si>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</si>
  <si>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</si>
  <si>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</si>
  <si>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</si>
  <si>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</si>
  <si>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</si>
  <si>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</si>
  <si>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</si>
  <si>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</si>
  <si>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</si>
  <si>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</si>
  <si>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</si>
  <si>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</si>
  <si>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</si>
  <si>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</si>
  <si>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</si>
  <si>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</si>
  <si>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</si>
  <si>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</si>
  <si>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</si>
  <si>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</si>
  <si>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</si>
  <si>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</si>
  <si>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</si>
  <si>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</si>
  <si>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</si>
  <si>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</si>
  <si>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</si>
  <si>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</si>
  <si>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</si>
  <si>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</si>
  <si>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</si>
  <si>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</si>
  <si>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</si>
  <si>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</si>
  <si>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</si>
  <si>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</si>
  <si>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</si>
  <si>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</si>
  <si>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</si>
  <si>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</si>
  <si>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</si>
  <si>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</si>
  <si>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</si>
  <si>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</si>
  <si>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</si>
  <si>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</si>
  <si>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</si>
  <si>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</si>
  <si>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</si>
  <si>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</si>
  <si>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</si>
  <si>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</si>
  <si>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</si>
  <si>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</si>
  <si>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</si>
  <si>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</si>
  <si>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</si>
  <si>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</si>
  <si>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</si>
  <si>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</si>
  <si>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</si>
  <si>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</si>
  <si>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</si>
  <si>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</si>
  <si>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</si>
  <si>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</si>
  <si>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</si>
  <si>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</si>
  <si>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</si>
  <si>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</si>
  <si>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</si>
  <si>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</si>
  <si>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</si>
  <si>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</si>
  <si>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</si>
  <si>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</si>
  <si>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</si>
  <si>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</si>
  <si>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</si>
  <si>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</si>
  <si>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</si>
  <si>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</si>
  <si>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</si>
  <si>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</si>
  <si>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</si>
  <si>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</si>
  <si>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</si>
  <si>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</si>
  <si>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</si>
  <si>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</si>
  <si>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</si>
  <si>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</si>
  <si>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</si>
  <si>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</si>
  <si>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</si>
  <si>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</si>
  <si>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</si>
  <si>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</si>
  <si>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</si>
  <si>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</si>
  <si>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</si>
  <si>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</si>
  <si>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</si>
  <si>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</si>
  <si>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</si>
  <si>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</si>
  <si>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</si>
  <si>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</si>
  <si>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</si>
  <si>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</si>
  <si>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</si>
  <si>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</si>
  <si>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</si>
  <si>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</si>
  <si>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</si>
  <si>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</si>
  <si>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</si>
  <si>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</si>
  <si>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</si>
  <si>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</si>
  <si>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</si>
  <si>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</si>
  <si>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</si>
  <si>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</si>
  <si>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</si>
  <si>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</si>
  <si>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</si>
  <si>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</si>
  <si>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</si>
  <si>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</si>
  <si>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</si>
  <si>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</si>
  <si>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</si>
  <si>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</si>
  <si>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</si>
  <si>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</si>
  <si>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</si>
  <si>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</si>
  <si>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</si>
  <si>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</si>
  <si>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</si>
  <si>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</si>
  <si>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</si>
  <si>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</si>
  <si>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</si>
  <si>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</si>
  <si>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</si>
  <si>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</si>
  <si>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</si>
  <si>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</si>
  <si>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</si>
  <si>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</si>
  <si>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</si>
  <si>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</si>
  <si>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</si>
  <si>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</si>
  <si>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</si>
  <si>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</si>
  <si>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</si>
  <si>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</si>
  <si>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</si>
  <si>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</si>
  <si>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</si>
  <si>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</si>
  <si>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</si>
  <si>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</si>
  <si>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</si>
  <si>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</si>
  <si>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</si>
  <si>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</si>
  <si>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</si>
  <si>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</si>
  <si>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</si>
  <si>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</si>
  <si>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</si>
  <si>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</si>
  <si>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</si>
  <si>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</si>
  <si>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</si>
  <si>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</si>
  <si>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</si>
  <si>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</si>
  <si>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</si>
  <si>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</si>
  <si>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</si>
  <si>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</si>
  <si>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</si>
  <si>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</si>
  <si>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</si>
  <si>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</si>
  <si>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</si>
  <si>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</si>
  <si>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</si>
  <si>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</si>
  <si>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</si>
  <si>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</si>
  <si>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</si>
  <si>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</si>
  <si>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</si>
  <si>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</si>
  <si>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</si>
  <si>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</si>
  <si>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</si>
  <si>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</si>
  <si>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</si>
  <si>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</si>
  <si>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</si>
  <si>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</si>
  <si>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</si>
  <si>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</si>
  <si>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</si>
  <si>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</si>
  <si>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</si>
  <si>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</si>
  <si>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</si>
  <si>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</si>
  <si>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</si>
  <si>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</si>
  <si>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</si>
  <si>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</si>
  <si>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</si>
  <si>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</si>
  <si>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</si>
  <si>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</si>
  <si>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</si>
  <si>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</si>
  <si>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</si>
  <si>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</si>
  <si>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</si>
  <si>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</si>
  <si>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</si>
  <si>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</si>
  <si>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</si>
  <si>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</si>
  <si>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</si>
  <si>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</si>
  <si>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</si>
  <si>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</si>
  <si>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</si>
  <si>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</si>
  <si>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</si>
  <si>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</si>
  <si>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</si>
  <si>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</si>
  <si>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</si>
  <si>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</si>
  <si>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</si>
  <si>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</si>
  <si>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</si>
  <si>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</si>
  <si>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</si>
  <si>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</si>
  <si>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</si>
  <si>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</si>
  <si>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</si>
  <si>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</si>
  <si>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</si>
  <si>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</si>
  <si>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</si>
  <si>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</si>
  <si>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</si>
  <si>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</si>
  <si>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</si>
  <si>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</si>
  <si>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</si>
  <si>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</si>
  <si>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</si>
  <si>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</si>
  <si>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</si>
  <si>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</si>
  <si>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</si>
  <si>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</si>
  <si>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</si>
  <si>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</si>
  <si>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</si>
  <si>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</si>
  <si>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</si>
  <si>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</si>
  <si>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</si>
  <si>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</si>
  <si>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</si>
  <si>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</si>
  <si>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</si>
  <si>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</si>
  <si>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</si>
  <si>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</si>
  <si>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</si>
  <si>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</si>
  <si>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</si>
  <si>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</si>
  <si>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</si>
  <si>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</si>
  <si>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</si>
  <si>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</si>
  <si>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</si>
  <si>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</si>
  <si>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</si>
  <si>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</si>
  <si>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</si>
  <si>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</si>
  <si>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</si>
  <si>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</si>
  <si>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</si>
  <si>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</si>
  <si>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</si>
  <si>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</si>
  <si>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</si>
  <si>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</si>
  <si>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</si>
  <si>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</si>
  <si>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</si>
  <si>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</si>
  <si>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</si>
  <si>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</si>
  <si>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</si>
  <si>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</si>
  <si>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</si>
  <si>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 xml:space="preserve">subcategory 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</si>
  <si>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</si>
  <si>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</si>
  <si>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</si>
  <si>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</si>
  <si>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</si>
  <si>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</si>
  <si>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</si>
  <si>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</si>
  <si>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</si>
  <si>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</si>
  <si>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</si>
  <si>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</si>
  <si>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</si>
  <si>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</si>
  <si>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</si>
  <si>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</si>
  <si>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</si>
  <si>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</si>
  <si>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</si>
  <si>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</si>
  <si>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</si>
  <si>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 xml:space="preserve">Blurb </t>
  </si>
  <si>
    <t xml:space="preserve">Cutting Off Kate Bush </t>
  </si>
  <si>
    <t>Goal</t>
  </si>
  <si>
    <t>Pledged</t>
  </si>
  <si>
    <t xml:space="preserve">Average Donation </t>
  </si>
  <si>
    <t>number of backers</t>
  </si>
  <si>
    <t xml:space="preserve">Mean Pledged </t>
  </si>
  <si>
    <t>Median Pledged</t>
  </si>
  <si>
    <t xml:space="preserve">Successful </t>
  </si>
  <si>
    <t>Failed</t>
  </si>
  <si>
    <t xml:space="preserve">Mean of Goal </t>
  </si>
  <si>
    <t>Median of Goal</t>
  </si>
  <si>
    <t>Standard Deviation of Goal</t>
  </si>
  <si>
    <t xml:space="preserve">IQR of Goal </t>
  </si>
  <si>
    <t>Standard Deviation of Pledged</t>
  </si>
  <si>
    <t>Upper Quartile of Goal</t>
  </si>
  <si>
    <t>Lower Quartile of Goal</t>
  </si>
  <si>
    <t>Upper quartile of pledged</t>
  </si>
  <si>
    <t>Lower Quartile of Pledged</t>
  </si>
  <si>
    <t>IQR of Pledged</t>
  </si>
  <si>
    <t>Year</t>
  </si>
  <si>
    <t xml:space="preserve">month </t>
  </si>
  <si>
    <t>Number Successful</t>
  </si>
  <si>
    <t xml:space="preserve">Number Failed 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</si>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</sst>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  <xf numFmtId="165" fontId="0" fillId="0" borderId="0" xfId="0" applyNumberFormat="1"/>
    <xf numFmtId="165" fontId="0" fillId="0" borderId="0" xfId="0" applyNumberFormat="1" applyFont="1"/>
    <xf numFmtId="166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EF375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Outcomed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F1-D542-86C5-41884AEC396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F1-D542-86C5-41884AEC396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F1-D542-86C5-41884AEC3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2156031"/>
        <c:axId val="2030120752"/>
      </c:lineChart>
      <c:catAx>
        <c:axId val="482156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</a:t>
                </a:r>
                <a:r>
                  <a:rPr lang="en-US" baseline="0"/>
                  <a:t> Month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120752"/>
        <c:crosses val="autoZero"/>
        <c:auto val="1"/>
        <c:lblAlgn val="ctr"/>
        <c:lblOffset val="100"/>
        <c:noMultiLvlLbl val="0"/>
      </c:catAx>
      <c:valAx>
        <c:axId val="203012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theater shows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15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9FF-6843-874A-EE8AF1C62BA6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9FF-6843-874A-EE8AF1C62BA6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9FF-6843-874A-EE8AF1C62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3935904"/>
        <c:axId val="2087928480"/>
      </c:lineChart>
      <c:catAx>
        <c:axId val="207393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928480"/>
        <c:crosses val="autoZero"/>
        <c:auto val="1"/>
        <c:lblAlgn val="ctr"/>
        <c:lblOffset val="100"/>
        <c:noMultiLvlLbl val="0"/>
      </c:catAx>
      <c:valAx>
        <c:axId val="208792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393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2470822397200346"/>
          <c:y val="2.777777777777777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18-E74A-B38D-384C5758E9E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218-E74A-B38D-384C5758E9E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218-E74A-B38D-384C5758E9E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218-E74A-B38D-384C5758E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4738959"/>
        <c:axId val="154778847"/>
      </c:barChart>
      <c:catAx>
        <c:axId val="154738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78847"/>
        <c:crosses val="autoZero"/>
        <c:auto val="1"/>
        <c:lblAlgn val="ctr"/>
        <c:lblOffset val="100"/>
        <c:noMultiLvlLbl val="0"/>
      </c:catAx>
      <c:valAx>
        <c:axId val="154778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3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8639676113360324"/>
          <c:y val="9.69162995594713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BB-6F4A-A59B-DD12064EF49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FBB-6F4A-A59B-DD12064EF49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FBB-6F4A-A59B-DD12064EF49F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FBB-6F4A-A59B-DD12064EF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2362319"/>
        <c:axId val="550791679"/>
      </c:barChart>
      <c:catAx>
        <c:axId val="582362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791679"/>
        <c:crosses val="autoZero"/>
        <c:auto val="1"/>
        <c:lblAlgn val="ctr"/>
        <c:lblOffset val="100"/>
        <c:noMultiLvlLbl val="0"/>
      </c:catAx>
      <c:valAx>
        <c:axId val="55079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362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 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5914260717410313E-2"/>
          <c:y val="7.1724628171478552E-2"/>
          <c:w val="0.72267825896762905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00-F647-A2F4-46AB35A43CB8}"/>
            </c:ext>
          </c:extLst>
        </c:ser>
        <c:ser>
          <c:idx val="1"/>
          <c:order val="1"/>
          <c:tx>
            <c:strRef>
              <c:f>'Outcomes based on launch date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C00-F647-A2F4-46AB35A43CB8}"/>
            </c:ext>
          </c:extLst>
        </c:ser>
        <c:ser>
          <c:idx val="2"/>
          <c:order val="2"/>
          <c:tx>
            <c:strRef>
              <c:f>'Outcomes based on launch date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C00-F647-A2F4-46AB35A43CB8}"/>
            </c:ext>
          </c:extLst>
        </c:ser>
        <c:ser>
          <c:idx val="3"/>
          <c:order val="3"/>
          <c:tx>
            <c:strRef>
              <c:f>'Outcomes based on launch date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C00-F647-A2F4-46AB35A43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8126895"/>
        <c:axId val="375129215"/>
      </c:lineChart>
      <c:catAx>
        <c:axId val="368126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129215"/>
        <c:crosses val="autoZero"/>
        <c:auto val="1"/>
        <c:lblAlgn val="ctr"/>
        <c:lblOffset val="100"/>
        <c:noMultiLvlLbl val="0"/>
      </c:catAx>
      <c:valAx>
        <c:axId val="37512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126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203200</xdr:colOff>
      <xdr:row>18</xdr:row>
      <xdr:rowOff>114300</xdr:rowOff>
    </xdr:from>
    <xdr:to>
      <xdr:col>7</xdr:col>
      <xdr:colOff>177800</xdr:colOff>
      <xdr:row>35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3D49C5-FFD3-0042-A3D2-C508566D11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520700</xdr:colOff>
      <xdr:row>14</xdr:row>
      <xdr:rowOff>69850</xdr:rowOff>
    </xdr:from>
    <xdr:to>
      <xdr:col>6</xdr:col>
      <xdr:colOff>254000</xdr:colOff>
      <xdr:row>33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0FB9A0-4DA1-E047-89D5-208AB7B26E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3</xdr:row>
      <xdr:rowOff>31750</xdr:rowOff>
    </xdr:from>
    <xdr:to>
      <xdr:col>14</xdr:col>
      <xdr:colOff>749300</xdr:colOff>
      <xdr:row>24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735CA4-1655-8647-A6F9-8241381DE8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196850</xdr:colOff>
      <xdr:row>5</xdr:row>
      <xdr:rowOff>12700</xdr:rowOff>
    </xdr:from>
    <xdr:to>
      <xdr:col>20</xdr:col>
      <xdr:colOff>444500</xdr:colOff>
      <xdr:row>35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B111CB-8AAE-7440-849F-ECD8D96E3A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11</xdr:row>
      <xdr:rowOff>69850</xdr:rowOff>
    </xdr:from>
    <xdr:to>
      <xdr:col>15</xdr:col>
      <xdr:colOff>698500</xdr:colOff>
      <xdr:row>33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7FA1DA-A9EC-0A43-9AD1-5559D15E5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ge_joya@outlook.com" refreshedDate="44549.852245601855" createdVersion="7" refreshedVersion="7" minRefreshableVersion="3" recordCount="4114" xr:uid="{77D33446-517A-2742-9ACC-36B7F51C41C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ge_joya@outlook.com" refreshedDate="44549.875242939816" createdVersion="7" refreshedVersion="7" minRefreshableVersion="3" recordCount="4114" xr:uid="{72B4E9A3-48FC-5F45-A6CF-A69519DF797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ge_joya@outlook.com" refreshedDate="44559.666149421297" createdVersion="7" refreshedVersion="7" minRefreshableVersion="3" recordCount="4115" xr:uid="{40C31CA0-EB8C-B640-AA45-BD1C732D1983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 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x v="0"/>
    <b v="1"/>
    <s v="film &amp; video/television"/>
    <n v="137"/>
    <n v="63.92"/>
    <x v="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x v="1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x v="2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x v="3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x v="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x v="5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x v="6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x v="7"/>
    <b v="1"/>
    <s v="film &amp; video/television"/>
    <n v="101"/>
    <n v="159.82"/>
    <x v="0"/>
    <x v="0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x v="8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x v="9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x v="10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x v="11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x v="12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x v="13"/>
    <b v="1"/>
    <s v="film &amp; video/television"/>
    <n v="160"/>
    <n v="109.78"/>
    <x v="0"/>
    <x v="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x v="14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x v="15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x v="16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x v="17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x v="18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x v="19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x v="20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x v="2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x v="22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x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x v="2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x v="25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x v="10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x v="3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x v="26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x v="2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x v="28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x v="29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x v="30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x v="31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x v="32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x v="33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x v="3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x v="35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x v="3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x v="3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x v="38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x v="10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x v="3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x v="40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x v="41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x v="42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x v="43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x v="16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x v="44"/>
    <b v="1"/>
    <s v="film &amp; video/television"/>
    <n v="108"/>
    <n v="56.82"/>
    <x v="0"/>
    <x v="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x v="45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x v="19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x v="46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x v="47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x v="2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x v="47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x v="48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x v="49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x v="50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x v="11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x v="51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x v="52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x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x v="53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x v="31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x v="5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x v="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x v="55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x v="9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x v="17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x v="56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x v="5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x v="58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x v="14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x v="59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x v="60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x v="5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x v="41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x v="55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x v="2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x v="14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x v="5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x v="33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x v="61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x v="62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x v="63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x v="64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x v="5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x v="20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x v="65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x v="6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x v="38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x v="67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x v="68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x v="41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x v="8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x v="64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x v="69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x v="22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x v="65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x v="70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x v="55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x v="2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x v="71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x v="72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x v="73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x v="65"/>
    <b v="1"/>
    <s v="film &amp; video/shorts"/>
    <n v="107"/>
    <n v="39.380000000000003"/>
    <x v="0"/>
    <x v="1"/>
  </r>
  <r>
    <n v="106"/>
    <s v="LOST WEEKEND"/>
    <s v="A Boy. A Girl. A Car. A Serial Killer."/>
    <x v="10"/>
    <x v="102"/>
    <x v="0"/>
    <x v="0"/>
    <s v="USD"/>
    <n v="1333391901"/>
    <n v="1332182301"/>
    <b v="0"/>
    <x v="74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x v="50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x v="5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x v="5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x v="55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x v="28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x v="75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x v="76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x v="2"/>
    <b v="1"/>
    <s v="film &amp; video/shorts"/>
    <n v="103"/>
    <n v="88.57"/>
    <x v="0"/>
    <x v="1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x v="19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x v="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x v="74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x v="70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x v="7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x v="29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x v="29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x v="78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x v="79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x v="78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x v="79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x v="62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x v="80"/>
    <b v="0"/>
    <s v="film &amp; video/science fiction"/>
    <n v="2"/>
    <n v="47.5"/>
    <x v="0"/>
    <x v="2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x v="79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x v="78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x v="78"/>
    <b v="0"/>
    <s v="film &amp; video/science fiction"/>
    <n v="0"/>
    <n v="0"/>
    <x v="0"/>
    <x v="2"/>
  </r>
  <r>
    <n v="131"/>
    <s v="I (Canceled)"/>
    <s v="I"/>
    <x v="38"/>
    <x v="117"/>
    <x v="1"/>
    <x v="0"/>
    <s v="USD"/>
    <n v="1467763200"/>
    <n v="1466453161"/>
    <b v="0"/>
    <x v="78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x v="75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x v="78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x v="78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x v="81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x v="78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x v="78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x v="6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x v="29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x v="78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x v="33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x v="29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x v="78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x v="7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x v="82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x v="8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x v="78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x v="84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x v="79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x v="85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x v="81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x v="84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x v="73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x v="8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x v="80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x v="41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x v="84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x v="78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x v="29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x v="78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x v="29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x v="73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x v="78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x v="63"/>
    <b v="0"/>
    <s v="film &amp; video/drama"/>
    <n v="1"/>
    <n v="91.43"/>
    <x v="0"/>
    <x v="3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x v="78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x v="29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x v="84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x v="8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x v="73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x v="73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x v="29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x v="78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x v="78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x v="78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x v="55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x v="78"/>
    <b v="0"/>
    <s v="film &amp; video/drama"/>
    <n v="0"/>
    <n v="0"/>
    <x v="0"/>
    <x v="3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x v="63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x v="78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x v="84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x v="62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x v="80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x v="78"/>
    <b v="0"/>
    <s v="film &amp; video/drama"/>
    <n v="0"/>
    <n v="0"/>
    <x v="0"/>
    <x v="3"/>
  </r>
  <r>
    <n v="183"/>
    <s v="Three Little Words"/>
    <s v="Don't kill me until I meet my Dad"/>
    <x v="78"/>
    <x v="151"/>
    <x v="2"/>
    <x v="1"/>
    <s v="GBP"/>
    <n v="1417033610"/>
    <n v="1414438010"/>
    <b v="0"/>
    <x v="8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x v="84"/>
    <b v="0"/>
    <s v="film &amp; video/drama"/>
    <n v="3"/>
    <n v="25.5"/>
    <x v="0"/>
    <x v="3"/>
  </r>
  <r>
    <n v="185"/>
    <s v="BLANK Short Movie"/>
    <s v="Love has no boundaries!"/>
    <x v="79"/>
    <x v="153"/>
    <x v="2"/>
    <x v="10"/>
    <s v="NOK"/>
    <n v="1471557139"/>
    <n v="1468965139"/>
    <b v="0"/>
    <x v="73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x v="78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x v="81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x v="78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x v="81"/>
    <b v="0"/>
    <s v="film &amp; video/drama"/>
    <n v="0"/>
    <n v="69"/>
    <x v="0"/>
    <x v="3"/>
  </r>
  <r>
    <n v="190"/>
    <s v="REGIONRAT, the movie"/>
    <s v="Because hope can be a 4 letter word"/>
    <x v="14"/>
    <x v="155"/>
    <x v="2"/>
    <x v="0"/>
    <s v="USD"/>
    <n v="1466091446"/>
    <n v="1465227446"/>
    <b v="0"/>
    <x v="29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x v="8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x v="8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x v="78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x v="8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x v="78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x v="10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x v="22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x v="79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x v="78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x v="59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x v="63"/>
    <b v="0"/>
    <s v="film &amp; video/drama"/>
    <n v="58"/>
    <n v="54.29"/>
    <x v="0"/>
    <x v="3"/>
  </r>
  <r>
    <n v="202"/>
    <s v="Modern Gangsters"/>
    <s v="new web series created by jonney terry"/>
    <x v="12"/>
    <x v="117"/>
    <x v="2"/>
    <x v="0"/>
    <s v="USD"/>
    <n v="1444337940"/>
    <n v="1441750564"/>
    <b v="0"/>
    <x v="78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x v="22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x v="86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x v="5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x v="78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x v="62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x v="78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x v="78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x v="51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x v="8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x v="29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x v="29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x v="29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x v="29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x v="87"/>
    <b v="0"/>
    <s v="film &amp; video/drama"/>
    <n v="56"/>
    <n v="331.54"/>
    <x v="0"/>
    <x v="3"/>
  </r>
  <r>
    <n v="217"/>
    <s v="Bitch"/>
    <s v="A roadmovie by paw"/>
    <x v="57"/>
    <x v="172"/>
    <x v="2"/>
    <x v="11"/>
    <s v="SEK"/>
    <n v="1419780149"/>
    <n v="1417101749"/>
    <b v="0"/>
    <x v="44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x v="29"/>
    <b v="0"/>
    <s v="film &amp; video/drama"/>
    <n v="2"/>
    <n v="100"/>
    <x v="0"/>
    <x v="3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x v="88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x v="83"/>
    <b v="0"/>
    <s v="film &amp; video/drama"/>
    <n v="1"/>
    <n v="120"/>
    <x v="0"/>
    <x v="3"/>
  </r>
  <r>
    <n v="221"/>
    <s v="Archetypes"/>
    <s v="Film about Schizophrenia with Surreal Twists!"/>
    <x v="63"/>
    <x v="117"/>
    <x v="2"/>
    <x v="0"/>
    <s v="USD"/>
    <n v="1427569564"/>
    <n v="1422389164"/>
    <b v="0"/>
    <x v="78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x v="84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x v="78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x v="78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x v="78"/>
    <b v="0"/>
    <s v="film &amp; video/drama"/>
    <n v="0"/>
    <n v="0"/>
    <x v="0"/>
    <x v="3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x v="84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x v="78"/>
    <b v="0"/>
    <s v="film &amp; video/drama"/>
    <n v="0"/>
    <n v="0"/>
    <x v="0"/>
    <x v="3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x v="78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x v="78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x v="84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x v="78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x v="63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x v="78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x v="81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x v="78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x v="78"/>
    <b v="0"/>
    <s v="film &amp; video/drama"/>
    <n v="0"/>
    <n v="0"/>
    <x v="0"/>
    <x v="3"/>
  </r>
  <r>
    <n v="237"/>
    <s v="Making The Choice"/>
    <s v="Making The Choice is a christian short film series."/>
    <x v="36"/>
    <x v="155"/>
    <x v="2"/>
    <x v="0"/>
    <s v="USD"/>
    <n v="1457445069"/>
    <n v="1452261069"/>
    <b v="0"/>
    <x v="29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x v="78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x v="81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x v="89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x v="90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x v="91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x v="92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x v="87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x v="93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x v="94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x v="95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x v="9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x v="97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x v="98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x v="99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x v="52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x v="63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x v="100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x v="101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x v="102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x v="103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x v="104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x v="105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x v="106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x v="107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x v="108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x v="109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x v="110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x v="6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x v="17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x v="111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x v="112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x v="113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x v="42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x v="114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x v="71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x v="115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x v="116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x v="117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x v="95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x v="118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x v="119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x v="120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x v="121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x v="1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x v="122"/>
    <b v="1"/>
    <s v="film &amp; video/documentary"/>
    <n v="101"/>
    <n v="254.39"/>
    <x v="0"/>
    <x v="4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x v="91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x v="123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x v="124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x v="12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x v="126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x v="12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x v="128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x v="129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x v="130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x v="131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x v="132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x v="133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x v="134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x v="135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x v="136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x v="137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x v="138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x v="139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x v="140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x v="52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x v="141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x v="142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x v="143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x v="144"/>
    <b v="1"/>
    <s v="film &amp; video/documentary"/>
    <n v="293"/>
    <n v="36.61"/>
    <x v="0"/>
    <x v="4"/>
  </r>
  <r>
    <n v="307"/>
    <s v="Grammar Revolution"/>
    <s v="Why is grammar important?"/>
    <x v="29"/>
    <x v="244"/>
    <x v="0"/>
    <x v="0"/>
    <s v="USD"/>
    <n v="1360276801"/>
    <n v="1357684801"/>
    <b v="1"/>
    <x v="145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x v="91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x v="146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x v="17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x v="3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x v="9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x v="147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x v="148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x v="149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x v="150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x v="151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x v="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x v="13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x v="150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x v="152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x v="153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x v="6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x v="141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x v="154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x v="155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x v="69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x v="156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x v="15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x v="158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x v="159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x v="160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x v="161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x v="50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x v="144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x v="131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x v="162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x v="163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x v="30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x v="164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x v="16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x v="166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x v="167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x v="168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x v="122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x v="101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x v="16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x v="46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x v="15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x v="170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x v="171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x v="172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x v="17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x v="60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x v="111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x v="174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x v="175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x v="176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x v="177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x v="45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x v="178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x v="48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x v="55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x v="116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x v="71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x v="179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x v="46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x v="180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x v="15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x v="68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x v="181"/>
    <b v="1"/>
    <s v="film &amp; video/documentary"/>
    <n v="114"/>
    <n v="161.26"/>
    <x v="0"/>
    <x v="4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x v="82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x v="30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x v="49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x v="25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x v="53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x v="182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x v="1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x v="184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x v="72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x v="140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x v="19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x v="53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x v="185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x v="186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x v="62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x v="187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x v="26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x v="188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x v="25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x v="189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x v="190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x v="19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x v="133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x v="192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x v="193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x v="194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x v="85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x v="1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x v="95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x v="196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x v="68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x v="16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x v="197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x v="16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x v="2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x v="19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x v="44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x v="41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x v="63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x v="198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x v="16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x v="199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x v="200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x v="64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x v="20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x v="47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x v="201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x v="196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x v="8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x v="79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x v="8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x v="62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x v="81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x v="84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x v="22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x v="78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x v="62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x v="78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x v="81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x v="22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x v="22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x v="78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x v="84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x v="8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x v="78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x v="78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x v="202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x v="78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x v="29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x v="78"/>
    <b v="0"/>
    <s v="film &amp; video/animation"/>
    <n v="0"/>
    <n v="0"/>
    <x v="0"/>
    <x v="5"/>
  </r>
  <r>
    <n v="442"/>
    <s v="The Paranormal Idiot"/>
    <s v="Doomsday is here"/>
    <x v="73"/>
    <x v="368"/>
    <x v="2"/>
    <x v="0"/>
    <s v="USD"/>
    <n v="1424380783"/>
    <n v="1421788783"/>
    <b v="0"/>
    <x v="5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x v="84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x v="29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x v="84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x v="38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x v="29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x v="80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x v="81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x v="63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x v="78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x v="8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x v="84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x v="81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x v="84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x v="8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x v="78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x v="72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x v="29"/>
    <b v="0"/>
    <s v="film &amp; video/animation"/>
    <n v="0"/>
    <n v="25"/>
    <x v="0"/>
    <x v="5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x v="84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x v="78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x v="78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x v="202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x v="29"/>
    <b v="0"/>
    <s v="film &amp; video/animation"/>
    <n v="0"/>
    <n v="1"/>
    <x v="0"/>
    <x v="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x v="22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x v="81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x v="70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x v="78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x v="78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x v="84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x v="203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x v="81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x v="25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x v="29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x v="78"/>
    <b v="0"/>
    <s v="film &amp; video/animation"/>
    <n v="0"/>
    <n v="0"/>
    <x v="0"/>
    <x v="5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x v="20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x v="78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x v="78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x v="16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x v="205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x v="64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x v="29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x v="206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x v="202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x v="207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x v="29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x v="78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x v="78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x v="83"/>
    <b v="0"/>
    <s v="film &amp; video/animation"/>
    <n v="0"/>
    <n v="71.67"/>
    <x v="0"/>
    <x v="5"/>
  </r>
  <r>
    <n v="490"/>
    <s v="PROJECT IS CANCELLED"/>
    <s v="Cancelled"/>
    <x v="28"/>
    <x v="117"/>
    <x v="2"/>
    <x v="0"/>
    <s v="USD"/>
    <n v="1345677285"/>
    <n v="1343085285"/>
    <b v="0"/>
    <x v="78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x v="78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x v="78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x v="78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x v="8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x v="78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x v="29"/>
    <b v="0"/>
    <s v="film &amp; video/animation"/>
    <n v="0"/>
    <n v="1"/>
    <x v="0"/>
    <x v="5"/>
  </r>
  <r>
    <n v="497"/>
    <s v="Galaxy Probe Kids"/>
    <s v="live-action/animated series pilot."/>
    <x v="140"/>
    <x v="134"/>
    <x v="2"/>
    <x v="0"/>
    <s v="USD"/>
    <n v="1419483600"/>
    <n v="1414889665"/>
    <b v="0"/>
    <x v="8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x v="19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x v="55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x v="80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x v="78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x v="80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x v="82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x v="81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x v="25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x v="29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x v="73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x v="8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x v="29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x v="78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x v="81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x v="84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x v="32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x v="8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x v="69"/>
    <b v="0"/>
    <s v="film &amp; video/animation"/>
    <n v="25"/>
    <n v="725.03"/>
    <x v="0"/>
    <x v="5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x v="78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x v="8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x v="78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x v="16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x v="69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x v="6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x v="162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x v="87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x v="208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x v="8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x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x v="150"/>
    <b v="1"/>
    <s v="theater/plays"/>
    <n v="101"/>
    <n v="63.83"/>
    <x v="1"/>
    <x v="6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x v="209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x v="59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x v="60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x v="162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x v="210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x v="5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x v="53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x v="211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x v="70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x v="211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x v="65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x v="9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x v="29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x v="29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x v="29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x v="84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x v="84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x v="69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x v="84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x v="78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x v="29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x v="22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x v="80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x v="33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x v="78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x v="79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x v="19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x v="78"/>
    <b v="0"/>
    <s v="technology/web"/>
    <n v="0"/>
    <n v="0"/>
    <x v="2"/>
    <x v="7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x v="29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x v="9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x v="78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x v="29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x v="8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x v="84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x v="78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x v="84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x v="29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x v="78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x v="29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x v="78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x v="81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x v="29"/>
    <b v="0"/>
    <s v="technology/web"/>
    <n v="1"/>
    <n v="20"/>
    <x v="2"/>
    <x v="7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x v="29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x v="84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x v="78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x v="82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x v="80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x v="80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x v="29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x v="29"/>
    <b v="0"/>
    <s v="technology/web"/>
    <n v="0"/>
    <n v="10"/>
    <x v="2"/>
    <x v="7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x v="63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x v="81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x v="29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x v="78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x v="78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x v="29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x v="84"/>
    <b v="0"/>
    <s v="technology/web"/>
    <n v="1"/>
    <n v="5"/>
    <x v="2"/>
    <x v="7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x v="78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x v="80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x v="63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x v="84"/>
    <b v="0"/>
    <s v="technology/web"/>
    <n v="3"/>
    <n v="150.5"/>
    <x v="2"/>
    <x v="7"/>
  </r>
  <r>
    <n v="589"/>
    <s v="Get Neighborly"/>
    <s v="Services closer than you think..."/>
    <x v="51"/>
    <x v="116"/>
    <x v="2"/>
    <x v="0"/>
    <s v="USD"/>
    <n v="1436366699"/>
    <n v="1435070699"/>
    <b v="0"/>
    <x v="29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x v="82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x v="84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x v="29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x v="63"/>
    <b v="0"/>
    <s v="technology/web"/>
    <n v="23"/>
    <n v="16.43"/>
    <x v="2"/>
    <x v="7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x v="84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x v="22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x v="84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x v="84"/>
    <b v="0"/>
    <s v="technology/web"/>
    <n v="0"/>
    <n v="10"/>
    <x v="2"/>
    <x v="7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x v="63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x v="84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x v="29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x v="79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x v="78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x v="62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x v="78"/>
    <b v="0"/>
    <s v="technology/web"/>
    <n v="0"/>
    <n v="0"/>
    <x v="2"/>
    <x v="7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x v="22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x v="29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x v="78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x v="81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x v="29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x v="78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x v="78"/>
    <b v="0"/>
    <s v="technology/web"/>
    <n v="0"/>
    <n v="0"/>
    <x v="2"/>
    <x v="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x v="78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x v="212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x v="78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x v="78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x v="78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x v="8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x v="78"/>
    <b v="0"/>
    <s v="technology/web"/>
    <n v="0"/>
    <n v="0"/>
    <x v="2"/>
    <x v="7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x v="29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x v="29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x v="8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x v="82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x v="78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x v="78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x v="78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x v="70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x v="29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x v="78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x v="8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x v="29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x v="82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x v="78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x v="20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x v="29"/>
    <b v="0"/>
    <s v="technology/web"/>
    <n v="0"/>
    <n v="1"/>
    <x v="2"/>
    <x v="7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x v="29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x v="29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x v="78"/>
    <b v="0"/>
    <s v="technology/web"/>
    <n v="0"/>
    <n v="0"/>
    <x v="2"/>
    <x v="7"/>
  </r>
  <r>
    <n v="638"/>
    <s v="W (Canceled)"/>
    <s v="O0"/>
    <x v="61"/>
    <x v="461"/>
    <x v="1"/>
    <x v="12"/>
    <s v="EUR"/>
    <n v="1490447662"/>
    <n v="1485267262"/>
    <b v="0"/>
    <x v="79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x v="29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x v="84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x v="213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x v="21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x v="215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x v="216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x v="186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x v="74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x v="57"/>
    <b v="1"/>
    <s v="technology/wearables"/>
    <n v="107"/>
    <n v="125.94"/>
    <x v="2"/>
    <x v="8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x v="74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x v="141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x v="53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x v="217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x v="33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x v="218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x v="219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x v="220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x v="45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x v="221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x v="222"/>
    <b v="1"/>
    <s v="technology/wearables"/>
    <n v="104"/>
    <n v="109.34"/>
    <x v="2"/>
    <x v="8"/>
  </r>
  <r>
    <n v="659"/>
    <s v="Lulu Watch Designs - Apple Watch"/>
    <s v="Sync up your lifestyle"/>
    <x v="9"/>
    <x v="481"/>
    <x v="0"/>
    <x v="0"/>
    <s v="USD"/>
    <n v="1440339295"/>
    <n v="1437747295"/>
    <b v="0"/>
    <x v="64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x v="59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x v="82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x v="80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x v="63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x v="60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x v="8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x v="80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x v="33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x v="20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x v="33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x v="223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x v="41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x v="224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x v="8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x v="84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x v="55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x v="5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x v="93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x v="5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x v="225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x v="135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x v="29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x v="80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x v="83"/>
    <b v="0"/>
    <s v="technology/wearables"/>
    <n v="1"/>
    <n v="99.33"/>
    <x v="2"/>
    <x v="8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x v="12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x v="73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x v="78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x v="79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x v="17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x v="226"/>
    <b v="0"/>
    <s v="technology/wearables"/>
    <n v="58"/>
    <n v="343.15"/>
    <x v="2"/>
    <x v="8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x v="69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x v="73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x v="227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x v="228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x v="63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x v="63"/>
    <b v="0"/>
    <s v="technology/wearables"/>
    <n v="1"/>
    <n v="90.86"/>
    <x v="2"/>
    <x v="8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x v="29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x v="229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x v="60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x v="23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x v="162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x v="64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x v="7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x v="63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x v="80"/>
    <b v="0"/>
    <s v="technology/wearables"/>
    <n v="1"/>
    <n v="120.25"/>
    <x v="2"/>
    <x v="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x v="81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x v="78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x v="231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x v="232"/>
    <b v="0"/>
    <s v="technology/wearables"/>
    <n v="22"/>
    <n v="23.95"/>
    <x v="2"/>
    <x v="8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x v="84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x v="78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x v="233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x v="80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x v="29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x v="33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x v="8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x v="38"/>
    <b v="0"/>
    <s v="technology/wearables"/>
    <n v="10"/>
    <n v="44.69"/>
    <x v="2"/>
    <x v="8"/>
  </r>
  <r>
    <n v="717"/>
    <s v="cool air belt"/>
    <s v="Cool air flowing under clothing keeps you cool."/>
    <x v="57"/>
    <x v="527"/>
    <x v="2"/>
    <x v="0"/>
    <s v="USD"/>
    <n v="1409949002"/>
    <n v="1407357002"/>
    <b v="0"/>
    <x v="80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x v="80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x v="73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x v="14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x v="46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x v="234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x v="61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x v="235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x v="205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x v="2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x v="184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x v="208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x v="148"/>
    <b v="1"/>
    <s v="publishing/nonfiction"/>
    <n v="131"/>
    <n v="43.55"/>
    <x v="3"/>
    <x v="9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x v="236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x v="26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x v="62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x v="3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x v="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x v="194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x v="52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x v="52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x v="14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x v="237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x v="10"/>
    <b v="1"/>
    <s v="publishing/nonfiction"/>
    <n v="107"/>
    <n v="169.58"/>
    <x v="3"/>
    <x v="9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x v="225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x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x v="41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x v="95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x v="142"/>
    <b v="1"/>
    <s v="publishing/nonfiction"/>
    <n v="179"/>
    <n v="53.73"/>
    <x v="3"/>
    <x v="9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x v="174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x v="16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x v="3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x v="238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x v="211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x v="95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x v="217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x v="55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x v="72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x v="32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x v="19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x v="59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x v="10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x v="221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x v="78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x v="79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x v="78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x v="29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x v="78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x v="3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x v="78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x v="8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x v="78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x v="47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x v="78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x v="29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x v="29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x v="84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x v="82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x v="81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x v="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x v="8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x v="29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x v="79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x v="74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x v="20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x v="25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x v="2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x v="73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x v="60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x v="3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x v="5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x v="69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x v="25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x v="239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x v="130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x v="65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x v="58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x v="28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x v="192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x v="24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x v="26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x v="45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x v="33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x v="6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x v="13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x v="11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x v="44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x v="59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x v="241"/>
    <b v="1"/>
    <s v="music/rock"/>
    <n v="105"/>
    <n v="58.33"/>
    <x v="4"/>
    <x v="11"/>
  </r>
  <r>
    <n v="806"/>
    <s v="Golden Animals NEW Album!"/>
    <s v="Help Golden Animals finish their NEW Album!"/>
    <x v="6"/>
    <x v="603"/>
    <x v="0"/>
    <x v="0"/>
    <s v="USD"/>
    <n v="1315413339"/>
    <n v="1312821339"/>
    <b v="0"/>
    <x v="26"/>
    <b v="1"/>
    <s v="music/rock"/>
    <n v="104"/>
    <n v="117.68"/>
    <x v="4"/>
    <x v="11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x v="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x v="68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x v="47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x v="74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x v="8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x v="51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x v="93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x v="33"/>
    <b v="1"/>
    <s v="music/rock"/>
    <n v="127"/>
    <n v="45.46"/>
    <x v="4"/>
    <x v="11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x v="68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x v="242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x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x v="10"/>
    <b v="1"/>
    <s v="music/rock"/>
    <n v="156"/>
    <n v="28.68"/>
    <x v="4"/>
    <x v="11"/>
  </r>
  <r>
    <n v="819"/>
    <s v="Winter Tour"/>
    <s v="We are touring the Southeast in support of our new EP"/>
    <x v="44"/>
    <x v="140"/>
    <x v="0"/>
    <x v="0"/>
    <s v="USD"/>
    <n v="1387601040"/>
    <n v="1386806254"/>
    <b v="0"/>
    <x v="25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x v="44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x v="76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x v="50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x v="51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x v="241"/>
    <b v="1"/>
    <s v="music/rock"/>
    <n v="134"/>
    <n v="39.82"/>
    <x v="4"/>
    <x v="11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x v="221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x v="72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x v="202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x v="44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x v="38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x v="58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x v="9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x v="243"/>
    <b v="1"/>
    <s v="music/rock"/>
    <n v="101"/>
    <n v="97.99"/>
    <x v="4"/>
    <x v="11"/>
  </r>
  <r>
    <n v="833"/>
    <s v="Ragman Rolls"/>
    <s v="This is an American rock album."/>
    <x v="12"/>
    <x v="627"/>
    <x v="0"/>
    <x v="0"/>
    <s v="USD"/>
    <n v="1397941475"/>
    <n v="1395349475"/>
    <b v="0"/>
    <x v="14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x v="11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x v="244"/>
    <b v="1"/>
    <s v="music/rock"/>
    <n v="117"/>
    <n v="58.63"/>
    <x v="4"/>
    <x v="11"/>
  </r>
  <r>
    <n v="836"/>
    <s v="DESMADRE Full Album + Press Kit"/>
    <s v="An album you can bring home to mom."/>
    <x v="10"/>
    <x v="630"/>
    <x v="0"/>
    <x v="0"/>
    <s v="USD"/>
    <n v="1381108918"/>
    <n v="1378516918"/>
    <b v="0"/>
    <x v="67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x v="95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x v="42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x v="93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x v="245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x v="225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x v="70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x v="246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x v="180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x v="24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x v="5"/>
    <b v="1"/>
    <s v="music/metal"/>
    <n v="122"/>
    <n v="28.55"/>
    <x v="4"/>
    <x v="12"/>
  </r>
  <r>
    <n v="847"/>
    <s v="CENTROPYMUSIC"/>
    <s v="MUSIC WITH MEANING!  MUSIC THAT MATTERS!!!"/>
    <x v="185"/>
    <x v="115"/>
    <x v="0"/>
    <x v="0"/>
    <s v="USD"/>
    <n v="1436555376"/>
    <n v="1433963376"/>
    <b v="0"/>
    <x v="29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x v="38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x v="248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x v="182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x v="16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x v="95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x v="73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x v="24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x v="5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x v="33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x v="5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x v="88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x v="15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x v="53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x v="84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x v="80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x v="81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x v="1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x v="84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x v="202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x v="202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x v="29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x v="8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x v="81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x v="8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x v="84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x v="81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x v="64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x v="78"/>
    <b v="0"/>
    <s v="music/jazz"/>
    <n v="0"/>
    <n v="0"/>
    <x v="4"/>
    <x v="13"/>
  </r>
  <r>
    <n v="876"/>
    <s v="Sound Of Dobells"/>
    <s v="What was the greatest record shop ever?  DOBELLS!"/>
    <x v="189"/>
    <x v="656"/>
    <x v="2"/>
    <x v="1"/>
    <s v="GBP"/>
    <n v="1359978927"/>
    <n v="1357127727"/>
    <b v="0"/>
    <x v="43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x v="60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x v="84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x v="209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x v="22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x v="29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x v="25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x v="5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x v="84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x v="64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x v="63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x v="78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x v="80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x v="58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x v="80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x v="82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x v="5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x v="81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x v="28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x v="63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x v="250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x v="78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x v="84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x v="22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x v="84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x v="78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x v="8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x v="80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x v="8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x v="79"/>
    <b v="0"/>
    <s v="music/jazz"/>
    <n v="3"/>
    <n v="32.67"/>
    <x v="4"/>
    <x v="13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x v="78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x v="78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x v="78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x v="22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x v="81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x v="78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x v="84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x v="5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x v="78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x v="82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x v="78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x v="29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x v="73"/>
    <b v="0"/>
    <s v="music/jazz"/>
    <n v="5"/>
    <n v="19.600000000000001"/>
    <x v="4"/>
    <x v="13"/>
  </r>
  <r>
    <n v="919"/>
    <s v="Jazz CD:  Out of The Blue"/>
    <s v="Cool jazz with a New Orleans flavor."/>
    <x v="22"/>
    <x v="173"/>
    <x v="2"/>
    <x v="0"/>
    <s v="USD"/>
    <n v="1355930645"/>
    <n v="1352906645"/>
    <b v="0"/>
    <x v="29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x v="78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x v="9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x v="209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x v="79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x v="41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x v="81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x v="78"/>
    <b v="0"/>
    <s v="music/jazz"/>
    <n v="0"/>
    <n v="0"/>
    <x v="4"/>
    <x v="13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x v="78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x v="33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x v="78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x v="81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x v="63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x v="209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x v="84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x v="209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x v="84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x v="78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x v="84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x v="29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x v="84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x v="25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x v="162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x v="38"/>
    <b v="0"/>
    <s v="technology/wearables"/>
    <n v="9"/>
    <n v="41.75"/>
    <x v="2"/>
    <x v="8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x v="8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x v="93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x v="38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x v="81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x v="78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x v="22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x v="63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x v="54"/>
    <b v="0"/>
    <s v="technology/wearables"/>
    <n v="28"/>
    <n v="58.42"/>
    <x v="2"/>
    <x v="8"/>
  </r>
  <r>
    <n v="951"/>
    <s v="Smart Harness"/>
    <s v="Revolutionizing the way we walk our dogs!"/>
    <x v="63"/>
    <x v="689"/>
    <x v="2"/>
    <x v="0"/>
    <s v="USD"/>
    <n v="1465054872"/>
    <n v="1461166872"/>
    <b v="0"/>
    <x v="212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x v="193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x v="81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x v="196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x v="251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x v="5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x v="63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x v="5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x v="199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x v="101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x v="238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x v="7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x v="82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x v="60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x v="79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x v="209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x v="75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x v="80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x v="202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x v="25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x v="81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x v="43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x v="22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x v="8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x v="5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x v="59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x v="8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x v="252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x v="93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x v="162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x v="80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x v="8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x v="122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x v="8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x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x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x v="14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x v="78"/>
    <b v="0"/>
    <s v="technology/wearables"/>
    <n v="0"/>
    <n v="0"/>
    <x v="2"/>
    <x v="8"/>
  </r>
  <r>
    <n v="989"/>
    <s v="Power Rope"/>
    <s v="The most useful phone charger you will ever buy"/>
    <x v="3"/>
    <x v="718"/>
    <x v="2"/>
    <x v="0"/>
    <s v="USD"/>
    <n v="1475101495"/>
    <n v="1472509495"/>
    <b v="0"/>
    <x v="58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x v="84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x v="63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x v="80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x v="193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x v="202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x v="82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x v="81"/>
    <b v="0"/>
    <s v="technology/wearables"/>
    <n v="2"/>
    <n v="13"/>
    <x v="2"/>
    <x v="8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x v="22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x v="194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x v="244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x v="79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x v="80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x v="19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x v="41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x v="1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x v="253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x v="22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x v="88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x v="29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x v="2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x v="80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x v="29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x v="254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x v="24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x v="38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x v="79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x v="44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x v="2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x v="63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x v="256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x v="209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x v="257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x v="142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x v="132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x v="42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x v="258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x v="259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x v="112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x v="260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x v="26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x v="180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x v="221"/>
    <b v="1"/>
    <s v="music/electronic music"/>
    <n v="107"/>
    <n v="108.48"/>
    <x v="4"/>
    <x v="15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x v="93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x v="74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x v="262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x v="88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x v="263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x v="64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x v="42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x v="209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x v="29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x v="78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x v="29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x v="264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x v="84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x v="22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x v="78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x v="29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x v="80"/>
    <b v="0"/>
    <s v="journalism/audio"/>
    <n v="1"/>
    <n v="53"/>
    <x v="5"/>
    <x v="16"/>
  </r>
  <r>
    <n v="1049"/>
    <s v="J1 (Canceled)"/>
    <s v="------"/>
    <x v="14"/>
    <x v="117"/>
    <x v="1"/>
    <x v="0"/>
    <s v="USD"/>
    <n v="1455272445"/>
    <n v="1452680445"/>
    <b v="0"/>
    <x v="78"/>
    <b v="0"/>
    <s v="journalism/audio"/>
    <n v="0"/>
    <n v="0"/>
    <x v="5"/>
    <x v="16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x v="78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x v="78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x v="78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x v="29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x v="78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x v="78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x v="78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x v="78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x v="78"/>
    <b v="0"/>
    <s v="journalism/audio"/>
    <n v="0"/>
    <n v="0"/>
    <x v="5"/>
    <x v="16"/>
  </r>
  <r>
    <n v="1059"/>
    <s v="Voice Over Artist (Canceled)"/>
    <s v="Turning myself into a vocal artist."/>
    <x v="184"/>
    <x v="117"/>
    <x v="1"/>
    <x v="0"/>
    <s v="USD"/>
    <n v="1426269456"/>
    <n v="1423681056"/>
    <b v="0"/>
    <x v="78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x v="29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x v="78"/>
    <b v="0"/>
    <s v="journalism/audio"/>
    <n v="0"/>
    <n v="0"/>
    <x v="5"/>
    <x v="16"/>
  </r>
  <r>
    <n v="1062"/>
    <s v="RETURNING AT A LATER DATE"/>
    <s v="SEE US ON PATREON www.badgirlartwork.com"/>
    <x v="212"/>
    <x v="121"/>
    <x v="1"/>
    <x v="0"/>
    <s v="USD"/>
    <n v="1468351341"/>
    <n v="1467746541"/>
    <b v="0"/>
    <x v="80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x v="78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x v="252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x v="81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x v="265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x v="73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x v="80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x v="64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x v="84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x v="78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x v="80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x v="29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x v="209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x v="8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x v="266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x v="15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x v="81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x v="59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x v="15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x v="80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x v="8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x v="29"/>
    <b v="0"/>
    <s v="games/video games"/>
    <n v="1"/>
    <n v="410"/>
    <x v="6"/>
    <x v="17"/>
  </r>
  <r>
    <n v="1084"/>
    <s v="My own channel"/>
    <s v="I want to start my own channel for gaming"/>
    <x v="131"/>
    <x v="117"/>
    <x v="2"/>
    <x v="0"/>
    <s v="USD"/>
    <n v="1407534804"/>
    <n v="1404942804"/>
    <b v="0"/>
    <x v="78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x v="82"/>
    <b v="0"/>
    <s v="games/video games"/>
    <n v="3"/>
    <n v="114"/>
    <x v="6"/>
    <x v="17"/>
  </r>
  <r>
    <n v="1086"/>
    <s v="Cyber Universe Online"/>
    <s v="Humanity's future in the Galaxy"/>
    <x v="102"/>
    <x v="493"/>
    <x v="2"/>
    <x v="0"/>
    <s v="USD"/>
    <n v="1408913291"/>
    <n v="1406321291"/>
    <b v="0"/>
    <x v="84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x v="78"/>
    <b v="0"/>
    <s v="games/video games"/>
    <n v="0"/>
    <n v="0"/>
    <x v="6"/>
    <x v="1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x v="206"/>
    <b v="0"/>
    <s v="games/video games"/>
    <n v="14"/>
    <n v="43.42"/>
    <x v="6"/>
    <x v="1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x v="72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x v="29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x v="84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x v="63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x v="80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x v="74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x v="225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x v="60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x v="63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x v="19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x v="29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x v="73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x v="79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x v="5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x v="41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x v="7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x v="9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x v="63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x v="78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x v="64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x v="8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x v="202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x v="29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x v="267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x v="29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x v="8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x v="80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x v="73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x v="22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x v="8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x v="29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x v="78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x v="81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x v="78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x v="8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x v="63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x v="78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x v="84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x v="23"/>
    <b v="0"/>
    <s v="games/mobile games"/>
    <n v="2"/>
    <n v="25.43"/>
    <x v="6"/>
    <x v="18"/>
  </r>
  <r>
    <n v="1128"/>
    <s v="Flying Turds"/>
    <s v="#havingfunFTW"/>
    <x v="28"/>
    <x v="116"/>
    <x v="2"/>
    <x v="1"/>
    <s v="GBP"/>
    <n v="1407425717"/>
    <n v="1404833717"/>
    <b v="0"/>
    <x v="29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x v="84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x v="8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x v="78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x v="62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x v="29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x v="29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x v="29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x v="79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x v="70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x v="80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x v="29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x v="78"/>
    <b v="0"/>
    <s v="games/mobile games"/>
    <n v="0"/>
    <n v="0"/>
    <x v="6"/>
    <x v="18"/>
  </r>
  <r>
    <n v="1141"/>
    <s v="Arena Z - Zombie Survival"/>
    <s v="I think this will be a great game!"/>
    <x v="2"/>
    <x v="117"/>
    <x v="2"/>
    <x v="12"/>
    <s v="EUR"/>
    <n v="1436460450"/>
    <n v="1433868450"/>
    <b v="0"/>
    <x v="78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x v="78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x v="22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x v="78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x v="29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x v="8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x v="78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x v="83"/>
    <b v="0"/>
    <s v="food/food trucks"/>
    <n v="0"/>
    <n v="24.33"/>
    <x v="7"/>
    <x v="19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x v="84"/>
    <b v="0"/>
    <s v="food/food trucks"/>
    <n v="0"/>
    <n v="37.5"/>
    <x v="7"/>
    <x v="19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x v="79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x v="78"/>
    <b v="0"/>
    <s v="food/food trucks"/>
    <n v="0"/>
    <n v="0"/>
    <x v="7"/>
    <x v="19"/>
  </r>
  <r>
    <n v="1152"/>
    <s v="Peruvian King Food Truck"/>
    <s v="Peruvian food truck with an LA twist."/>
    <x v="194"/>
    <x v="608"/>
    <x v="2"/>
    <x v="0"/>
    <s v="USD"/>
    <n v="1431709312"/>
    <n v="1429117312"/>
    <b v="0"/>
    <x v="41"/>
    <b v="0"/>
    <s v="food/food trucks"/>
    <n v="6"/>
    <n v="60.73"/>
    <x v="7"/>
    <x v="19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x v="29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x v="8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x v="22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x v="78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x v="8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x v="8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x v="78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x v="10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x v="78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x v="84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x v="78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x v="78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x v="20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x v="22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x v="38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x v="8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x v="8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x v="84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x v="29"/>
    <b v="0"/>
    <s v="food/food trucks"/>
    <n v="0"/>
    <n v="25"/>
    <x v="7"/>
    <x v="19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x v="78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x v="29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x v="10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x v="82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x v="29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x v="78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x v="29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x v="81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x v="268"/>
    <b v="0"/>
    <s v="food/food trucks"/>
    <n v="12"/>
    <n v="69.12"/>
    <x v="7"/>
    <x v="19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x v="8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x v="80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x v="8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x v="269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x v="112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x v="252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x v="16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x v="268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x v="48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x v="62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x v="51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x v="41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x v="270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x v="271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x v="203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x v="27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x v="100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x v="15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x v="82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x v="27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x v="112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x v="197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x v="2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x v="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x v="95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x v="58"/>
    <b v="1"/>
    <s v="photography/photobooks"/>
    <n v="115"/>
    <n v="32.340000000000003"/>
    <x v="8"/>
    <x v="2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x v="26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x v="11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x v="67"/>
    <b v="1"/>
    <s v="photography/photobooks"/>
    <n v="106"/>
    <n v="138.26"/>
    <x v="8"/>
    <x v="20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x v="27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x v="79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x v="1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x v="52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x v="20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x v="274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x v="147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x v="275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x v="30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x v="35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x v="205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x v="273"/>
    <b v="1"/>
    <s v="photography/photobooks"/>
    <n v="111"/>
    <n v="23.8"/>
    <x v="8"/>
    <x v="2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x v="276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x v="277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x v="59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x v="8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x v="244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x v="78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x v="5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x v="29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x v="78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x v="78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x v="29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x v="79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x v="78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x v="79"/>
    <b v="0"/>
    <s v="music/world music"/>
    <n v="3"/>
    <n v="35"/>
    <x v="4"/>
    <x v="21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x v="78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x v="78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x v="8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x v="78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x v="22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x v="69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x v="29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x v="44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x v="43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x v="5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x v="162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x v="133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x v="211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x v="75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x v="27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x v="142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x v="26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x v="279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x v="26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x v="280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x v="28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x v="282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x v="283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x v="93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x v="142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x v="47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x v="217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x v="14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x v="69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x v="3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x v="133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x v="180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x v="0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x v="190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x v="3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x v="162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x v="33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x v="241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x v="284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x v="285"/>
    <b v="1"/>
    <s v="music/rock"/>
    <n v="162"/>
    <n v="62.52"/>
    <x v="4"/>
    <x v="11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x v="32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x v="286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x v="245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x v="143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x v="208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x v="142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x v="220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x v="19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x v="162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x v="287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x v="9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x v="20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x v="42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x v="47"/>
    <b v="1"/>
    <s v="theater/plays"/>
    <n v="125"/>
    <n v="36.08"/>
    <x v="1"/>
    <x v="6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x v="48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x v="288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x v="47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x v="148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x v="19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x v="31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x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x v="146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x v="51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x v="58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x v="5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x v="60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x v="133"/>
    <b v="1"/>
    <s v="theater/plays"/>
    <n v="100"/>
    <n v="50"/>
    <x v="1"/>
    <x v="6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x v="52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x v="201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x v="48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x v="289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x v="43"/>
    <b v="0"/>
    <s v="technology/wearables"/>
    <n v="12"/>
    <n v="127.93"/>
    <x v="2"/>
    <x v="8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x v="44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x v="2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x v="5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x v="61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x v="29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x v="259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x v="202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x v="290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x v="29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x v="10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x v="12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x v="82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x v="8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x v="63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x v="80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x v="3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x v="24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x v="22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x v="202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x v="14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x v="41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x v="82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x v="133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x v="69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x v="78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x v="78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x v="222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x v="38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x v="291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x v="205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x v="41"/>
    <b v="0"/>
    <s v="technology/wearables"/>
    <n v="3"/>
    <n v="66.069999999999993"/>
    <x v="2"/>
    <x v="8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x v="7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x v="78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x v="67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x v="29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x v="292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x v="237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x v="63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x v="184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x v="162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x v="55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x v="293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x v="76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x v="148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x v="294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x v="288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x v="31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x v="212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x v="45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x v="71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x v="72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x v="10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x v="75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x v="295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x v="20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x v="81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x v="296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x v="297"/>
    <b v="1"/>
    <s v="music/rock"/>
    <n v="100"/>
    <n v="81.739999999999995"/>
    <x v="4"/>
    <x v="11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x v="206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x v="24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x v="45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x v="298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x v="9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x v="16"/>
    <b v="1"/>
    <s v="music/rock"/>
    <n v="107"/>
    <n v="107.07"/>
    <x v="4"/>
    <x v="11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x v="38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x v="47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x v="3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x v="280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x v="129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x v="162"/>
    <b v="1"/>
    <s v="music/rock"/>
    <n v="116"/>
    <n v="48.71"/>
    <x v="4"/>
    <x v="11"/>
  </r>
  <r>
    <n v="1378"/>
    <s v="SIX BY SEVEN"/>
    <s v="A psychedelic post rock masterpiece!"/>
    <x v="13"/>
    <x v="976"/>
    <x v="0"/>
    <x v="1"/>
    <s v="GBP"/>
    <n v="1470075210"/>
    <n v="1468779210"/>
    <b v="0"/>
    <x v="182"/>
    <b v="1"/>
    <s v="music/rock"/>
    <n v="203"/>
    <n v="30.58"/>
    <x v="4"/>
    <x v="11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x v="299"/>
    <b v="1"/>
    <s v="music/rock"/>
    <n v="112"/>
    <n v="73.91"/>
    <x v="4"/>
    <x v="11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x v="81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x v="196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x v="265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x v="251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x v="287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x v="179"/>
    <b v="1"/>
    <s v="music/rock"/>
    <n v="110"/>
    <n v="65.91"/>
    <x v="4"/>
    <x v="11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x v="25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x v="76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x v="300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x v="69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x v="10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x v="62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x v="201"/>
    <b v="1"/>
    <s v="music/rock"/>
    <n v="114"/>
    <n v="27.32"/>
    <x v="4"/>
    <x v="11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x v="47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x v="57"/>
    <b v="1"/>
    <s v="music/rock"/>
    <n v="122"/>
    <n v="53.88"/>
    <x v="4"/>
    <x v="11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x v="141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x v="196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x v="150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x v="71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x v="192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x v="69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x v="301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x v="116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x v="3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x v="81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x v="57"/>
    <b v="0"/>
    <s v="publishing/translations"/>
    <n v="0"/>
    <n v="6.18"/>
    <x v="3"/>
    <x v="22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x v="8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x v="84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x v="79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x v="78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x v="29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x v="8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x v="62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x v="29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x v="29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x v="82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x v="78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x v="84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x v="29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x v="73"/>
    <b v="0"/>
    <s v="publishing/translations"/>
    <n v="7"/>
    <n v="44.5"/>
    <x v="3"/>
    <x v="22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x v="8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x v="84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x v="84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x v="29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x v="25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x v="78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x v="78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x v="80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x v="8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x v="78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x v="81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x v="5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x v="78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x v="73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x v="202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x v="84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x v="84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x v="19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x v="22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x v="79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x v="29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x v="8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x v="78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x v="78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x v="78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x v="78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x v="78"/>
    <b v="0"/>
    <s v="publishing/translations"/>
    <n v="0"/>
    <n v="0"/>
    <x v="3"/>
    <x v="22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x v="8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x v="78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x v="78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x v="29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x v="84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x v="78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x v="78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x v="29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x v="63"/>
    <b v="0"/>
    <s v="publishing/translations"/>
    <n v="11"/>
    <n v="225"/>
    <x v="3"/>
    <x v="22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x v="8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x v="78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x v="78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x v="78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x v="78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x v="158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x v="3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x v="20"/>
    <b v="1"/>
    <s v="publishing/radio &amp; podcasts"/>
    <n v="148"/>
    <n v="35.44"/>
    <x v="3"/>
    <x v="23"/>
  </r>
  <r>
    <n v="1464"/>
    <s v="Science Studio"/>
    <s v="The Best Science Media on the Web"/>
    <x v="10"/>
    <x v="1014"/>
    <x v="0"/>
    <x v="0"/>
    <s v="USD"/>
    <n v="1361029958"/>
    <n v="1358437958"/>
    <b v="1"/>
    <x v="302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x v="303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x v="290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x v="304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x v="305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x v="306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x v="75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x v="307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x v="226"/>
    <b v="1"/>
    <s v="publishing/radio &amp; podcasts"/>
    <n v="139"/>
    <n v="103.2"/>
    <x v="3"/>
    <x v="23"/>
  </r>
  <r>
    <n v="1473"/>
    <s v="ONE LOVES ONLY FORM"/>
    <s v="Public Radio Project"/>
    <x v="15"/>
    <x v="1023"/>
    <x v="0"/>
    <x v="0"/>
    <s v="USD"/>
    <n v="1330644639"/>
    <n v="1328052639"/>
    <b v="1"/>
    <x v="5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x v="88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x v="308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x v="309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x v="232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x v="310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x v="26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x v="311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x v="79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x v="29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x v="84"/>
    <b v="0"/>
    <s v="publishing/fiction"/>
    <n v="1"/>
    <n v="25"/>
    <x v="3"/>
    <x v="10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x v="78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x v="8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x v="8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x v="78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x v="79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x v="78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x v="10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x v="29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x v="84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x v="78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x v="202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x v="78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x v="78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x v="29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x v="8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x v="29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x v="41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x v="312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x v="313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x v="26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x v="314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x v="31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x v="68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x v="51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x v="263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x v="193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x v="316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x v="190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x v="317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x v="224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x v="282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x v="160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x v="318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x v="319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x v="163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x v="108"/>
    <b v="1"/>
    <s v="photography/photobooks"/>
    <n v="103"/>
    <n v="64.16"/>
    <x v="8"/>
    <x v="2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x v="15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x v="97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x v="320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x v="198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x v="33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x v="205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x v="321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x v="16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x v="322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x v="26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x v="323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x v="196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x v="32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x v="325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x v="232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x v="238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x v="326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x v="291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x v="67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x v="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x v="15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x v="84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x v="29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x v="29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x v="78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x v="29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x v="202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x v="78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x v="29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x v="79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x v="63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x v="78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x v="38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x v="78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x v="78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x v="78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x v="8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x v="29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x v="8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x v="29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x v="80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x v="29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x v="78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x v="84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x v="29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x v="29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x v="211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x v="62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x v="19"/>
    <b v="0"/>
    <s v="publishing/art books"/>
    <n v="14"/>
    <n v="155"/>
    <x v="3"/>
    <x v="25"/>
  </r>
  <r>
    <n v="1569"/>
    <s v="to be removed (Canceled)"/>
    <s v="to be removed"/>
    <x v="11"/>
    <x v="117"/>
    <x v="1"/>
    <x v="0"/>
    <s v="USD"/>
    <n v="1369498714"/>
    <n v="1366906714"/>
    <b v="0"/>
    <x v="78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x v="47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x v="80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x v="8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x v="8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x v="79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x v="2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x v="73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x v="84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x v="80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x v="84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x v="78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x v="29"/>
    <b v="0"/>
    <s v="photography/places"/>
    <n v="1"/>
    <n v="5"/>
    <x v="8"/>
    <x v="26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x v="8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x v="29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x v="78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x v="8"/>
    <b v="0"/>
    <s v="photography/places"/>
    <n v="79"/>
    <n v="131.66999999999999"/>
    <x v="8"/>
    <x v="26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x v="78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x v="29"/>
    <b v="0"/>
    <s v="photography/places"/>
    <n v="0"/>
    <n v="1"/>
    <x v="8"/>
    <x v="26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x v="78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x v="78"/>
    <b v="0"/>
    <s v="photography/places"/>
    <n v="0"/>
    <n v="0"/>
    <x v="8"/>
    <x v="26"/>
  </r>
  <r>
    <n v="1590"/>
    <s v="An Italian Adventure"/>
    <s v="Discover Italy through photography."/>
    <x v="127"/>
    <x v="806"/>
    <x v="2"/>
    <x v="13"/>
    <s v="EUR"/>
    <n v="1443040464"/>
    <n v="1440448464"/>
    <b v="0"/>
    <x v="84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x v="297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x v="78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x v="8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x v="73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x v="63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x v="8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x v="78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x v="29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x v="78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x v="82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x v="6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x v="58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x v="209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x v="16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x v="3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x v="297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x v="242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x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x v="80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x v="300"/>
    <b v="1"/>
    <s v="music/rock"/>
    <n v="272"/>
    <n v="48.54"/>
    <x v="4"/>
    <x v="11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x v="74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x v="202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x v="55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x v="99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x v="327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x v="328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x v="150"/>
    <b v="1"/>
    <s v="music/rock"/>
    <n v="146"/>
    <n v="64.62"/>
    <x v="4"/>
    <x v="11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x v="74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x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x v="5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x v="7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x v="71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x v="59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x v="20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x v="201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x v="52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x v="44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x v="106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x v="141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x v="149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x v="182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x v="5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x v="6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x v="58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x v="7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x v="45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x v="41"/>
    <b v="1"/>
    <s v="music/rock"/>
    <n v="104"/>
    <n v="34.6"/>
    <x v="4"/>
    <x v="11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x v="74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x v="10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x v="5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x v="55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x v="33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x v="7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x v="130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x v="73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x v="1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x v="67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x v="24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x v="75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x v="58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x v="9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x v="16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x v="129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x v="69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x v="53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x v="53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x v="170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x v="329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x v="43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x v="17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x v="2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x v="95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x v="58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x v="30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x v="251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x v="15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x v="141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x v="318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x v="47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x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x v="99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x v="72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x v="211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x v="116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x v="69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x v="288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x v="288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x v="72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x v="66"/>
    <b v="1"/>
    <s v="music/pop"/>
    <n v="175"/>
    <n v="62.5"/>
    <x v="4"/>
    <x v="27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x v="20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x v="330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x v="78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x v="73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x v="2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x v="41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x v="29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x v="70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x v="63"/>
    <b v="0"/>
    <s v="music/faith"/>
    <n v="44"/>
    <n v="253.14"/>
    <x v="4"/>
    <x v="28"/>
  </r>
  <r>
    <n v="1689"/>
    <s v="Fly Away"/>
    <s v="Praising the Living God in the second half of life."/>
    <x v="262"/>
    <x v="1162"/>
    <x v="3"/>
    <x v="0"/>
    <s v="USD"/>
    <n v="1489700230"/>
    <n v="1487111830"/>
    <b v="0"/>
    <x v="25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x v="202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x v="44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x v="41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x v="22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x v="29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x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x v="78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x v="19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x v="78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x v="80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x v="1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x v="84"/>
    <b v="0"/>
    <s v="music/faith"/>
    <n v="0"/>
    <n v="5"/>
    <x v="4"/>
    <x v="28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x v="29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x v="84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x v="202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x v="78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x v="78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x v="82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x v="78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x v="80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x v="29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x v="84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x v="78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x v="29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x v="5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x v="84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x v="8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x v="14"/>
    <b v="0"/>
    <s v="music/faith"/>
    <n v="43"/>
    <n v="34.020000000000003"/>
    <x v="4"/>
    <x v="28"/>
  </r>
  <r>
    <n v="1718"/>
    <s v="The Prodigal Son"/>
    <s v="A melody for the galaxy."/>
    <x v="19"/>
    <x v="735"/>
    <x v="2"/>
    <x v="0"/>
    <s v="USD"/>
    <n v="1463201940"/>
    <n v="1459435149"/>
    <b v="0"/>
    <x v="84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x v="8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x v="22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x v="78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x v="29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x v="8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x v="80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x v="82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x v="38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x v="29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x v="63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x v="78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x v="78"/>
    <b v="0"/>
    <s v="music/faith"/>
    <n v="0"/>
    <n v="0"/>
    <x v="4"/>
    <x v="28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x v="78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x v="78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x v="78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x v="29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x v="84"/>
    <b v="0"/>
    <s v="music/faith"/>
    <n v="11"/>
    <n v="55"/>
    <x v="4"/>
    <x v="28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x v="29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x v="41"/>
    <b v="0"/>
    <s v="music/faith"/>
    <n v="21"/>
    <n v="56.67"/>
    <x v="4"/>
    <x v="28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x v="29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x v="29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x v="78"/>
    <b v="0"/>
    <s v="music/faith"/>
    <n v="0"/>
    <n v="0"/>
    <x v="4"/>
    <x v="28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x v="47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x v="69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x v="85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x v="16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x v="30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x v="329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x v="180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x v="33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x v="132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x v="207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x v="42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x v="24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x v="2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x v="24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x v="80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x v="148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x v="25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x v="74"/>
    <b v="1"/>
    <s v="photography/photobooks"/>
    <n v="115"/>
    <n v="42.48"/>
    <x v="8"/>
    <x v="20"/>
  </r>
  <r>
    <n v="1759"/>
    <s v="Death Valley"/>
    <s v="Death Valley will be the first photo book of Andi State"/>
    <x v="10"/>
    <x v="1194"/>
    <x v="0"/>
    <x v="0"/>
    <s v="USD"/>
    <n v="1427309629"/>
    <n v="1425585229"/>
    <b v="0"/>
    <x v="72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x v="33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x v="83"/>
    <b v="1"/>
    <s v="photography/photobooks"/>
    <n v="155"/>
    <n v="51.67"/>
    <x v="8"/>
    <x v="2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x v="20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x v="115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x v="70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x v="27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x v="78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x v="70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x v="41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x v="19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x v="297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x v="20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x v="10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x v="10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x v="62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x v="20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x v="80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x v="73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x v="41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x v="44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x v="215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x v="5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x v="88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x v="333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x v="51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x v="52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x v="60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x v="5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x v="80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x v="80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x v="41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x v="80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x v="237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x v="84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x v="59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x v="75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x v="48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x v="205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x v="7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x v="79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x v="116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x v="7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x v="59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x v="11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x v="47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x v="259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x v="22"/>
    <b v="0"/>
    <s v="photography/photobooks"/>
    <n v="3"/>
    <n v="73.88"/>
    <x v="8"/>
    <x v="20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x v="22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x v="93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x v="82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x v="84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x v="55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x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x v="78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x v="205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x v="78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x v="79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x v="61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x v="78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x v="80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x v="22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x v="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x v="202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x v="51"/>
    <b v="1"/>
    <s v="music/rock"/>
    <n v="116"/>
    <n v="24.58"/>
    <x v="4"/>
    <x v="11"/>
  </r>
  <r>
    <n v="1824"/>
    <s v="Tin Man's Broken Wisdom Fund"/>
    <s v="cd fund raiser"/>
    <x v="9"/>
    <x v="1243"/>
    <x v="0"/>
    <x v="0"/>
    <s v="USD"/>
    <n v="1389146880"/>
    <n v="1387403967"/>
    <b v="0"/>
    <x v="244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x v="133"/>
    <b v="1"/>
    <s v="music/rock"/>
    <n v="105"/>
    <n v="42.02"/>
    <x v="4"/>
    <x v="11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x v="44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x v="93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x v="53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x v="51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x v="334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x v="25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x v="9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x v="20"/>
    <b v="1"/>
    <s v="music/rock"/>
    <n v="263"/>
    <n v="42"/>
    <x v="4"/>
    <x v="11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x v="24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x v="202"/>
    <b v="1"/>
    <s v="music/rock"/>
    <n v="104"/>
    <n v="47.27"/>
    <x v="4"/>
    <x v="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x v="16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x v="209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x v="33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x v="43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x v="62"/>
    <b v="1"/>
    <s v="music/rock"/>
    <n v="109"/>
    <n v="75.38"/>
    <x v="4"/>
    <x v="11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x v="244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x v="64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x v="179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x v="9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x v="10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x v="335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x v="44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x v="5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x v="22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x v="122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x v="55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x v="132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x v="25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x v="49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x v="277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x v="44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x v="19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x v="184"/>
    <b v="1"/>
    <s v="music/rock"/>
    <n v="109"/>
    <n v="40.549999999999997"/>
    <x v="4"/>
    <x v="1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x v="6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x v="10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x v="78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x v="38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x v="84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x v="53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x v="84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x v="84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x v="29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x v="5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x v="78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x v="202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x v="1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x v="62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x v="84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x v="84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x v="8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x v="78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x v="78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x v="78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x v="84"/>
    <b v="0"/>
    <s v="games/mobile games"/>
    <n v="0"/>
    <n v="3"/>
    <x v="6"/>
    <x v="18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x v="5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x v="16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x v="75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x v="58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x v="55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x v="217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x v="60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x v="22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x v="30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x v="3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x v="33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x v="148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x v="55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x v="43"/>
    <b v="1"/>
    <s v="music/indie rock"/>
    <n v="104"/>
    <n v="57.78"/>
    <x v="4"/>
    <x v="14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x v="9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x v="5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x v="62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x v="275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x v="64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x v="288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x v="241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x v="20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x v="8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x v="14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x v="84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x v="80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x v="221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x v="80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x v="80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x v="44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x v="168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x v="29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x v="288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x v="55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x v="84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x v="80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x v="79"/>
    <b v="0"/>
    <s v="technology/gadgets"/>
    <n v="1"/>
    <n v="17"/>
    <x v="2"/>
    <x v="29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x v="16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x v="82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x v="22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x v="217"/>
    <b v="0"/>
    <s v="technology/gadgets"/>
    <n v="43"/>
    <n v="40.98"/>
    <x v="2"/>
    <x v="29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x v="44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x v="31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x v="62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x v="51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x v="47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x v="329"/>
    <b v="1"/>
    <s v="music/indie rock"/>
    <n v="195"/>
    <n v="27.39"/>
    <x v="4"/>
    <x v="14"/>
  </r>
  <r>
    <n v="1927"/>
    <s v="GBS Detroit Presents Hampshire"/>
    <s v="Hampshire is headed to GBS Detroit."/>
    <x v="20"/>
    <x v="972"/>
    <x v="0"/>
    <x v="0"/>
    <s v="USD"/>
    <n v="1331182740"/>
    <n v="1329856839"/>
    <b v="0"/>
    <x v="202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x v="69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x v="11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x v="55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x v="133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x v="144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x v="238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x v="99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x v="133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x v="108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x v="60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x v="229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x v="93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x v="162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x v="337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x v="1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x v="33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x v="33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x v="34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x v="16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x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x v="341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x v="342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x v="343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x v="34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x v="345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x v="206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x v="119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x v="126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x v="346"/>
    <b v="1"/>
    <s v="technology/hardware"/>
    <n v="294"/>
    <n v="483.34"/>
    <x v="2"/>
    <x v="30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x v="347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x v="348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x v="349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x v="51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x v="350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x v="351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x v="242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x v="352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x v="27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x v="35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x v="316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x v="354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x v="355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x v="356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x v="357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x v="146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x v="358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x v="359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x v="35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x v="360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x v="36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x v="362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x v="36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x v="364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x v="8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x v="78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x v="38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x v="63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x v="80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x v="29"/>
    <b v="0"/>
    <s v="photography/people"/>
    <n v="0"/>
    <n v="1"/>
    <x v="8"/>
    <x v="31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x v="33"/>
    <b v="0"/>
    <s v="photography/people"/>
    <n v="42"/>
    <n v="83.43"/>
    <x v="8"/>
    <x v="31"/>
  </r>
  <r>
    <n v="1988"/>
    <s v="Phillip Michael Photography"/>
    <s v="Expressing art in an image!"/>
    <x v="12"/>
    <x v="379"/>
    <x v="2"/>
    <x v="0"/>
    <s v="USD"/>
    <n v="1440094742"/>
    <n v="1437502742"/>
    <b v="0"/>
    <x v="29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x v="29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x v="81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x v="8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x v="84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x v="78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x v="78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x v="8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x v="78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x v="78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x v="8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x v="63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x v="20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x v="365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x v="366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x v="5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x v="178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x v="277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x v="175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x v="89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x v="14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x v="367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x v="368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x v="369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x v="275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x v="370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x v="371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x v="37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x v="373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x v="374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x v="375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x v="376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x v="259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x v="1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x v="166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x v="377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x v="217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x v="378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x v="379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x v="380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x v="1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x v="225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x v="381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x v="27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x v="382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x v="150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x v="27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x v="383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x v="384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x v="385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x v="386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x v="169"/>
    <b v="1"/>
    <s v="technology/hardware"/>
    <n v="136"/>
    <n v="449.26"/>
    <x v="2"/>
    <x v="3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x v="197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x v="148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x v="205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x v="189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x v="387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x v="40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x v="3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x v="388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x v="389"/>
    <b v="1"/>
    <s v="technology/hardware"/>
    <n v="148"/>
    <n v="91.83"/>
    <x v="2"/>
    <x v="30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x v="390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x v="203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x v="391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x v="392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x v="212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x v="393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x v="2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x v="39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x v="395"/>
    <b v="1"/>
    <s v="technology/hardware"/>
    <n v="202"/>
    <n v="45.55"/>
    <x v="2"/>
    <x v="30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x v="396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x v="269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x v="397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x v="2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x v="398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x v="72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x v="399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x v="400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x v="71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x v="73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x v="88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x v="40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x v="401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x v="402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x v="403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x v="404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x v="8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x v="405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x v="406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x v="101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x v="53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x v="4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x v="133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x v="16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x v="44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x v="20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x v="67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x v="1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x v="2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x v="20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x v="11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x v="95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x v="322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x v="33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x v="16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x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x v="250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x v="19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x v="25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x v="44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x v="58"/>
    <b v="1"/>
    <s v="music/indie rock"/>
    <n v="100"/>
    <n v="188.13"/>
    <x v="4"/>
    <x v="14"/>
  </r>
  <r>
    <n v="2099"/>
    <s v="Roosevelt Died."/>
    <s v="Our tour van died, we need help!"/>
    <x v="9"/>
    <x v="1464"/>
    <x v="0"/>
    <x v="0"/>
    <s v="USD"/>
    <n v="1435808400"/>
    <n v="1434650084"/>
    <b v="0"/>
    <x v="287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x v="74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x v="3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x v="44"/>
    <b v="1"/>
    <s v="music/indie rock"/>
    <n v="136"/>
    <n v="35.79"/>
    <x v="4"/>
    <x v="14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x v="248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x v="7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x v="221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x v="3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x v="6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x v="277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x v="244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x v="44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x v="70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x v="202"/>
    <b v="1"/>
    <s v="music/indie rock"/>
    <n v="100"/>
    <n v="27.27"/>
    <x v="4"/>
    <x v="14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x v="329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x v="206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x v="17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x v="297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x v="2"/>
    <b v="1"/>
    <s v="music/indie rock"/>
    <n v="148"/>
    <n v="50.66"/>
    <x v="4"/>
    <x v="14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x v="5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x v="19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x v="50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x v="73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x v="8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x v="81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x v="81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x v="74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x v="84"/>
    <b v="0"/>
    <s v="games/video games"/>
    <n v="0"/>
    <n v="5"/>
    <x v="6"/>
    <x v="1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x v="163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x v="29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x v="8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x v="80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x v="8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x v="221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x v="8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x v="8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x v="19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x v="80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x v="408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x v="8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x v="6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x v="202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x v="78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x v="8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x v="81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x v="5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x v="30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x v="29"/>
    <b v="0"/>
    <s v="games/video games"/>
    <n v="0"/>
    <n v="1"/>
    <x v="6"/>
    <x v="17"/>
  </r>
  <r>
    <n v="2147"/>
    <s v="Johnny Rocketfingers 3"/>
    <s v="A Point and Click Adventure on Steroids."/>
    <x v="303"/>
    <x v="1495"/>
    <x v="2"/>
    <x v="0"/>
    <s v="USD"/>
    <n v="1416125148"/>
    <n v="1413356748"/>
    <b v="0"/>
    <x v="16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x v="84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x v="78"/>
    <b v="0"/>
    <s v="games/video games"/>
    <n v="0"/>
    <n v="0"/>
    <x v="6"/>
    <x v="17"/>
  </r>
  <r>
    <n v="2150"/>
    <s v="The Unknown Door"/>
    <s v="A pixel styled open world detective game."/>
    <x v="63"/>
    <x v="1496"/>
    <x v="2"/>
    <x v="10"/>
    <s v="NOK"/>
    <n v="1468392599"/>
    <n v="1465800599"/>
    <b v="0"/>
    <x v="80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x v="79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x v="80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x v="80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x v="84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x v="81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x v="183"/>
    <b v="0"/>
    <s v="games/video games"/>
    <n v="3"/>
    <n v="17.989999999999998"/>
    <x v="6"/>
    <x v="17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x v="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x v="409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x v="84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x v="38"/>
    <b v="0"/>
    <s v="games/video games"/>
    <n v="1"/>
    <n v="5.31"/>
    <x v="6"/>
    <x v="17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x v="62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x v="6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x v="34"/>
    <b v="1"/>
    <s v="music/rock"/>
    <n v="132"/>
    <n v="75.11"/>
    <x v="4"/>
    <x v="11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x v="1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x v="2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x v="58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x v="22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x v="158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x v="63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x v="10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x v="5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x v="62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x v="24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x v="287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x v="55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x v="26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x v="44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x v="410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x v="64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x v="76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x v="28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x v="289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x v="411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x v="161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x v="412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x v="413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x v="414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x v="415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x v="106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x v="416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x v="20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x v="417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x v="418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x v="419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x v="248"/>
    <b v="1"/>
    <s v="games/tabletop games"/>
    <n v="120"/>
    <n v="48.13"/>
    <x v="6"/>
    <x v="32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x v="302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x v="42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x v="421"/>
    <b v="1"/>
    <s v="games/tabletop games"/>
    <n v="133"/>
    <n v="81.650000000000006"/>
    <x v="6"/>
    <x v="32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x v="140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x v="40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x v="33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x v="422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x v="133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x v="196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x v="74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x v="69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x v="63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x v="5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x v="41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x v="250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x v="148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x v="252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x v="29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x v="5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x v="51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x v="25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x v="82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x v="88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x v="10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x v="50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x v="423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x v="209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x v="61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x v="228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x v="42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x v="306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x v="425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x v="296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x v="380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x v="156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x v="426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x v="427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x v="428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x v="33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x v="206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x v="34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x v="429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x v="1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x v="374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x v="93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x v="430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x v="431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x v="432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x v="126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x v="433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x v="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x v="434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x v="130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x v="387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x v="435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x v="436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x v="437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x v="87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x v="438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x v="197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x v="133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x v="39"/>
    <b v="1"/>
    <s v="games/tabletop games"/>
    <n v="636"/>
    <n v="94.1"/>
    <x v="6"/>
    <x v="32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x v="242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x v="190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x v="87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x v="439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x v="33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x v="65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x v="440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x v="5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x v="441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x v="442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x v="441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x v="443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x v="444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x v="445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x v="446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x v="206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x v="221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x v="1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x v="11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x v="44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x v="33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x v="58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x v="436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x v="202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x v="8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x v="53"/>
    <b v="1"/>
    <s v="music/rock"/>
    <n v="101"/>
    <n v="63.03"/>
    <x v="4"/>
    <x v="11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x v="211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x v="1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x v="25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x v="448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x v="20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x v="20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x v="60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x v="68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x v="67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x v="74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x v="300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x v="69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x v="108"/>
    <b v="1"/>
    <s v="music/rock"/>
    <n v="149"/>
    <n v="71.97"/>
    <x v="4"/>
    <x v="11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x v="10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x v="449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x v="25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x v="63"/>
    <b v="1"/>
    <s v="music/rock"/>
    <n v="101"/>
    <n v="115.71"/>
    <x v="4"/>
    <x v="11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x v="263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x v="268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x v="27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x v="116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x v="15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x v="196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x v="11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x v="450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x v="329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x v="451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x v="201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x v="1"/>
    <b v="1"/>
    <s v="music/indie rock"/>
    <n v="108"/>
    <n v="40.96"/>
    <x v="4"/>
    <x v="14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x v="328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x v="133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x v="31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x v="452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x v="19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x v="430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x v="99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x v="30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x v="31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x v="80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x v="80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x v="42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x v="63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x v="29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x v="453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x v="416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x v="207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x v="430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x v="454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x v="455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x v="225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x v="85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x v="170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x v="456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x v="122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x v="252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x v="457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x v="458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x v="78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x v="78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x v="29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x v="29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x v="78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x v="8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x v="29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x v="81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x v="78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x v="78"/>
    <b v="0"/>
    <s v="technology/web"/>
    <n v="0"/>
    <n v="0"/>
    <x v="2"/>
    <x v="7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x v="63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x v="78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x v="78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x v="29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x v="84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x v="78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x v="78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x v="78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x v="8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x v="29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x v="78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x v="84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x v="78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x v="78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x v="78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x v="74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x v="25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x v="84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x v="78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x v="80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x v="78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x v="79"/>
    <b v="0"/>
    <s v="technology/web"/>
    <n v="3"/>
    <n v="30"/>
    <x v="2"/>
    <x v="7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x v="29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x v="29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x v="78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x v="80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x v="78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x v="78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x v="78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x v="8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x v="63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x v="84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x v="8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x v="22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x v="63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x v="78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x v="8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x v="22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x v="29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x v="78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x v="29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x v="78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x v="29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x v="84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x v="78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x v="29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x v="78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x v="78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x v="78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x v="78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x v="82"/>
    <b v="0"/>
    <s v="food/food trucks"/>
    <n v="1"/>
    <n v="22.33"/>
    <x v="7"/>
    <x v="19"/>
  </r>
  <r>
    <n v="2402"/>
    <s v="Cupcake Truck Unite"/>
    <s v="Small town, delicious treats, and a mobile truck"/>
    <x v="14"/>
    <x v="401"/>
    <x v="2"/>
    <x v="0"/>
    <s v="USD"/>
    <n v="1431533931"/>
    <n v="1428941931"/>
    <b v="0"/>
    <x v="29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x v="8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x v="78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x v="9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x v="38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x v="51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x v="84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x v="79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x v="78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x v="8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x v="78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x v="8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x v="62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x v="79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x v="29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x v="78"/>
    <b v="0"/>
    <s v="food/food trucks"/>
    <n v="0"/>
    <n v="0"/>
    <x v="7"/>
    <x v="19"/>
  </r>
  <r>
    <n v="2418"/>
    <s v="Mexican food truck"/>
    <s v="I want to start my food truck business."/>
    <x v="31"/>
    <x v="139"/>
    <x v="2"/>
    <x v="0"/>
    <s v="USD"/>
    <n v="1427225644"/>
    <n v="1422045244"/>
    <b v="0"/>
    <x v="81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x v="78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x v="17"/>
    <b v="0"/>
    <s v="food/food trucks"/>
    <n v="15"/>
    <n v="69.47"/>
    <x v="7"/>
    <x v="19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x v="29"/>
    <b v="0"/>
    <s v="food/food trucks"/>
    <n v="0"/>
    <n v="1"/>
    <x v="7"/>
    <x v="19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x v="29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x v="29"/>
    <b v="0"/>
    <s v="food/food trucks"/>
    <n v="0"/>
    <n v="8"/>
    <x v="7"/>
    <x v="19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x v="82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x v="29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x v="78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x v="29"/>
    <b v="0"/>
    <s v="food/food trucks"/>
    <n v="0"/>
    <n v="1"/>
    <x v="7"/>
    <x v="19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x v="29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x v="80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x v="84"/>
    <b v="0"/>
    <s v="food/food trucks"/>
    <n v="1"/>
    <n v="10.5"/>
    <x v="7"/>
    <x v="19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x v="84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x v="84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x v="78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x v="84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x v="80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x v="84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x v="78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x v="29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x v="78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x v="84"/>
    <b v="0"/>
    <s v="food/food trucks"/>
    <n v="0"/>
    <n v="5"/>
    <x v="7"/>
    <x v="19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x v="280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x v="459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x v="409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x v="42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x v="248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x v="112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x v="152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x v="82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x v="148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x v="33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x v="153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x v="41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x v="85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x v="208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x v="38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x v="85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x v="20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x v="144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x v="460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x v="32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x v="48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x v="248"/>
    <b v="1"/>
    <s v="music/indie rock"/>
    <n v="111"/>
    <n v="28.88"/>
    <x v="4"/>
    <x v="14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x v="11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x v="68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x v="53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x v="47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x v="68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x v="6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x v="5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x v="17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x v="5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x v="201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x v="5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x v="44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x v="75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x v="165"/>
    <b v="1"/>
    <s v="music/indie rock"/>
    <n v="105"/>
    <n v="61.1"/>
    <x v="4"/>
    <x v="14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x v="14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x v="1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x v="38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x v="22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x v="1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x v="20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x v="10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x v="24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x v="14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x v="209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x v="44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x v="71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x v="11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x v="38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x v="73"/>
    <b v="1"/>
    <s v="music/indie rock"/>
    <n v="103"/>
    <n v="51.6"/>
    <x v="4"/>
    <x v="14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x v="74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x v="461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x v="70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x v="288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x v="73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x v="6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x v="9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x v="203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x v="60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x v="63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x v="81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x v="78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x v="78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x v="78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x v="84"/>
    <b v="0"/>
    <s v="food/restaurants"/>
    <n v="1"/>
    <n v="15"/>
    <x v="7"/>
    <x v="34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x v="78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x v="78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x v="33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x v="84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x v="78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x v="78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x v="78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x v="80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x v="8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x v="78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x v="51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x v="78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x v="80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x v="78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x v="46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x v="74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x v="55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x v="68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x v="144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x v="51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x v="26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x v="75"/>
    <b v="1"/>
    <s v="music/classical music"/>
    <n v="107"/>
    <n v="52.96"/>
    <x v="4"/>
    <x v="35"/>
  </r>
  <r>
    <n v="2529"/>
    <s v="UrbanArias is DC's Contemporary Opera Company"/>
    <s v="Opera. Short. New."/>
    <x v="12"/>
    <x v="1736"/>
    <x v="0"/>
    <x v="0"/>
    <s v="USD"/>
    <n v="1332636975"/>
    <n v="1328752575"/>
    <b v="0"/>
    <x v="88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x v="53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x v="42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x v="65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x v="327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x v="25"/>
    <b v="1"/>
    <s v="music/classical music"/>
    <n v="105"/>
    <n v="150"/>
    <x v="4"/>
    <x v="35"/>
  </r>
  <r>
    <n v="2535"/>
    <s v="Mark Hayes Requiem Recording"/>
    <s v="Mark Hayes: Requiem Recording"/>
    <x v="22"/>
    <x v="1741"/>
    <x v="0"/>
    <x v="0"/>
    <s v="USD"/>
    <n v="1417463945"/>
    <n v="1414781945"/>
    <b v="0"/>
    <x v="76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x v="80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x v="202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x v="333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x v="211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x v="74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x v="287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x v="62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x v="62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x v="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x v="42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x v="71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x v="179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x v="7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x v="7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x v="3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x v="6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x v="59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x v="65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x v="85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x v="2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x v="69"/>
    <b v="1"/>
    <s v="music/classical music"/>
    <n v="106"/>
    <n v="23.12"/>
    <x v="4"/>
    <x v="35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x v="17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x v="59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x v="20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x v="64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x v="78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x v="83"/>
    <b v="0"/>
    <s v="food/food trucks"/>
    <n v="1"/>
    <n v="25"/>
    <x v="7"/>
    <x v="1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x v="78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x v="78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x v="29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x v="78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x v="84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x v="29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x v="84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x v="84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x v="80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x v="78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x v="78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x v="78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x v="78"/>
    <b v="0"/>
    <s v="food/food trucks"/>
    <n v="0"/>
    <n v="0"/>
    <x v="7"/>
    <x v="19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x v="78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x v="78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x v="78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x v="8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x v="84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x v="202"/>
    <b v="0"/>
    <s v="food/food trucks"/>
    <n v="11"/>
    <n v="48.18"/>
    <x v="7"/>
    <x v="19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x v="29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x v="81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x v="78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x v="29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x v="29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x v="79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x v="22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x v="29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x v="78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x v="84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x v="29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x v="78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x v="29"/>
    <b v="0"/>
    <s v="food/food trucks"/>
    <n v="0"/>
    <n v="1"/>
    <x v="7"/>
    <x v="19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x v="10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x v="74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x v="63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x v="25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x v="81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x v="209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x v="299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x v="463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x v="133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x v="306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x v="464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x v="46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x v="367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x v="466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x v="467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x v="468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x v="469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x v="32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x v="33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x v="61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x v="250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x v="146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x v="180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x v="99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x v="28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x v="470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x v="471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x v="142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x v="95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x v="472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x v="47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x v="133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x v="43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x v="64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x v="61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x v="75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x v="172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x v="288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x v="473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x v="20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x v="87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x v="133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x v="55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x v="25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x v="72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x v="50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x v="29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x v="78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x v="474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x v="47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x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x v="47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x v="8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x v="79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x v="8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x v="81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x v="5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x v="202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x v="16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x v="79"/>
    <b v="0"/>
    <s v="technology/space exploration"/>
    <n v="0"/>
    <n v="8.5"/>
    <x v="2"/>
    <x v="36"/>
  </r>
  <r>
    <n v="2655"/>
    <s v="Balloons (Canceled)"/>
    <s v="Thank you for your support!"/>
    <x v="36"/>
    <x v="1815"/>
    <x v="1"/>
    <x v="0"/>
    <s v="USD"/>
    <n v="1455048000"/>
    <n v="1452631647"/>
    <b v="0"/>
    <x v="68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x v="215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x v="211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x v="80"/>
    <b v="0"/>
    <s v="technology/space exploration"/>
    <n v="0"/>
    <n v="22.75"/>
    <x v="2"/>
    <x v="36"/>
  </r>
  <r>
    <n v="2659"/>
    <s v="test (Canceled)"/>
    <s v="test"/>
    <x v="197"/>
    <x v="1819"/>
    <x v="1"/>
    <x v="0"/>
    <s v="USD"/>
    <n v="1429321210"/>
    <n v="1426729210"/>
    <b v="0"/>
    <x v="73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x v="81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x v="65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x v="144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x v="6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x v="201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x v="67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x v="190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x v="59"/>
    <b v="1"/>
    <s v="technology/makerspaces"/>
    <n v="111"/>
    <n v="92.22"/>
    <x v="2"/>
    <x v="37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x v="33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x v="202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x v="65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x v="87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x v="5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x v="3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x v="199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x v="60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x v="82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x v="74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x v="84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x v="83"/>
    <b v="0"/>
    <s v="technology/makerspaces"/>
    <n v="0"/>
    <n v="44"/>
    <x v="2"/>
    <x v="37"/>
  </r>
  <r>
    <n v="2680"/>
    <s v="iHeart Pillow"/>
    <s v="iHeartPillow, Connecting loved ones"/>
    <x v="261"/>
    <x v="1836"/>
    <x v="2"/>
    <x v="3"/>
    <s v="EUR"/>
    <n v="1459915491"/>
    <n v="1457327091"/>
    <b v="0"/>
    <x v="80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x v="84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x v="9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x v="8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x v="80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x v="29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x v="78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x v="78"/>
    <b v="0"/>
    <s v="food/food trucks"/>
    <n v="0"/>
    <n v="0"/>
    <x v="7"/>
    <x v="19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x v="25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x v="29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x v="115"/>
    <b v="0"/>
    <s v="food/food trucks"/>
    <n v="11"/>
    <n v="72.760000000000005"/>
    <x v="7"/>
    <x v="19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x v="84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x v="29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x v="8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x v="29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x v="8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x v="44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x v="47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x v="84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x v="78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x v="80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x v="67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x v="55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x v="43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x v="63"/>
    <b v="0"/>
    <s v="theater/spaces"/>
    <n v="6"/>
    <n v="163.57"/>
    <x v="1"/>
    <x v="38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x v="22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x v="40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x v="476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x v="477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x v="478"/>
    <b v="1"/>
    <s v="theater/spaces"/>
    <n v="102"/>
    <n v="164.94"/>
    <x v="1"/>
    <x v="38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x v="479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x v="196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x v="235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x v="480"/>
    <b v="1"/>
    <s v="theater/spaces"/>
    <n v="102"/>
    <n v="108"/>
    <x v="1"/>
    <x v="38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x v="120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x v="48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x v="482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x v="166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x v="265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x v="50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x v="210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x v="314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x v="333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x v="282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x v="483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x v="116"/>
    <b v="1"/>
    <s v="technology/hardware"/>
    <n v="145"/>
    <n v="511.65"/>
    <x v="2"/>
    <x v="30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x v="442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x v="484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x v="413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x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x v="345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x v="7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x v="9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x v="46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x v="430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x v="485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x v="6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x v="231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x v="41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x v="277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x v="5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x v="80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x v="59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x v="78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x v="19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x v="72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x v="10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x v="80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x v="80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x v="84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x v="78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x v="78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x v="25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x v="22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x v="78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x v="41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x v="51"/>
    <b v="0"/>
    <s v="publishing/children's books"/>
    <n v="10"/>
    <n v="31.76"/>
    <x v="3"/>
    <x v="39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x v="84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x v="79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x v="84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x v="78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x v="80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x v="29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x v="8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x v="80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x v="78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x v="80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x v="8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x v="69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x v="84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x v="51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x v="78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x v="78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x v="29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x v="62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x v="84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x v="17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x v="29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x v="41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x v="29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x v="78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x v="33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x v="59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x v="42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x v="52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x v="136"/>
    <b v="1"/>
    <s v="theater/plays"/>
    <n v="105"/>
    <n v="36.86"/>
    <x v="1"/>
    <x v="6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x v="142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x v="44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x v="9"/>
    <b v="1"/>
    <s v="theater/plays"/>
    <n v="103"/>
    <n v="102.5"/>
    <x v="1"/>
    <x v="6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x v="5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x v="3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x v="33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x v="5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x v="196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x v="8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x v="9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x v="64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x v="225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x v="237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x v="208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x v="162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x v="62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x v="24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x v="26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x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x v="59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x v="88"/>
    <b v="1"/>
    <s v="theater/plays"/>
    <n v="112"/>
    <n v="44.25"/>
    <x v="1"/>
    <x v="6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x v="251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x v="50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x v="64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x v="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x v="52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x v="1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x v="93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x v="31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x v="25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x v="3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x v="51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x v="33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x v="201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x v="9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x v="2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x v="225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x v="25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x v="41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x v="13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x v="10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x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x v="174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x v="88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x v="202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x v="47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x v="195"/>
    <b v="1"/>
    <s v="theater/plays"/>
    <n v="115"/>
    <n v="30.19"/>
    <x v="1"/>
    <x v="6"/>
  </r>
  <r>
    <n v="2833"/>
    <s v="Star Man Rocket Man"/>
    <s v="A new play about exploring outer space"/>
    <x v="200"/>
    <x v="1920"/>
    <x v="0"/>
    <x v="0"/>
    <s v="USD"/>
    <n v="1444528800"/>
    <n v="1442804633"/>
    <b v="0"/>
    <x v="2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x v="64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x v="251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x v="202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x v="64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x v="241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x v="162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x v="46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x v="29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x v="78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x v="78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x v="29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x v="70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x v="78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x v="78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x v="8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x v="29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x v="62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x v="78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x v="79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x v="78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x v="25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x v="81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x v="79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x v="41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x v="78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x v="29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x v="82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x v="8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x v="8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x v="29"/>
    <b v="0"/>
    <s v="theater/plays"/>
    <n v="0"/>
    <n v="20"/>
    <x v="1"/>
    <x v="6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x v="8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x v="78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x v="84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x v="73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x v="65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x v="81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x v="82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x v="62"/>
    <b v="0"/>
    <s v="theater/plays"/>
    <n v="5"/>
    <n v="35.92"/>
    <x v="1"/>
    <x v="6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x v="78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x v="22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x v="8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x v="8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x v="78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x v="79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x v="80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x v="29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x v="60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x v="78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x v="80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x v="81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x v="80"/>
    <b v="0"/>
    <s v="theater/plays"/>
    <n v="0"/>
    <n v="46.25"/>
    <x v="1"/>
    <x v="6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x v="81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x v="29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x v="29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x v="78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x v="25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x v="8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x v="73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x v="57"/>
    <b v="0"/>
    <s v="theater/plays"/>
    <n v="9"/>
    <n v="29.41"/>
    <x v="1"/>
    <x v="6"/>
  </r>
  <r>
    <n v="2893"/>
    <s v="REDISCOVERING KIA THE PLAY"/>
    <s v="Fundraising for REDISCOVERING KIA THE PLAY"/>
    <x v="10"/>
    <x v="379"/>
    <x v="2"/>
    <x v="0"/>
    <s v="USD"/>
    <n v="1420768800"/>
    <n v="1415644395"/>
    <b v="0"/>
    <x v="84"/>
    <b v="0"/>
    <s v="theater/plays"/>
    <n v="1"/>
    <n v="12.5"/>
    <x v="1"/>
    <x v="6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x v="78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x v="80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x v="8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x v="8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x v="8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x v="78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x v="63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x v="84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x v="29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x v="80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x v="80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x v="5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x v="63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x v="84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x v="81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x v="29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x v="29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x v="25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x v="55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x v="84"/>
    <b v="0"/>
    <s v="theater/plays"/>
    <n v="0"/>
    <n v="1"/>
    <x v="1"/>
    <x v="6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x v="29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x v="8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x v="63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x v="82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x v="9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x v="79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x v="62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x v="8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x v="79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x v="73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x v="206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x v="473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x v="133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x v="64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x v="5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x v="58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x v="95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x v="82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x v="44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x v="241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x v="7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x v="70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x v="69"/>
    <b v="1"/>
    <s v="theater/musical"/>
    <n v="128"/>
    <n v="37.65"/>
    <x v="1"/>
    <x v="4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x v="16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x v="58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x v="20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x v="51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x v="29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x v="91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x v="78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x v="29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x v="78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x v="84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x v="62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x v="82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x v="84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x v="78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x v="6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x v="22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x v="8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x v="78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x v="202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x v="9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x v="8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x v="78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x v="78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x v="78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x v="52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x v="9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x v="15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x v="193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x v="70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x v="130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x v="26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x v="5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x v="5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x v="110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x v="68"/>
    <b v="1"/>
    <s v="theater/plays"/>
    <n v="100"/>
    <n v="74.53"/>
    <x v="1"/>
    <x v="6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x v="5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x v="51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x v="45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x v="116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x v="25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x v="209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x v="38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x v="67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x v="5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x v="174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x v="211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x v="486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x v="423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x v="112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x v="6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x v="236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x v="33"/>
    <b v="1"/>
    <s v="theater/spaces"/>
    <n v="100"/>
    <n v="35.71"/>
    <x v="1"/>
    <x v="38"/>
  </r>
  <r>
    <n v="2989"/>
    <s v="Let's Light Up The Gem!"/>
    <s v="Bring the movies back to Bethel, Maine."/>
    <x v="22"/>
    <x v="1987"/>
    <x v="0"/>
    <x v="0"/>
    <s v="USD"/>
    <n v="1450673940"/>
    <n v="1448756962"/>
    <b v="0"/>
    <x v="487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x v="74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x v="251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x v="31"/>
    <b v="1"/>
    <s v="theater/spaces"/>
    <n v="105"/>
    <n v="48.98"/>
    <x v="1"/>
    <x v="38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x v="19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x v="211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x v="437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x v="413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x v="248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x v="488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x v="9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x v="22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x v="489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x v="201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x v="5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x v="490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x v="115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x v="174"/>
    <b v="1"/>
    <s v="theater/spaces"/>
    <n v="108"/>
    <n v="88.87"/>
    <x v="1"/>
    <x v="38"/>
  </r>
  <r>
    <n v="3007"/>
    <s v="Bethlem"/>
    <s v="Consuite for 2015 CoreCon.  An adventure into insanity."/>
    <x v="20"/>
    <x v="1144"/>
    <x v="0"/>
    <x v="0"/>
    <s v="USD"/>
    <n v="1429938683"/>
    <n v="1428124283"/>
    <b v="0"/>
    <x v="9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x v="55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x v="130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x v="41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x v="20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x v="16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x v="329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x v="491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x v="244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x v="17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x v="180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x v="14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x v="334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x v="209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x v="27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x v="95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x v="79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x v="0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x v="108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x v="20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x v="492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x v="221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x v="493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x v="14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x v="60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x v="20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x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x v="494"/>
    <b v="1"/>
    <s v="theater/spaces"/>
    <n v="113"/>
    <n v="89.31"/>
    <x v="1"/>
    <x v="38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x v="495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x v="313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x v="58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x v="74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x v="163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x v="288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x v="1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x v="7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x v="130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x v="239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x v="31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x v="6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x v="9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x v="5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x v="241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x v="82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x v="2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x v="84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x v="8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x v="78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x v="29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x v="78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x v="78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x v="8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x v="202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x v="79"/>
    <b v="0"/>
    <s v="theater/spaces"/>
    <n v="0"/>
    <n v="55.83"/>
    <x v="1"/>
    <x v="38"/>
  </r>
  <r>
    <n v="3061"/>
    <s v="Help Save Parkway Cinemas!"/>
    <s v="Save a historic Local theater."/>
    <x v="80"/>
    <x v="117"/>
    <x v="2"/>
    <x v="0"/>
    <s v="USD"/>
    <n v="1407955748"/>
    <n v="1405363748"/>
    <b v="0"/>
    <x v="78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x v="85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x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x v="250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x v="84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x v="41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x v="29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x v="84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x v="63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x v="38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x v="2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x v="84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x v="63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x v="8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x v="9"/>
    <b v="0"/>
    <s v="theater/spaces"/>
    <n v="9"/>
    <n v="64.8"/>
    <x v="1"/>
    <x v="38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x v="133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x v="84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x v="8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x v="74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x v="63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x v="81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x v="78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x v="8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x v="79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x v="82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x v="8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x v="84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x v="8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x v="43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x v="82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x v="82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x v="64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x v="5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x v="29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x v="29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x v="25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x v="288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x v="74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x v="81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x v="62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x v="8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x v="24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x v="84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x v="81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x v="162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x v="80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x v="60"/>
    <b v="0"/>
    <s v="theater/spaces"/>
    <n v="20"/>
    <n v="272.58999999999997"/>
    <x v="1"/>
    <x v="38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x v="84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x v="229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x v="29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x v="88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x v="82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x v="7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x v="78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x v="29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x v="73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x v="29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x v="84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x v="29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x v="73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x v="29"/>
    <b v="0"/>
    <s v="theater/spaces"/>
    <n v="1"/>
    <n v="10"/>
    <x v="1"/>
    <x v="38"/>
  </r>
  <r>
    <n v="3122"/>
    <s v="be back soon (Canceled)"/>
    <s v="cancelled until further notice"/>
    <x v="212"/>
    <x v="851"/>
    <x v="1"/>
    <x v="0"/>
    <s v="USD"/>
    <n v="1478733732"/>
    <n v="1478298132"/>
    <b v="0"/>
    <x v="84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x v="493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x v="80"/>
    <b v="0"/>
    <s v="theater/spaces"/>
    <n v="0"/>
    <n v="6.5"/>
    <x v="1"/>
    <x v="38"/>
  </r>
  <r>
    <n v="3125"/>
    <s v="N/A (Canceled)"/>
    <s v="N/A"/>
    <x v="86"/>
    <x v="117"/>
    <x v="1"/>
    <x v="0"/>
    <s v="USD"/>
    <n v="1452142672"/>
    <n v="1449550672"/>
    <b v="0"/>
    <x v="78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x v="5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x v="78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x v="2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x v="29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x v="80"/>
    <b v="0"/>
    <s v="theater/plays"/>
    <n v="4"/>
    <n v="93.75"/>
    <x v="1"/>
    <x v="6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x v="8"/>
    <b v="0"/>
    <s v="theater/plays"/>
    <n v="16"/>
    <n v="53.75"/>
    <x v="1"/>
    <x v="6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x v="29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x v="38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x v="8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x v="63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x v="19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x v="29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x v="78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x v="79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x v="80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x v="22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x v="8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x v="78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x v="209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x v="78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x v="8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x v="496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x v="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x v="20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x v="201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x v="69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x v="85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x v="198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x v="252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x v="177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x v="30"/>
    <b v="1"/>
    <s v="theater/plays"/>
    <n v="102"/>
    <n v="62.92"/>
    <x v="1"/>
    <x v="6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x v="14"/>
    <b v="1"/>
    <s v="theater/plays"/>
    <n v="101"/>
    <n v="98.54"/>
    <x v="1"/>
    <x v="6"/>
  </r>
  <r>
    <n v="3158"/>
    <s v="Nursery Crimes"/>
    <s v="A 40s crime-noir play using nursery rhyme characters."/>
    <x v="10"/>
    <x v="2080"/>
    <x v="0"/>
    <x v="0"/>
    <s v="USD"/>
    <n v="1374523752"/>
    <n v="1371931752"/>
    <b v="1"/>
    <x v="50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x v="47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x v="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x v="142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x v="287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x v="250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x v="26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x v="64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x v="497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x v="16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x v="42"/>
    <b v="1"/>
    <s v="theater/plays"/>
    <n v="124"/>
    <n v="50.9"/>
    <x v="1"/>
    <x v="6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x v="141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x v="26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x v="2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x v="60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x v="142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x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x v="65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x v="16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x v="13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x v="76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x v="95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x v="43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x v="41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x v="299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x v="32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x v="67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x v="5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x v="16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x v="138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x v="82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x v="10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x v="78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x v="80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x v="22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x v="5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x v="78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x v="70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x v="79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x v="80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x v="8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x v="28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x v="29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x v="84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x v="20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x v="79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x v="78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x v="8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x v="78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x v="17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x v="141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x v="334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x v="65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x v="498"/>
    <b v="1"/>
    <s v="theater/plays"/>
    <n v="120"/>
    <n v="85.53"/>
    <x v="1"/>
    <x v="6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x v="225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x v="5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x v="248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x v="179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x v="2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x v="201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x v="192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x v="46"/>
    <b v="1"/>
    <s v="theater/plays"/>
    <n v="100"/>
    <n v="168.25"/>
    <x v="1"/>
    <x v="6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x v="211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x v="116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x v="87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x v="142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x v="499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x v="70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x v="64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x v="209"/>
    <b v="1"/>
    <s v="theater/plays"/>
    <n v="125"/>
    <n v="50"/>
    <x v="1"/>
    <x v="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x v="7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x v="91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x v="7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x v="33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x v="55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x v="42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x v="248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x v="33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x v="238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x v="314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x v="1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x v="201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x v="69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x v="15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x v="275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x v="26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x v="50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x v="50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x v="189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x v="7"/>
    <b v="1"/>
    <s v="theater/plays"/>
    <n v="106"/>
    <n v="46.43"/>
    <x v="1"/>
    <x v="6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x v="452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x v="106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x v="496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x v="9"/>
    <b v="1"/>
    <s v="theater/plays"/>
    <n v="111"/>
    <n v="83.05"/>
    <x v="1"/>
    <x v="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x v="133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x v="248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x v="153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x v="59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x v="282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x v="14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x v="11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x v="174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x v="196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x v="72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x v="179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x v="32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x v="72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x v="287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x v="430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x v="449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x v="288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x v="16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x v="209"/>
    <b v="1"/>
    <s v="theater/plays"/>
    <n v="102"/>
    <n v="61"/>
    <x v="1"/>
    <x v="6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x v="13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x v="108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x v="64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x v="172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x v="8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x v="61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x v="61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x v="69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x v="287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x v="209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x v="5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x v="186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x v="5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x v="41"/>
    <b v="1"/>
    <s v="theater/plays"/>
    <n v="102"/>
    <n v="203.2"/>
    <x v="1"/>
    <x v="6"/>
  </r>
  <r>
    <n v="3285"/>
    <s v="By Morning"/>
    <s v="A new play by Matthew Gasda"/>
    <x v="402"/>
    <x v="2173"/>
    <x v="0"/>
    <x v="0"/>
    <s v="USD"/>
    <n v="1488258000"/>
    <n v="1485556626"/>
    <b v="0"/>
    <x v="75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x v="259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x v="69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x v="44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x v="20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x v="250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x v="25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x v="41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x v="110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x v="5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x v="74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x v="5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x v="3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x v="250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x v="287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x v="106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x v="16"/>
    <b v="1"/>
    <s v="theater/plays"/>
    <n v="133"/>
    <n v="57.2"/>
    <x v="1"/>
    <x v="6"/>
  </r>
  <r>
    <n v="3302"/>
    <s v="El muro de BorÃ­s KiÃ©n"/>
    <s v="FilosofÃ­a de los anÃ³nimos"/>
    <x v="33"/>
    <x v="2186"/>
    <x v="0"/>
    <x v="3"/>
    <s v="EUR"/>
    <n v="1481099176"/>
    <n v="1478507176"/>
    <b v="0"/>
    <x v="133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x v="2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x v="489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x v="9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x v="241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x v="9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x v="7"/>
    <b v="1"/>
    <s v="theater/plays"/>
    <n v="122"/>
    <n v="75.09"/>
    <x v="1"/>
    <x v="6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x v="162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x v="162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x v="43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x v="14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x v="60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x v="6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x v="30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x v="207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x v="59"/>
    <b v="1"/>
    <s v="theater/plays"/>
    <n v="106"/>
    <n v="61.94"/>
    <x v="1"/>
    <x v="6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x v="58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x v="38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x v="44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x v="41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x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x v="72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x v="73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x v="41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x v="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x v="51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x v="82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x v="55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x v="50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x v="71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x v="1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x v="112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x v="67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x v="287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x v="82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x v="69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x v="300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x v="5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x v="44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x v="33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x v="76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x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x v="244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x v="62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x v="59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x v="19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x v="1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x v="25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x v="13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x v="241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x v="16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x v="3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x v="16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x v="41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x v="74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x v="64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x v="37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x v="23"/>
    <b v="1"/>
    <s v="theater/plays"/>
    <n v="106"/>
    <n v="184.78"/>
    <x v="1"/>
    <x v="6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x v="250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x v="32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x v="9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x v="55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x v="250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x v="8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x v="59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x v="209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x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x v="241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x v="55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x v="82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x v="74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x v="209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x v="47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x v="5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x v="10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x v="99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x v="64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x v="44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x v="33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x v="53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x v="67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x v="209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x v="31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x v="41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x v="14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x v="2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x v="43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x v="95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x v="19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x v="59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x v="8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x v="3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x v="74"/>
    <b v="1"/>
    <s v="theater/plays"/>
    <n v="142"/>
    <n v="29"/>
    <x v="1"/>
    <x v="6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x v="44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x v="33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x v="5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x v="71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x v="67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x v="268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x v="3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x v="111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x v="5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x v="8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x v="5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x v="110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x v="85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x v="59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x v="64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x v="244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x v="76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x v="55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x v="25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x v="3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x v="82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x v="209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x v="43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x v="6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x v="67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x v="69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x v="15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x v="67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x v="73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x v="88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x v="201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x v="45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x v="60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x v="13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x v="8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x v="250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x v="64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x v="288"/>
    <b v="1"/>
    <s v="theater/plays"/>
    <n v="110"/>
    <n v="52.21"/>
    <x v="1"/>
    <x v="6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x v="26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x v="129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x v="10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x v="7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x v="17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x v="25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x v="59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x v="141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x v="68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x v="22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x v="43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x v="9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x v="162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x v="20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x v="25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x v="43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x v="9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x v="70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x v="38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x v="7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x v="25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x v="64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x v="50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x v="38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x v="16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x v="74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x v="17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x v="10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x v="8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x v="5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x v="229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x v="251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x v="17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x v="42"/>
    <b v="1"/>
    <s v="theater/plays"/>
    <n v="127"/>
    <n v="72.95"/>
    <x v="1"/>
    <x v="6"/>
  </r>
  <r>
    <n v="3467"/>
    <s v="Venus in Fur, Los Angeles."/>
    <s v="Venus in Fur, By David Ives."/>
    <x v="9"/>
    <x v="168"/>
    <x v="0"/>
    <x v="0"/>
    <s v="USD"/>
    <n v="1426864032"/>
    <n v="1424275632"/>
    <b v="0"/>
    <x v="5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x v="5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x v="287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x v="82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x v="209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x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x v="51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x v="70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x v="5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x v="79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x v="70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x v="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x v="6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x v="62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x v="1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x v="144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x v="182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x v="3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x v="209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x v="6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x v="3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x v="60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x v="250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x v="74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x v="73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x v="2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x v="60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x v="62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x v="250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x v="76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x v="72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x v="288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x v="2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x v="288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x v="288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x v="162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x v="44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x v="22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x v="70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x v="60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x v="250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x v="41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x v="51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x v="41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x v="10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x v="5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x v="3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x v="73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x v="67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x v="202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x v="62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x v="51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x v="33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x v="64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x v="62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x v="69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x v="144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x v="142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x v="63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x v="69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x v="48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x v="7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x v="59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x v="19"/>
    <b v="1"/>
    <s v="theater/plays"/>
    <n v="100"/>
    <n v="125"/>
    <x v="1"/>
    <x v="6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x v="55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x v="74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x v="22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x v="386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x v="67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x v="5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x v="33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x v="1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x v="62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x v="22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x v="58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x v="268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x v="60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x v="5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x v="22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x v="10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x v="22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x v="62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x v="288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x v="31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x v="20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x v="9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x v="201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x v="28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x v="25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x v="9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x v="501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x v="19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x v="5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x v="142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x v="241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x v="162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x v="20"/>
    <b v="1"/>
    <s v="theater/plays"/>
    <n v="105"/>
    <n v="21.1"/>
    <x v="1"/>
    <x v="6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x v="5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x v="8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x v="44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x v="14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x v="10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x v="14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x v="55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x v="20"/>
    <b v="1"/>
    <s v="theater/plays"/>
    <n v="122"/>
    <n v="73.239999999999995"/>
    <x v="1"/>
    <x v="6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x v="82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x v="76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x v="43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x v="33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x v="81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x v="74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x v="7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x v="25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x v="74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x v="43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x v="72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x v="5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x v="300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x v="23"/>
    <b v="1"/>
    <s v="theater/plays"/>
    <n v="119"/>
    <n v="176.09"/>
    <x v="1"/>
    <x v="6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x v="241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x v="33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x v="202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x v="95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x v="196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x v="59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x v="2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x v="68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x v="17"/>
    <b v="1"/>
    <s v="theater/plays"/>
    <n v="126"/>
    <n v="55.97"/>
    <x v="1"/>
    <x v="6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x v="95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x v="41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x v="51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x v="74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x v="57"/>
    <b v="1"/>
    <s v="theater/plays"/>
    <n v="202"/>
    <n v="59.41"/>
    <x v="1"/>
    <x v="6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x v="80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x v="28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x v="72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x v="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x v="50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x v="41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x v="31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x v="9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x v="74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x v="64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x v="162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x v="13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x v="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x v="9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x v="26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x v="250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x v="43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x v="13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x v="6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x v="5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x v="438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x v="16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x v="64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x v="69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x v="70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x v="76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x v="53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x v="60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x v="78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x v="84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x v="29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x v="211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x v="29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x v="162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x v="59"/>
    <b v="0"/>
    <s v="theater/musical"/>
    <n v="4"/>
    <n v="176.94"/>
    <x v="1"/>
    <x v="4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x v="73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x v="78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x v="25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x v="84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x v="29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x v="8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x v="78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x v="84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x v="78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x v="8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x v="29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x v="22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x v="84"/>
    <b v="0"/>
    <s v="theater/musical"/>
    <n v="6"/>
    <n v="15"/>
    <x v="1"/>
    <x v="40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x v="196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x v="22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x v="5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x v="82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x v="5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x v="51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x v="44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x v="1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x v="67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x v="9"/>
    <b v="1"/>
    <s v="theater/plays"/>
    <n v="111"/>
    <n v="110.75"/>
    <x v="1"/>
    <x v="6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x v="9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x v="62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x v="19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x v="17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x v="244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x v="82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x v="10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x v="25"/>
    <b v="1"/>
    <s v="theater/plays"/>
    <n v="115"/>
    <n v="51"/>
    <x v="1"/>
    <x v="6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x v="44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x v="6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x v="33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x v="5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x v="8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x v="244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x v="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x v="229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x v="162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x v="8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x v="38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x v="473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x v="162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x v="209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x v="69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x v="59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x v="85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x v="3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x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x v="149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x v="79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x v="20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x v="70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x v="95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x v="162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x v="220"/>
    <b v="1"/>
    <s v="theater/plays"/>
    <n v="128"/>
    <n v="186.8"/>
    <x v="1"/>
    <x v="6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x v="5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x v="25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x v="65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x v="51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x v="76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x v="209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x v="327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x v="244"/>
    <b v="1"/>
    <s v="theater/plays"/>
    <n v="101"/>
    <n v="63"/>
    <x v="1"/>
    <x v="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x v="59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x v="70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x v="64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x v="209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x v="74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x v="2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x v="62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x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x v="70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x v="2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x v="74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x v="64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x v="201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x v="10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x v="174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x v="74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x v="5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x v="62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x v="67"/>
    <b v="1"/>
    <s v="theater/plays"/>
    <n v="239"/>
    <n v="26.02"/>
    <x v="1"/>
    <x v="6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x v="80"/>
    <b v="1"/>
    <s v="theater/plays"/>
    <n v="210"/>
    <n v="105"/>
    <x v="1"/>
    <x v="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x v="244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x v="3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x v="2"/>
    <b v="1"/>
    <s v="theater/plays"/>
    <n v="111"/>
    <n v="47.66"/>
    <x v="1"/>
    <x v="6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x v="287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x v="30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x v="41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x v="67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x v="51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x v="162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x v="81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x v="29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x v="8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x v="80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x v="78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x v="63"/>
    <b v="0"/>
    <s v="theater/plays"/>
    <n v="28"/>
    <n v="61"/>
    <x v="1"/>
    <x v="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x v="84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x v="29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x v="80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x v="79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x v="22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x v="25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x v="78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x v="80"/>
    <b v="0"/>
    <s v="theater/plays"/>
    <n v="2"/>
    <n v="25"/>
    <x v="1"/>
    <x v="6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x v="78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x v="78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x v="29"/>
    <b v="0"/>
    <s v="theater/plays"/>
    <n v="10"/>
    <n v="10"/>
    <x v="1"/>
    <x v="6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x v="29"/>
    <b v="0"/>
    <s v="theater/plays"/>
    <n v="2"/>
    <n v="202"/>
    <x v="1"/>
    <x v="6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x v="29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x v="47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x v="63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x v="33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x v="202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x v="41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x v="209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x v="74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x v="33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x v="5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x v="133"/>
    <b v="1"/>
    <s v="theater/musical"/>
    <n v="109"/>
    <n v="75.959999999999994"/>
    <x v="1"/>
    <x v="40"/>
  </r>
  <r>
    <n v="3758"/>
    <s v="Luigi's Ladies"/>
    <s v="LUIGI'S LADIES: an original one-woman musical comedy"/>
    <x v="15"/>
    <x v="317"/>
    <x v="0"/>
    <x v="0"/>
    <s v="USD"/>
    <n v="1400475600"/>
    <n v="1397819938"/>
    <b v="0"/>
    <x v="55"/>
    <b v="1"/>
    <s v="theater/musical"/>
    <n v="102"/>
    <n v="59.04"/>
    <x v="1"/>
    <x v="4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x v="106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x v="110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x v="8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x v="33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x v="99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x v="74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x v="329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x v="93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x v="6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x v="6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x v="41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x v="9"/>
    <b v="1"/>
    <s v="theater/musical"/>
    <n v="100"/>
    <n v="100"/>
    <x v="1"/>
    <x v="4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x v="44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x v="51"/>
    <b v="1"/>
    <s v="theater/musical"/>
    <n v="110"/>
    <n v="166.97"/>
    <x v="1"/>
    <x v="4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x v="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x v="20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x v="25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x v="225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x v="211"/>
    <b v="1"/>
    <s v="theater/musical"/>
    <n v="143"/>
    <n v="48.54"/>
    <x v="1"/>
    <x v="4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x v="17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x v="248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x v="209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x v="47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x v="74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x v="5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x v="73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x v="209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x v="26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x v="73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x v="29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x v="80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x v="78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x v="78"/>
    <b v="0"/>
    <s v="theater/musical"/>
    <n v="0"/>
    <n v="0"/>
    <x v="1"/>
    <x v="40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x v="84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x v="5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x v="29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x v="84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x v="29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x v="7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x v="81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x v="80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x v="38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x v="82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x v="78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x v="244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x v="78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x v="84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x v="29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x v="82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x v="5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x v="44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x v="55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x v="10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x v="202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x v="74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x v="69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x v="9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x v="7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x v="9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x v="73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x v="55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x v="9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x v="67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x v="88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x v="14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x v="63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x v="72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x v="55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x v="71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x v="33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x v="22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x v="8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x v="82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x v="82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x v="9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x v="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x v="22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x v="25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x v="5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x v="61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x v="58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x v="8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x v="69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x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x v="10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x v="133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x v="8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x v="22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x v="82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x v="68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x v="33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x v="80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x v="5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x v="84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x v="84"/>
    <b v="0"/>
    <s v="theater/plays"/>
    <n v="0"/>
    <n v="13"/>
    <x v="1"/>
    <x v="6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x v="9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x v="29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x v="29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x v="80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x v="29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x v="29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x v="62"/>
    <b v="0"/>
    <s v="theater/plays"/>
    <n v="18"/>
    <n v="81.540000000000006"/>
    <x v="1"/>
    <x v="6"/>
  </r>
  <r>
    <n v="3861"/>
    <s v="READY OR NOT HERE I COME"/>
    <s v="THE COMING OF THE LORD!"/>
    <x v="13"/>
    <x v="173"/>
    <x v="2"/>
    <x v="0"/>
    <s v="USD"/>
    <n v="1415828820"/>
    <n v="1412258977"/>
    <b v="0"/>
    <x v="29"/>
    <b v="0"/>
    <s v="theater/plays"/>
    <n v="5"/>
    <n v="100"/>
    <x v="1"/>
    <x v="6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x v="29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x v="78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x v="8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x v="25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x v="84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x v="81"/>
    <b v="0"/>
    <s v="theater/plays"/>
    <n v="13"/>
    <n v="50.2"/>
    <x v="1"/>
    <x v="6"/>
  </r>
  <r>
    <n v="3868"/>
    <s v="1000 words (Canceled)"/>
    <s v="New collection of music by Scott Evan Davis!"/>
    <x v="10"/>
    <x v="115"/>
    <x v="1"/>
    <x v="1"/>
    <s v="GBP"/>
    <n v="1410191405"/>
    <n v="1408031405"/>
    <b v="0"/>
    <x v="29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x v="41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x v="73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x v="8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x v="78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x v="78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x v="78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x v="78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x v="67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x v="25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x v="29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x v="78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x v="5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x v="29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x v="78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x v="78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x v="78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x v="78"/>
    <b v="0"/>
    <s v="theater/musical"/>
    <n v="0"/>
    <n v="0"/>
    <x v="1"/>
    <x v="40"/>
  </r>
  <r>
    <n v="3886"/>
    <s v="a (Canceled)"/>
    <n v="1"/>
    <x v="3"/>
    <x v="117"/>
    <x v="1"/>
    <x v="2"/>
    <s v="AUD"/>
    <n v="1418275702"/>
    <n v="1415683702"/>
    <b v="0"/>
    <x v="78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x v="84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x v="25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x v="82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x v="22"/>
    <b v="0"/>
    <s v="theater/plays"/>
    <n v="17"/>
    <n v="315.5"/>
    <x v="1"/>
    <x v="6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x v="63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x v="78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x v="87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x v="202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x v="29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x v="80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x v="73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x v="38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x v="84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x v="81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x v="29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x v="162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x v="78"/>
    <b v="0"/>
    <s v="theater/plays"/>
    <n v="0"/>
    <n v="0"/>
    <x v="1"/>
    <x v="6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x v="84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x v="63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x v="38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x v="80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x v="80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x v="80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x v="8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x v="17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x v="29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x v="63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x v="74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x v="29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x v="78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x v="29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x v="8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x v="8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x v="8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x v="78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x v="79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x v="5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x v="244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x v="8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x v="29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x v="84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x v="63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x v="25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x v="78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x v="78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x v="29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x v="8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x v="8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x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x v="78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x v="73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x v="81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x v="29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x v="84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x v="84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x v="78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x v="62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x v="78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x v="29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x v="81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x v="84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x v="78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x v="58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x v="29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x v="29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x v="29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x v="78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x v="78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x v="22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x v="78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x v="29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x v="38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x v="8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x v="80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x v="84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x v="8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x v="78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x v="8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x v="80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x v="84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x v="73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x v="202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x v="79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x v="84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x v="79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x v="22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x v="7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x v="202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x v="78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x v="73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x v="79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x v="22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x v="79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x v="63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x v="63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x v="81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x v="67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x v="73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x v="10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x v="62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x v="62"/>
    <b v="0"/>
    <s v="theater/plays"/>
    <n v="38"/>
    <n v="11.62"/>
    <x v="1"/>
    <x v="6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x v="80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x v="78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x v="8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x v="29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x v="82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x v="29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x v="29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x v="80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x v="5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x v="78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x v="8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x v="25"/>
    <b v="0"/>
    <s v="theater/plays"/>
    <n v="17"/>
    <n v="82.57"/>
    <x v="1"/>
    <x v="6"/>
  </r>
  <r>
    <n v="4000"/>
    <s v="The Escorts"/>
    <s v="An Enticing Trip into the World of Assisted Dying"/>
    <x v="6"/>
    <x v="115"/>
    <x v="2"/>
    <x v="0"/>
    <s v="USD"/>
    <n v="1462631358"/>
    <n v="1457450958"/>
    <b v="0"/>
    <x v="29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x v="25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x v="80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x v="84"/>
    <b v="0"/>
    <s v="theater/plays"/>
    <n v="10"/>
    <n v="100.5"/>
    <x v="1"/>
    <x v="6"/>
  </r>
  <r>
    <n v="4004"/>
    <s v="South Florida Tours"/>
    <s v="Help Launch The Queen Into South Florida!"/>
    <x v="2"/>
    <x v="116"/>
    <x v="2"/>
    <x v="0"/>
    <s v="USD"/>
    <n v="1412740457"/>
    <n v="1410148457"/>
    <b v="0"/>
    <x v="29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x v="84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x v="29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x v="29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x v="80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x v="8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x v="44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x v="80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x v="78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x v="84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x v="78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x v="29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x v="63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x v="84"/>
    <b v="0"/>
    <s v="theater/plays"/>
    <n v="1"/>
    <n v="52.5"/>
    <x v="1"/>
    <x v="6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x v="80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x v="80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x v="8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x v="84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x v="438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x v="78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x v="29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x v="80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x v="78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x v="63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x v="202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x v="78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x v="79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x v="78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x v="63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x v="225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x v="84"/>
    <b v="0"/>
    <s v="theater/plays"/>
    <n v="1"/>
    <n v="100"/>
    <x v="1"/>
    <x v="6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x v="20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x v="5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x v="84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x v="80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x v="81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x v="84"/>
    <b v="0"/>
    <s v="theater/plays"/>
    <n v="31"/>
    <n v="1250"/>
    <x v="1"/>
    <x v="6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x v="84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x v="8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x v="78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x v="80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x v="29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x v="8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x v="80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x v="110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x v="29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x v="29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x v="78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x v="62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x v="84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x v="78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x v="64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x v="82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x v="79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x v="80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x v="63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x v="81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x v="78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x v="8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x v="82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x v="79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x v="80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x v="29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x v="5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x v="29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x v="62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x v="79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x v="78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x v="84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x v="84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x v="64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x v="62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x v="78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x v="79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x v="78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x v="29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x v="78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x v="8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x v="84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x v="79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x v="29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x v="29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x v="81"/>
    <b v="0"/>
    <s v="theater/plays"/>
    <n v="5"/>
    <n v="9.4"/>
    <x v="1"/>
    <x v="6"/>
  </r>
  <r>
    <n v="4087"/>
    <s v="Stage Production &quot;The Nail Shop&quot;"/>
    <s v="Comedy Stage Play"/>
    <x v="376"/>
    <x v="117"/>
    <x v="2"/>
    <x v="0"/>
    <s v="USD"/>
    <n v="1468777786"/>
    <n v="1466185786"/>
    <b v="0"/>
    <x v="78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x v="8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x v="22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x v="8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x v="22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x v="29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x v="80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x v="22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x v="29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x v="81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x v="78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x v="78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x v="29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x v="78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x v="78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x v="79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x v="79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x v="25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x v="79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x v="51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x v="80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x v="29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x v="78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x v="79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x v="79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x v="29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x v="8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x v="4114"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5D3D7D-2F02-B24E-B5D0-1079D52D793E}" name="PivotTable7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1F0C90-42A0-694D-9040-AC4E0119130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5A9206-F1E3-E448-9B24-C429E607CF4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30BC6E-5AE1-DC47-9900-E3C6BA0FBAFF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abSelected="1" zoomScale="95" zoomScaleNormal="95" workbookViewId="0">
      <selection activeCell="R1" sqref="R1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832031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8320312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2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  <c r="U1" s="1" t="s">
        <v>8401</v>
      </c>
      <c r="V1" s="1" t="s">
        <v>8402</v>
      </c>
    </row>
    <row r="2" spans="1:22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  <c r="V2">
        <f>MONTH(S2)</f>
        <v>6</v>
      </c>
    </row>
    <row r="3" spans="1:22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2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2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2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2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2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2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2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2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2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2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2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2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2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>
        <f t="shared" ref="P67:P130" si="6">IFERROR(ROUND(E67/L67,2),0)</f>
        <v>132.05000000000001</v>
      </c>
      <c r="Q67" s="12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>
        <f t="shared" si="6"/>
        <v>311.17</v>
      </c>
      <c r="Q130" s="12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>
        <f t="shared" ref="P131:P194" si="11">IFERROR(ROUND(E131/L131,2),0)</f>
        <v>0</v>
      </c>
      <c r="Q131" s="12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>
        <f t="shared" si="11"/>
        <v>5.67</v>
      </c>
      <c r="Q194" s="12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>
        <f t="shared" ref="P195:P258" si="16">IFERROR(ROUND(E195/L195,2),0)</f>
        <v>0</v>
      </c>
      <c r="Q195" s="12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>
        <f t="shared" si="16"/>
        <v>65.760000000000005</v>
      </c>
      <c r="Q258" s="12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>
        <f t="shared" ref="P259:P322" si="21">IFERROR(ROUND(E259/L259,2),0)</f>
        <v>66.7</v>
      </c>
      <c r="Q259" s="12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>
        <f t="shared" si="21"/>
        <v>134.91</v>
      </c>
      <c r="Q322" s="12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>
        <f t="shared" ref="P323:P386" si="26">IFERROR(ROUND(E323/L323,2),0)</f>
        <v>106.62</v>
      </c>
      <c r="Q323" s="12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>
        <f t="shared" si="26"/>
        <v>58.54</v>
      </c>
      <c r="Q386" s="12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>
        <f t="shared" ref="P387:P450" si="31">IFERROR(ROUND(E387/L387,2),0)</f>
        <v>111.8</v>
      </c>
      <c r="Q387" s="12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>
        <f t="shared" si="31"/>
        <v>20.5</v>
      </c>
      <c r="Q450" s="12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>
        <f t="shared" ref="P451:P514" si="36">IFERROR(ROUND(E451/L451,2),0)</f>
        <v>9</v>
      </c>
      <c r="Q451" s="12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ROUND(E514/D514*100,0)</f>
        <v>0</v>
      </c>
      <c r="P514">
        <f t="shared" si="36"/>
        <v>5.5</v>
      </c>
      <c r="Q514" s="12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>
        <f t="shared" ref="P515:P578" si="41">IFERROR(ROUND(E515/L515,2),0)</f>
        <v>102.38</v>
      </c>
      <c r="Q515" s="12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ROUND(E578/D578*100,0)</f>
        <v>0</v>
      </c>
      <c r="P578">
        <f t="shared" si="41"/>
        <v>1</v>
      </c>
      <c r="Q578" s="12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>
        <f t="shared" ref="P579:P642" si="46">IFERROR(ROUND(E579/L579,2),0)</f>
        <v>10</v>
      </c>
      <c r="Q579" s="12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ROUND(E642/D642*100,0)</f>
        <v>144</v>
      </c>
      <c r="P642">
        <f t="shared" si="46"/>
        <v>50.5</v>
      </c>
      <c r="Q642" s="12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>
        <f t="shared" ref="P643:P706" si="51">IFERROR(ROUND(E643/L643,2),0)</f>
        <v>151.32</v>
      </c>
      <c r="Q643" s="12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ROUND(E706/D706*100,0)</f>
        <v>1</v>
      </c>
      <c r="P706">
        <f t="shared" si="51"/>
        <v>120.25</v>
      </c>
      <c r="Q706" s="12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>
        <f t="shared" ref="P707:P770" si="56">IFERROR(ROUND(E707/L707,2),0)</f>
        <v>195.4</v>
      </c>
      <c r="Q707" s="12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0">ROUND(E770/D770*100,0)</f>
        <v>0</v>
      </c>
      <c r="P770">
        <f t="shared" si="56"/>
        <v>0</v>
      </c>
      <c r="Q770" s="12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>
        <f t="shared" ref="P771:P834" si="61">IFERROR(ROUND(E771/L771,2),0)</f>
        <v>31.85</v>
      </c>
      <c r="Q771" s="12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5">ROUND(E834/D834*100,0)</f>
        <v>101</v>
      </c>
      <c r="P834">
        <f t="shared" si="61"/>
        <v>97.99</v>
      </c>
      <c r="Q834" s="12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>
        <f t="shared" ref="P835:P898" si="66">IFERROR(ROUND(E835/L835,2),0)</f>
        <v>148.78</v>
      </c>
      <c r="Q835" s="12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0">ROUND(E898/D898*100,0)</f>
        <v>40</v>
      </c>
      <c r="P898">
        <f t="shared" si="66"/>
        <v>44.44</v>
      </c>
      <c r="Q898" s="12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>
        <f t="shared" ref="P899:P962" si="71">IFERROR(ROUND(E899/L899,2),0)</f>
        <v>0</v>
      </c>
      <c r="Q899" s="12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5">ROUND(E962/D962*100,0)</f>
        <v>46</v>
      </c>
      <c r="P962">
        <f t="shared" si="71"/>
        <v>136.46</v>
      </c>
      <c r="Q962" s="12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>
        <f t="shared" ref="P963:P1026" si="76">IFERROR(ROUND(E963/L963,2),0)</f>
        <v>364.35</v>
      </c>
      <c r="Q963" s="12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0">ROUND(E1026/D1026*100,0)</f>
        <v>119</v>
      </c>
      <c r="P1026">
        <f t="shared" si="76"/>
        <v>388.98</v>
      </c>
      <c r="Q1026" s="12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>
        <f t="shared" ref="P1027:P1090" si="81">IFERROR(ROUND(E1027/L1027,2),0)</f>
        <v>71.849999999999994</v>
      </c>
      <c r="Q1027" s="12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5">ROUND(E1090/D1090*100,0)</f>
        <v>14</v>
      </c>
      <c r="P1090">
        <f t="shared" si="81"/>
        <v>43.42</v>
      </c>
      <c r="Q1090" s="12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>
        <f t="shared" ref="P1091:P1154" si="86">IFERROR(ROUND(E1091/L1091,2),0)</f>
        <v>23.96</v>
      </c>
      <c r="Q1091" s="12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0">ROUND(E1154/D1154*100,0)</f>
        <v>6</v>
      </c>
      <c r="P1154">
        <f t="shared" si="86"/>
        <v>60.73</v>
      </c>
      <c r="Q1154" s="12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>
        <f t="shared" ref="P1155:P1218" si="91">IFERROR(ROUND(E1155/L1155,2),0)</f>
        <v>50</v>
      </c>
      <c r="Q1155" s="12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5">ROUND(E1218/D1218*100,0)</f>
        <v>146</v>
      </c>
      <c r="P1218">
        <f t="shared" si="91"/>
        <v>91.88</v>
      </c>
      <c r="Q1218" s="12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>
        <f t="shared" ref="P1219:P1282" si="96">IFERROR(ROUND(E1219/L1219,2),0)</f>
        <v>148.57</v>
      </c>
      <c r="Q1219" s="12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0">ROUND(E1282/D1282*100,0)</f>
        <v>111</v>
      </c>
      <c r="P1282">
        <f t="shared" si="96"/>
        <v>127.98</v>
      </c>
      <c r="Q1282" s="12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>
        <f t="shared" ref="P1283:P1346" si="101">IFERROR(ROUND(E1283/L1283,2),0)</f>
        <v>104.73</v>
      </c>
      <c r="Q1283" s="12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5">ROUND(E1346/D1346*100,0)</f>
        <v>378</v>
      </c>
      <c r="P1346">
        <f t="shared" si="101"/>
        <v>40.76</v>
      </c>
      <c r="Q1346" s="12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>
        <f t="shared" ref="P1347:P1410" si="106">IFERROR(ROUND(E1347/L1347,2),0)</f>
        <v>53.57</v>
      </c>
      <c r="Q1347" s="12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0">ROUND(E1410/D1410*100,0)</f>
        <v>7</v>
      </c>
      <c r="P1410">
        <f t="shared" si="106"/>
        <v>12</v>
      </c>
      <c r="Q1410" s="12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>
        <f t="shared" ref="P1411:P1474" si="111">IFERROR(ROUND(E1411/L1411,2),0)</f>
        <v>0</v>
      </c>
      <c r="Q1411" s="12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5">ROUND(E1474/D1474*100,0)</f>
        <v>139</v>
      </c>
      <c r="P1474">
        <f t="shared" si="111"/>
        <v>103.2</v>
      </c>
      <c r="Q1474" s="12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>
        <f t="shared" ref="P1475:P1538" si="116">IFERROR(ROUND(E1475/L1475,2),0)</f>
        <v>38.46</v>
      </c>
      <c r="Q1475" s="12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0">ROUND(E1538/D1538*100,0)</f>
        <v>250</v>
      </c>
      <c r="P1538">
        <f t="shared" si="116"/>
        <v>66.02</v>
      </c>
      <c r="Q1538" s="12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>
        <f t="shared" ref="P1539:P1602" si="121">IFERROR(ROUND(E1539/L1539,2),0)</f>
        <v>96.38</v>
      </c>
      <c r="Q1539" s="12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5">ROUND(E1602/D1602*100,0)</f>
        <v>7</v>
      </c>
      <c r="P1602">
        <f t="shared" si="121"/>
        <v>40.78</v>
      </c>
      <c r="Q1602" s="12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>
        <f t="shared" ref="P1603:P1666" si="126">IFERROR(ROUND(E1603/L1603,2),0)</f>
        <v>48.33</v>
      </c>
      <c r="Q1603" s="12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0">ROUND(E1666/D1666*100,0)</f>
        <v>122</v>
      </c>
      <c r="P1666">
        <f t="shared" si="126"/>
        <v>34.380000000000003</v>
      </c>
      <c r="Q1666" s="12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>
        <f t="shared" ref="P1667:P1730" si="131">IFERROR(ROUND(E1667/L1667,2),0)</f>
        <v>44.96</v>
      </c>
      <c r="Q1667" s="12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5">ROUND(E1730/D1730*100,0)</f>
        <v>68</v>
      </c>
      <c r="P1730">
        <f t="shared" si="131"/>
        <v>122.14</v>
      </c>
      <c r="Q1730" s="12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>
        <f t="shared" ref="P1731:P1794" si="136">IFERROR(ROUND(E1731/L1731,2),0)</f>
        <v>0</v>
      </c>
      <c r="Q1731" s="12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0">ROUND(E1794/D1794*100,0)</f>
        <v>61</v>
      </c>
      <c r="P1794">
        <f t="shared" si="136"/>
        <v>109.94</v>
      </c>
      <c r="Q1794" s="12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>
        <f t="shared" ref="P1795:P1858" si="141">IFERROR(ROUND(E1795/L1795,2),0)</f>
        <v>20</v>
      </c>
      <c r="Q1795" s="12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5">ROUND(E1858/D1858*100,0)</f>
        <v>101</v>
      </c>
      <c r="P1858">
        <f t="shared" si="141"/>
        <v>53.29</v>
      </c>
      <c r="Q1858" s="12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>
        <f t="shared" ref="P1859:P1922" si="146">IFERROR(ROUND(E1859/L1859,2),0)</f>
        <v>136.36000000000001</v>
      </c>
      <c r="Q1859" s="12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0">ROUND(E1922/D1922*100,0)</f>
        <v>43</v>
      </c>
      <c r="P1922">
        <f t="shared" si="146"/>
        <v>40.98</v>
      </c>
      <c r="Q1922" s="12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>
        <f t="shared" ref="P1923:P1986" si="151">IFERROR(ROUND(E1923/L1923,2),0)</f>
        <v>54</v>
      </c>
      <c r="Q1923" s="12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5">ROUND(E1986/D1986*100,0)</f>
        <v>21</v>
      </c>
      <c r="P1986">
        <f t="shared" si="151"/>
        <v>453.14</v>
      </c>
      <c r="Q1986" s="12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>
        <f t="shared" ref="P1987:P2050" si="156">IFERROR(ROUND(E1987/L1987,2),0)</f>
        <v>12.75</v>
      </c>
      <c r="Q1987" s="12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0">ROUND(E2050/D2050*100,0)</f>
        <v>148</v>
      </c>
      <c r="P2050">
        <f t="shared" si="156"/>
        <v>91.83</v>
      </c>
      <c r="Q2050" s="12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>
        <f t="shared" ref="P2051:P2114" si="161">IFERROR(ROUND(E2051/L2051,2),0)</f>
        <v>80.989999999999995</v>
      </c>
      <c r="Q2051" s="12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5">ROUND(E2114/D2114*100,0)</f>
        <v>100</v>
      </c>
      <c r="P2114">
        <f t="shared" si="161"/>
        <v>27.27</v>
      </c>
      <c r="Q2114" s="12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>
        <f t="shared" ref="P2115:P2178" si="166">IFERROR(ROUND(E2115/L2115,2),0)</f>
        <v>68.599999999999994</v>
      </c>
      <c r="Q2115" s="12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0">ROUND(E2178/D2178*100,0)</f>
        <v>126</v>
      </c>
      <c r="P2178">
        <f t="shared" si="166"/>
        <v>88.75</v>
      </c>
      <c r="Q2178" s="12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>
        <f t="shared" ref="P2179:P2242" si="171">IFERROR(ROUND(E2179/L2179,2),0)</f>
        <v>65.87</v>
      </c>
      <c r="Q2179" s="12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5">ROUND(E2242/D2242*100,0)</f>
        <v>271</v>
      </c>
      <c r="P2242">
        <f t="shared" si="171"/>
        <v>140.97999999999999</v>
      </c>
      <c r="Q2242" s="12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>
        <f t="shared" ref="P2243:P2306" si="176">IFERROR(ROUND(E2243/L2243,2),0)</f>
        <v>49.47</v>
      </c>
      <c r="Q2243" s="12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0">ROUND(E2306/D2306*100,0)</f>
        <v>101</v>
      </c>
      <c r="P2306">
        <f t="shared" si="176"/>
        <v>53.47</v>
      </c>
      <c r="Q2306" s="12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>
        <f t="shared" ref="P2307:P2370" si="181">IFERROR(ROUND(E2307/L2307,2),0)</f>
        <v>109.11</v>
      </c>
      <c r="Q2307" s="12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5">ROUND(E2370/D2370*100,0)</f>
        <v>0</v>
      </c>
      <c r="P2370">
        <f t="shared" si="181"/>
        <v>50</v>
      </c>
      <c r="Q2370" s="12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>
        <f t="shared" ref="P2371:P2434" si="186">IFERROR(ROUND(E2371/L2371,2),0)</f>
        <v>0</v>
      </c>
      <c r="Q2371" s="12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0">ROUND(E2434/D2434*100,0)</f>
        <v>0</v>
      </c>
      <c r="P2434">
        <f t="shared" si="186"/>
        <v>1</v>
      </c>
      <c r="Q2434" s="12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>
        <f t="shared" ref="P2435:P2498" si="191">IFERROR(ROUND(E2435/L2435,2),0)</f>
        <v>0</v>
      </c>
      <c r="Q2435" s="12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5">ROUND(E2498/D2498*100,0)</f>
        <v>100</v>
      </c>
      <c r="P2498">
        <f t="shared" si="191"/>
        <v>600</v>
      </c>
      <c r="Q2498" s="12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>
        <f t="shared" ref="P2499:P2562" si="196">IFERROR(ROUND(E2499/L2499,2),0)</f>
        <v>80.55</v>
      </c>
      <c r="Q2499" s="12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0">ROUND(E2562/D2562*100,0)</f>
        <v>100</v>
      </c>
      <c r="P2562">
        <f t="shared" si="196"/>
        <v>143</v>
      </c>
      <c r="Q2562" s="12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>
        <f t="shared" ref="P2563:P2626" si="201">IFERROR(ROUND(E2563/L2563,2),0)</f>
        <v>0</v>
      </c>
      <c r="Q2563" s="12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5">ROUND(E2626/D2626*100,0)</f>
        <v>1379</v>
      </c>
      <c r="P2626">
        <f t="shared" si="201"/>
        <v>31.82</v>
      </c>
      <c r="Q2626" s="12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>
        <f t="shared" ref="P2627:P2690" si="206">IFERROR(ROUND(E2627/L2627,2),0)</f>
        <v>27.58</v>
      </c>
      <c r="Q2627" s="12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0">ROUND(E2690/D2690*100,0)</f>
        <v>0</v>
      </c>
      <c r="P2690">
        <f t="shared" si="206"/>
        <v>5.29</v>
      </c>
      <c r="Q2690" s="12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>
        <f t="shared" ref="P2691:P2754" si="211">IFERROR(ROUND(E2691/L2691,2),0)</f>
        <v>1</v>
      </c>
      <c r="Q2691" s="12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5">ROUND(E2754/D2754*100,0)</f>
        <v>11</v>
      </c>
      <c r="P2754">
        <f t="shared" si="211"/>
        <v>39.29</v>
      </c>
      <c r="Q2754" s="12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>
        <f t="shared" ref="P2755:P2818" si="216">IFERROR(ROUND(E2755/L2755,2),0)</f>
        <v>47.5</v>
      </c>
      <c r="Q2755" s="12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>
        <f t="shared" si="216"/>
        <v>92.84</v>
      </c>
      <c r="Q2813" s="12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>
        <f t="shared" si="216"/>
        <v>68.25</v>
      </c>
      <c r="Q2814" s="12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>
        <f t="shared" si="216"/>
        <v>37.21</v>
      </c>
      <c r="Q2815" s="12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>
        <f t="shared" si="216"/>
        <v>43.21</v>
      </c>
      <c r="Q2817" s="12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0">ROUND(E2818/D2818*100,0)</f>
        <v>142</v>
      </c>
      <c r="P2818">
        <f t="shared" si="216"/>
        <v>25.13</v>
      </c>
      <c r="Q2818" s="12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130</v>
      </c>
      <c r="P2819">
        <f t="shared" ref="P2819:P2882" si="221">IFERROR(ROUND(E2819/L2819,2),0)</f>
        <v>23.64</v>
      </c>
      <c r="Q2819" s="12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>
        <f t="shared" si="221"/>
        <v>2.33</v>
      </c>
      <c r="Q2877" s="12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>
        <f t="shared" si="221"/>
        <v>108.33</v>
      </c>
      <c r="Q2879" s="12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5">ROUND(E2882/D2882*100,0)</f>
        <v>23</v>
      </c>
      <c r="P2882">
        <f t="shared" si="221"/>
        <v>96.55</v>
      </c>
      <c r="Q2882" s="12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5"/>
        <v>0</v>
      </c>
      <c r="P2883">
        <f t="shared" ref="P2883:P2946" si="226">IFERROR(ROUND(E2883/L2883,2),0)</f>
        <v>0</v>
      </c>
      <c r="Q2883" s="12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>
        <f t="shared" si="226"/>
        <v>83.33</v>
      </c>
      <c r="Q2924" s="12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>
        <f t="shared" si="226"/>
        <v>162.77000000000001</v>
      </c>
      <c r="Q2932" s="12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>
        <f t="shared" si="226"/>
        <v>37.65</v>
      </c>
      <c r="Q2938" s="12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>
        <f t="shared" si="226"/>
        <v>36.36</v>
      </c>
      <c r="Q2939" s="12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>
        <f t="shared" si="226"/>
        <v>126.72</v>
      </c>
      <c r="Q2940" s="12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>
        <f t="shared" si="226"/>
        <v>329.2</v>
      </c>
      <c r="Q2941" s="12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>
        <f t="shared" si="226"/>
        <v>81.239999999999995</v>
      </c>
      <c r="Q2942" s="12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>
        <f t="shared" si="226"/>
        <v>1</v>
      </c>
      <c r="Q2943" s="12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>
        <f t="shared" si="226"/>
        <v>202.23</v>
      </c>
      <c r="Q2944" s="12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0">ROUND(E2946/D2946*100,0)</f>
        <v>1</v>
      </c>
      <c r="P2946">
        <f t="shared" si="226"/>
        <v>100</v>
      </c>
      <c r="Q2946" s="12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>
        <f t="shared" ref="P2947:P3010" si="231">IFERROR(ROUND(E2947/L2947,2),0)</f>
        <v>0</v>
      </c>
      <c r="Q2947" s="12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>
        <f t="shared" si="231"/>
        <v>200.63</v>
      </c>
      <c r="Q2954" s="12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>
        <f t="shared" si="231"/>
        <v>201.67</v>
      </c>
      <c r="Q2955" s="12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>
        <f t="shared" si="231"/>
        <v>0</v>
      </c>
      <c r="Q2956" s="12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>
        <f t="shared" si="231"/>
        <v>65</v>
      </c>
      <c r="Q2957" s="12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>
        <f t="shared" si="231"/>
        <v>66.099999999999994</v>
      </c>
      <c r="Q2958" s="12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>
        <f t="shared" si="231"/>
        <v>93.33</v>
      </c>
      <c r="Q2959" s="12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>
        <f t="shared" si="231"/>
        <v>0</v>
      </c>
      <c r="Q2960" s="12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>
        <f t="shared" si="231"/>
        <v>0</v>
      </c>
      <c r="Q2961" s="12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>
        <f t="shared" si="231"/>
        <v>0</v>
      </c>
      <c r="Q2962" s="12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>
        <f t="shared" si="231"/>
        <v>50.75</v>
      </c>
      <c r="Q2963" s="12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>
        <f t="shared" si="231"/>
        <v>60.9</v>
      </c>
      <c r="Q2964" s="12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>
        <f t="shared" si="231"/>
        <v>109.03</v>
      </c>
      <c r="Q2965" s="12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>
        <f t="shared" si="231"/>
        <v>25.69</v>
      </c>
      <c r="Q2966" s="12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>
        <f t="shared" si="231"/>
        <v>41.92</v>
      </c>
      <c r="Q2967" s="12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>
        <f t="shared" si="231"/>
        <v>88.77</v>
      </c>
      <c r="Q2968" s="12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>
        <f t="shared" si="231"/>
        <v>80.23</v>
      </c>
      <c r="Q2969" s="12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>
        <f t="shared" si="231"/>
        <v>78.94</v>
      </c>
      <c r="Q2970" s="12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>
        <f t="shared" si="231"/>
        <v>95.59</v>
      </c>
      <c r="Q2971" s="12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>
        <f t="shared" si="231"/>
        <v>69.89</v>
      </c>
      <c r="Q2972" s="12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>
        <f t="shared" si="231"/>
        <v>74.53</v>
      </c>
      <c r="Q2973" s="12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>
        <f t="shared" si="231"/>
        <v>123.94</v>
      </c>
      <c r="Q2974" s="12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>
        <f t="shared" si="231"/>
        <v>264.85000000000002</v>
      </c>
      <c r="Q2975" s="12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>
        <f t="shared" si="231"/>
        <v>58.62</v>
      </c>
      <c r="Q2976" s="12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70.88</v>
      </c>
      <c r="Q2977" s="12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>
        <f t="shared" si="231"/>
        <v>8.57</v>
      </c>
      <c r="Q2978" s="12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>
        <f t="shared" si="231"/>
        <v>113.57</v>
      </c>
      <c r="Q2979" s="12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>
        <f t="shared" si="231"/>
        <v>60.69</v>
      </c>
      <c r="Q2980" s="12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>
        <f t="shared" si="231"/>
        <v>110.22</v>
      </c>
      <c r="Q2981" s="12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>
        <f t="shared" si="231"/>
        <v>136.46</v>
      </c>
      <c r="Q2982" s="12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>
        <f t="shared" si="231"/>
        <v>53.16</v>
      </c>
      <c r="Q2983" s="12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>
        <f t="shared" si="231"/>
        <v>86.49</v>
      </c>
      <c r="Q2984" s="12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>
        <f t="shared" si="231"/>
        <v>155.24</v>
      </c>
      <c r="Q2985" s="12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>
        <f t="shared" si="231"/>
        <v>115.08</v>
      </c>
      <c r="Q2986" s="12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>
        <f t="shared" si="231"/>
        <v>109.59</v>
      </c>
      <c r="Q2987" s="12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>
        <f t="shared" si="231"/>
        <v>45.21</v>
      </c>
      <c r="Q2988" s="12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>
        <f t="shared" si="231"/>
        <v>104.15</v>
      </c>
      <c r="Q2989" s="12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>
        <f t="shared" si="231"/>
        <v>35.71</v>
      </c>
      <c r="Q2990" s="12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>
        <f t="shared" si="231"/>
        <v>97</v>
      </c>
      <c r="Q2991" s="12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>
        <f t="shared" si="231"/>
        <v>370.37</v>
      </c>
      <c r="Q2992" s="12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>
        <f t="shared" si="231"/>
        <v>94.41</v>
      </c>
      <c r="Q2993" s="12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>
        <f t="shared" si="231"/>
        <v>48.98</v>
      </c>
      <c r="Q2994" s="12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>
        <f t="shared" si="231"/>
        <v>45.59</v>
      </c>
      <c r="Q2995" s="12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>
        <f t="shared" si="231"/>
        <v>23.28</v>
      </c>
      <c r="Q2996" s="12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>
        <f t="shared" si="231"/>
        <v>63.23</v>
      </c>
      <c r="Q2997" s="12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>
        <f t="shared" si="231"/>
        <v>153.52000000000001</v>
      </c>
      <c r="Q2998" s="12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>
        <f t="shared" si="231"/>
        <v>90.2</v>
      </c>
      <c r="Q2999" s="12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>
        <f t="shared" si="231"/>
        <v>118.97</v>
      </c>
      <c r="Q3000" s="12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>
        <f t="shared" si="231"/>
        <v>80.25</v>
      </c>
      <c r="Q3001" s="12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>
        <f t="shared" si="231"/>
        <v>62.5</v>
      </c>
      <c r="Q3002" s="12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>
        <f t="shared" si="231"/>
        <v>131.38</v>
      </c>
      <c r="Q3003" s="12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>
        <f t="shared" si="231"/>
        <v>73.03</v>
      </c>
      <c r="Q3004" s="12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>
        <f t="shared" si="231"/>
        <v>178.53</v>
      </c>
      <c r="Q3005" s="12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>
        <f t="shared" si="231"/>
        <v>162.91</v>
      </c>
      <c r="Q3006" s="12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>
        <f t="shared" si="231"/>
        <v>108.24</v>
      </c>
      <c r="Q3007" s="12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>
        <f t="shared" si="231"/>
        <v>88.87</v>
      </c>
      <c r="Q3008" s="12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>
        <f t="shared" si="231"/>
        <v>54</v>
      </c>
      <c r="Q3009" s="12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5">ROUND(E3010/D3010*100,0)</f>
        <v>101</v>
      </c>
      <c r="P3010">
        <f t="shared" si="231"/>
        <v>116.73</v>
      </c>
      <c r="Q3010" s="12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5"/>
        <v>120</v>
      </c>
      <c r="P3011">
        <f t="shared" ref="P3011:P3074" si="236">IFERROR(ROUND(E3011/L3011,2),0)</f>
        <v>233.9</v>
      </c>
      <c r="Q3011" s="12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>
        <f t="shared" si="236"/>
        <v>158</v>
      </c>
      <c r="Q3012" s="12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>
        <f t="shared" si="236"/>
        <v>14.84</v>
      </c>
      <c r="Q3013" s="12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>
        <f t="shared" si="236"/>
        <v>85.18</v>
      </c>
      <c r="Q3014" s="12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>
        <f t="shared" si="236"/>
        <v>146.69</v>
      </c>
      <c r="Q3015" s="12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>
        <f t="shared" si="236"/>
        <v>50.76</v>
      </c>
      <c r="Q3016" s="12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>
        <f t="shared" si="236"/>
        <v>87.7</v>
      </c>
      <c r="Q3017" s="12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>
        <f t="shared" si="236"/>
        <v>242.28</v>
      </c>
      <c r="Q3018" s="12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>
        <f t="shared" si="236"/>
        <v>146.44999999999999</v>
      </c>
      <c r="Q3019" s="12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>
        <f t="shared" si="236"/>
        <v>103.17</v>
      </c>
      <c r="Q3020" s="12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>
        <f t="shared" si="236"/>
        <v>80.459999999999994</v>
      </c>
      <c r="Q3021" s="12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>
        <f t="shared" si="236"/>
        <v>234.67</v>
      </c>
      <c r="Q3022" s="12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>
        <f t="shared" si="236"/>
        <v>50.69</v>
      </c>
      <c r="Q3023" s="12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>
        <f t="shared" si="236"/>
        <v>162.71</v>
      </c>
      <c r="Q3024" s="12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>
        <f t="shared" si="236"/>
        <v>120.17</v>
      </c>
      <c r="Q3025" s="12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>
        <f t="shared" si="236"/>
        <v>67.7</v>
      </c>
      <c r="Q3026" s="12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>
        <f t="shared" si="236"/>
        <v>52.1</v>
      </c>
      <c r="Q3027" s="12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>
        <f t="shared" si="236"/>
        <v>51.6</v>
      </c>
      <c r="Q3028" s="12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>
        <f t="shared" si="236"/>
        <v>164.3</v>
      </c>
      <c r="Q3029" s="12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>
        <f t="shared" si="236"/>
        <v>84.86</v>
      </c>
      <c r="Q3030" s="12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>
        <f t="shared" si="236"/>
        <v>94.55</v>
      </c>
      <c r="Q3031" s="12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>
        <f t="shared" si="236"/>
        <v>45.54</v>
      </c>
      <c r="Q3032" s="12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>
        <f t="shared" si="236"/>
        <v>51.72</v>
      </c>
      <c r="Q3033" s="12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>
        <f t="shared" si="236"/>
        <v>50.88</v>
      </c>
      <c r="Q3034" s="12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>
        <f t="shared" si="236"/>
        <v>191.13</v>
      </c>
      <c r="Q3035" s="12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>
        <f t="shared" si="236"/>
        <v>89.31</v>
      </c>
      <c r="Q3036" s="12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>
        <f t="shared" si="236"/>
        <v>88.59</v>
      </c>
      <c r="Q3037" s="12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>
        <f t="shared" si="236"/>
        <v>96.3</v>
      </c>
      <c r="Q3038" s="12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>
        <f t="shared" si="236"/>
        <v>33.31</v>
      </c>
      <c r="Q3039" s="12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>
        <f t="shared" si="236"/>
        <v>37.22</v>
      </c>
      <c r="Q3040" s="12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>
        <f t="shared" si="236"/>
        <v>92.13</v>
      </c>
      <c r="Q3041" s="12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>
        <f t="shared" si="236"/>
        <v>76.790000000000006</v>
      </c>
      <c r="Q3042" s="12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>
        <f t="shared" si="236"/>
        <v>96.53</v>
      </c>
      <c r="Q3043" s="12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>
        <f t="shared" si="236"/>
        <v>51.89</v>
      </c>
      <c r="Q3044" s="12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>
        <f t="shared" si="236"/>
        <v>128.91</v>
      </c>
      <c r="Q3045" s="12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>
        <f t="shared" si="236"/>
        <v>84.11</v>
      </c>
      <c r="Q3046" s="12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>
        <f t="shared" si="236"/>
        <v>82.94</v>
      </c>
      <c r="Q3047" s="12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>
        <f t="shared" si="236"/>
        <v>259.95</v>
      </c>
      <c r="Q3048" s="12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>
        <f t="shared" si="236"/>
        <v>37.25</v>
      </c>
      <c r="Q3049" s="12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>
        <f t="shared" si="236"/>
        <v>177.02</v>
      </c>
      <c r="Q3050" s="12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>
        <f t="shared" si="236"/>
        <v>74.069999999999993</v>
      </c>
      <c r="Q3051" s="12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>
        <f t="shared" si="236"/>
        <v>70.67</v>
      </c>
      <c r="Q3052" s="12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>
        <f t="shared" si="236"/>
        <v>23.63</v>
      </c>
      <c r="Q3053" s="12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>
        <f t="shared" si="236"/>
        <v>37.5</v>
      </c>
      <c r="Q3054" s="12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>
        <f t="shared" si="236"/>
        <v>13.33</v>
      </c>
      <c r="Q3055" s="12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>
        <f t="shared" si="236"/>
        <v>0</v>
      </c>
      <c r="Q3056" s="12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>
        <f t="shared" si="236"/>
        <v>1</v>
      </c>
      <c r="Q3057" s="12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>
        <f t="shared" si="236"/>
        <v>0</v>
      </c>
      <c r="Q3058" s="12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>
        <f t="shared" si="236"/>
        <v>0</v>
      </c>
      <c r="Q3059" s="12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>
        <f t="shared" si="236"/>
        <v>1</v>
      </c>
      <c r="Q3060" s="12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>
        <f t="shared" si="236"/>
        <v>41</v>
      </c>
      <c r="Q3061" s="12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>
        <f t="shared" si="236"/>
        <v>55.83</v>
      </c>
      <c r="Q3062" s="12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>
        <f t="shared" si="236"/>
        <v>0</v>
      </c>
      <c r="Q3063" s="12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>
        <f t="shared" si="236"/>
        <v>99.76</v>
      </c>
      <c r="Q3064" s="12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>
        <f t="shared" si="236"/>
        <v>25.52</v>
      </c>
      <c r="Q3065" s="12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>
        <f t="shared" si="236"/>
        <v>117.65</v>
      </c>
      <c r="Q3066" s="12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>
        <f t="shared" si="236"/>
        <v>5</v>
      </c>
      <c r="Q3067" s="12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>
        <f t="shared" si="236"/>
        <v>2796.67</v>
      </c>
      <c r="Q3068" s="12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>
        <f t="shared" si="236"/>
        <v>200</v>
      </c>
      <c r="Q3069" s="12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>
        <f t="shared" si="236"/>
        <v>87.5</v>
      </c>
      <c r="Q3070" s="12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>
        <f t="shared" si="236"/>
        <v>20.14</v>
      </c>
      <c r="Q3071" s="12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>
        <f t="shared" si="236"/>
        <v>20.88</v>
      </c>
      <c r="Q3072" s="12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>
        <f t="shared" si="236"/>
        <v>61.31</v>
      </c>
      <c r="Q3073" s="12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40">ROUND(E3074/D3074*100,0)</f>
        <v>0</v>
      </c>
      <c r="P3074">
        <f t="shared" si="236"/>
        <v>1</v>
      </c>
      <c r="Q3074" s="12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0"/>
        <v>0</v>
      </c>
      <c r="P3075">
        <f t="shared" ref="P3075:P3138" si="241">IFERROR(ROUND(E3075/L3075,2),0)</f>
        <v>92.14</v>
      </c>
      <c r="Q3075" s="12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>
        <f t="shared" si="241"/>
        <v>7.33</v>
      </c>
      <c r="Q3076" s="12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>
        <f t="shared" si="241"/>
        <v>64.8</v>
      </c>
      <c r="Q3077" s="12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>
        <f t="shared" si="241"/>
        <v>30.12</v>
      </c>
      <c r="Q3078" s="12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>
        <f t="shared" si="241"/>
        <v>52.5</v>
      </c>
      <c r="Q3079" s="12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>
        <f t="shared" si="241"/>
        <v>23.67</v>
      </c>
      <c r="Q3080" s="12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>
        <f t="shared" si="241"/>
        <v>415.78</v>
      </c>
      <c r="Q3081" s="12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>
        <f t="shared" si="241"/>
        <v>53.71</v>
      </c>
      <c r="Q3082" s="12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>
        <f t="shared" si="241"/>
        <v>420.6</v>
      </c>
      <c r="Q3083" s="12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>
        <f t="shared" si="241"/>
        <v>0</v>
      </c>
      <c r="Q3084" s="12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>
        <f t="shared" si="241"/>
        <v>18.670000000000002</v>
      </c>
      <c r="Q3085" s="12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>
        <f t="shared" si="241"/>
        <v>78.33</v>
      </c>
      <c r="Q3086" s="12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>
        <f t="shared" si="241"/>
        <v>67.78</v>
      </c>
      <c r="Q3087" s="12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>
        <f t="shared" si="241"/>
        <v>16.670000000000002</v>
      </c>
      <c r="Q3088" s="12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>
        <f t="shared" si="241"/>
        <v>62.5</v>
      </c>
      <c r="Q3089" s="12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>
        <f t="shared" si="241"/>
        <v>42</v>
      </c>
      <c r="Q3090" s="12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>
        <f t="shared" si="241"/>
        <v>130.09</v>
      </c>
      <c r="Q3091" s="12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>
        <f t="shared" si="241"/>
        <v>1270.22</v>
      </c>
      <c r="Q3092" s="12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>
        <f t="shared" si="241"/>
        <v>88.44</v>
      </c>
      <c r="Q3093" s="12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>
        <f t="shared" si="241"/>
        <v>56.34</v>
      </c>
      <c r="Q3094" s="12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>
        <f t="shared" si="241"/>
        <v>53.53</v>
      </c>
      <c r="Q3095" s="12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>
        <f t="shared" si="241"/>
        <v>25</v>
      </c>
      <c r="Q3096" s="12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>
        <f t="shared" si="241"/>
        <v>50</v>
      </c>
      <c r="Q3097" s="12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>
        <f t="shared" si="241"/>
        <v>56.79</v>
      </c>
      <c r="Q3098" s="12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>
        <f t="shared" si="241"/>
        <v>40.83</v>
      </c>
      <c r="Q3099" s="12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>
        <f t="shared" si="241"/>
        <v>65.11</v>
      </c>
      <c r="Q3100" s="12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>
        <f t="shared" si="241"/>
        <v>55.6</v>
      </c>
      <c r="Q3101" s="12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>
        <f t="shared" si="241"/>
        <v>140.54</v>
      </c>
      <c r="Q3102" s="12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>
        <f t="shared" si="241"/>
        <v>25</v>
      </c>
      <c r="Q3103" s="12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>
        <f t="shared" si="241"/>
        <v>69.53</v>
      </c>
      <c r="Q3104" s="12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>
        <f t="shared" si="241"/>
        <v>5.5</v>
      </c>
      <c r="Q3105" s="12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>
        <f t="shared" si="241"/>
        <v>237</v>
      </c>
      <c r="Q3106" s="12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>
        <f t="shared" si="241"/>
        <v>79.87</v>
      </c>
      <c r="Q3107" s="12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>
        <f t="shared" si="241"/>
        <v>10.25</v>
      </c>
      <c r="Q3108" s="12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>
        <f t="shared" si="241"/>
        <v>272.58999999999997</v>
      </c>
      <c r="Q3109" s="12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>
        <f t="shared" si="241"/>
        <v>13</v>
      </c>
      <c r="Q3110" s="12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>
        <f t="shared" si="241"/>
        <v>58.18</v>
      </c>
      <c r="Q3111" s="12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>
        <f t="shared" si="241"/>
        <v>10</v>
      </c>
      <c r="Q3112" s="12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>
        <f t="shared" si="241"/>
        <v>70.11</v>
      </c>
      <c r="Q3113" s="12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>
        <f t="shared" si="241"/>
        <v>57.89</v>
      </c>
      <c r="Q3114" s="12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>
        <f t="shared" si="241"/>
        <v>125.27</v>
      </c>
      <c r="Q3115" s="12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>
        <f t="shared" si="241"/>
        <v>0</v>
      </c>
      <c r="Q3116" s="12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>
        <f t="shared" si="241"/>
        <v>300</v>
      </c>
      <c r="Q3117" s="12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>
        <f t="shared" si="241"/>
        <v>43</v>
      </c>
      <c r="Q3118" s="12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>
        <f t="shared" si="241"/>
        <v>1</v>
      </c>
      <c r="Q3119" s="12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>
        <f t="shared" si="241"/>
        <v>775</v>
      </c>
      <c r="Q3120" s="12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>
        <f t="shared" si="241"/>
        <v>5</v>
      </c>
      <c r="Q3121" s="12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>
        <f t="shared" si="241"/>
        <v>12.8</v>
      </c>
      <c r="Q3122" s="12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>
        <f t="shared" si="241"/>
        <v>10</v>
      </c>
      <c r="Q3123" s="12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>
        <f t="shared" si="241"/>
        <v>58</v>
      </c>
      <c r="Q3124" s="12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>
        <f t="shared" si="241"/>
        <v>244.8</v>
      </c>
      <c r="Q3125" s="12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>
        <f t="shared" si="241"/>
        <v>6.5</v>
      </c>
      <c r="Q3126" s="12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>
        <f t="shared" si="241"/>
        <v>0</v>
      </c>
      <c r="Q3127" s="12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>
        <f t="shared" si="241"/>
        <v>61.18</v>
      </c>
      <c r="Q3128" s="12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>
        <f t="shared" si="241"/>
        <v>0</v>
      </c>
      <c r="Q3129" s="12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>
        <f t="shared" si="241"/>
        <v>139.24</v>
      </c>
      <c r="Q3130" s="12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>
        <f t="shared" si="241"/>
        <v>10</v>
      </c>
      <c r="Q3131" s="12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>
        <f t="shared" si="241"/>
        <v>93.75</v>
      </c>
      <c r="Q3132" s="12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>
        <f t="shared" si="241"/>
        <v>53.75</v>
      </c>
      <c r="Q3133" s="12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>
        <f t="shared" si="241"/>
        <v>10</v>
      </c>
      <c r="Q3134" s="12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>
        <f t="shared" si="241"/>
        <v>33.75</v>
      </c>
      <c r="Q3135" s="12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>
        <f t="shared" si="241"/>
        <v>18.75</v>
      </c>
      <c r="Q3136" s="12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>
        <f t="shared" si="241"/>
        <v>23.14</v>
      </c>
      <c r="Q3137" s="12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5">ROUND(E3138/D3138*100,0)</f>
        <v>128</v>
      </c>
      <c r="P3138">
        <f t="shared" si="241"/>
        <v>29.05</v>
      </c>
      <c r="Q3138" s="12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5"/>
        <v>3</v>
      </c>
      <c r="P3139">
        <f t="shared" ref="P3139:P3202" si="246">IFERROR(ROUND(E3139/L3139,2),0)</f>
        <v>50</v>
      </c>
      <c r="Q3139" s="12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>
        <f t="shared" si="246"/>
        <v>0</v>
      </c>
      <c r="Q3140" s="12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>
        <f t="shared" si="246"/>
        <v>450</v>
      </c>
      <c r="Q3141" s="12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>
        <f t="shared" si="246"/>
        <v>24</v>
      </c>
      <c r="Q3142" s="12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>
        <f t="shared" si="246"/>
        <v>32.25</v>
      </c>
      <c r="Q3143" s="12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>
        <f t="shared" si="246"/>
        <v>15</v>
      </c>
      <c r="Q3144" s="12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>
        <f t="shared" si="246"/>
        <v>0</v>
      </c>
      <c r="Q3145" s="12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>
        <f t="shared" si="246"/>
        <v>251.33</v>
      </c>
      <c r="Q3146" s="12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>
        <f t="shared" si="246"/>
        <v>0</v>
      </c>
      <c r="Q3147" s="12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>
        <f t="shared" si="246"/>
        <v>437.5</v>
      </c>
      <c r="Q3148" s="12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>
        <f t="shared" si="246"/>
        <v>110.35</v>
      </c>
      <c r="Q3149" s="12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>
        <f t="shared" si="246"/>
        <v>41.42</v>
      </c>
      <c r="Q3150" s="12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>
        <f t="shared" si="246"/>
        <v>52</v>
      </c>
      <c r="Q3151" s="12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>
        <f t="shared" si="246"/>
        <v>33.99</v>
      </c>
      <c r="Q3152" s="12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>
        <f t="shared" si="246"/>
        <v>103.35</v>
      </c>
      <c r="Q3153" s="12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>
        <f t="shared" si="246"/>
        <v>34.79</v>
      </c>
      <c r="Q3154" s="12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>
        <f t="shared" si="246"/>
        <v>41.77</v>
      </c>
      <c r="Q3155" s="12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>
        <f t="shared" si="246"/>
        <v>64.27</v>
      </c>
      <c r="Q3156" s="12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>
        <f t="shared" si="246"/>
        <v>31.21</v>
      </c>
      <c r="Q3157" s="12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>
        <f t="shared" si="246"/>
        <v>62.92</v>
      </c>
      <c r="Q3158" s="12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>
        <f t="shared" si="246"/>
        <v>98.54</v>
      </c>
      <c r="Q3159" s="12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>
        <f t="shared" si="246"/>
        <v>82.61</v>
      </c>
      <c r="Q3160" s="12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>
        <f t="shared" si="246"/>
        <v>38.5</v>
      </c>
      <c r="Q3161" s="12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>
        <f t="shared" si="246"/>
        <v>80.16</v>
      </c>
      <c r="Q3162" s="12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>
        <f t="shared" si="246"/>
        <v>28.41</v>
      </c>
      <c r="Q3163" s="12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>
        <f t="shared" si="246"/>
        <v>80.73</v>
      </c>
      <c r="Q3164" s="12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>
        <f t="shared" si="246"/>
        <v>200.69</v>
      </c>
      <c r="Q3165" s="12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>
        <f t="shared" si="246"/>
        <v>37.590000000000003</v>
      </c>
      <c r="Q3166" s="12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>
        <f t="shared" si="246"/>
        <v>58.1</v>
      </c>
      <c r="Q3167" s="12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>
        <f t="shared" si="246"/>
        <v>60.3</v>
      </c>
      <c r="Q3168" s="12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>
        <f t="shared" si="246"/>
        <v>63.36</v>
      </c>
      <c r="Q3169" s="12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>
        <f t="shared" si="246"/>
        <v>50.9</v>
      </c>
      <c r="Q3170" s="12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>
        <f t="shared" si="246"/>
        <v>100.5</v>
      </c>
      <c r="Q3171" s="12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>
        <f t="shared" si="246"/>
        <v>31.62</v>
      </c>
      <c r="Q3172" s="12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>
        <f t="shared" si="246"/>
        <v>65.099999999999994</v>
      </c>
      <c r="Q3173" s="12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>
        <f t="shared" si="246"/>
        <v>79.31</v>
      </c>
      <c r="Q3174" s="12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>
        <f t="shared" si="246"/>
        <v>139.19</v>
      </c>
      <c r="Q3175" s="12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>
        <f t="shared" si="246"/>
        <v>131.91</v>
      </c>
      <c r="Q3176" s="12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>
        <f t="shared" si="246"/>
        <v>91.3</v>
      </c>
      <c r="Q3177" s="12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>
        <f t="shared" si="246"/>
        <v>39.67</v>
      </c>
      <c r="Q3178" s="12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>
        <f t="shared" si="246"/>
        <v>57.55</v>
      </c>
      <c r="Q3179" s="12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>
        <f t="shared" si="246"/>
        <v>33.03</v>
      </c>
      <c r="Q3180" s="12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>
        <f t="shared" si="246"/>
        <v>77.34</v>
      </c>
      <c r="Q3181" s="12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>
        <f t="shared" si="246"/>
        <v>31.93</v>
      </c>
      <c r="Q3182" s="12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>
        <f t="shared" si="246"/>
        <v>36.33</v>
      </c>
      <c r="Q3183" s="12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>
        <f t="shared" si="246"/>
        <v>46.77</v>
      </c>
      <c r="Q3184" s="12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>
        <f t="shared" si="246"/>
        <v>40.07</v>
      </c>
      <c r="Q3185" s="12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>
        <f t="shared" si="246"/>
        <v>100.22</v>
      </c>
      <c r="Q3186" s="12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>
        <f t="shared" si="246"/>
        <v>41.67</v>
      </c>
      <c r="Q3187" s="12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>
        <f t="shared" si="246"/>
        <v>46.71</v>
      </c>
      <c r="Q3188" s="12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>
        <f t="shared" si="246"/>
        <v>71.489999999999995</v>
      </c>
      <c r="Q3189" s="12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>
        <f t="shared" si="246"/>
        <v>14.44</v>
      </c>
      <c r="Q3190" s="12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>
        <f t="shared" si="246"/>
        <v>356.84</v>
      </c>
      <c r="Q3191" s="12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>
        <f t="shared" si="246"/>
        <v>0</v>
      </c>
      <c r="Q3192" s="12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>
        <f t="shared" si="246"/>
        <v>37.75</v>
      </c>
      <c r="Q3193" s="12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>
        <f t="shared" si="246"/>
        <v>12.75</v>
      </c>
      <c r="Q3194" s="12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>
        <f t="shared" si="246"/>
        <v>24.46</v>
      </c>
      <c r="Q3195" s="12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>
        <f t="shared" si="246"/>
        <v>0</v>
      </c>
      <c r="Q3196" s="12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>
        <f t="shared" si="246"/>
        <v>53.08</v>
      </c>
      <c r="Q3197" s="12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>
        <f t="shared" si="246"/>
        <v>300</v>
      </c>
      <c r="Q3198" s="12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>
        <f t="shared" si="246"/>
        <v>286.25</v>
      </c>
      <c r="Q3199" s="12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>
        <f t="shared" si="246"/>
        <v>36.67</v>
      </c>
      <c r="Q3200" s="12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>
        <f t="shared" si="246"/>
        <v>49.21</v>
      </c>
      <c r="Q3201" s="12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50">ROUND(E3202/D3202*100,0)</f>
        <v>0</v>
      </c>
      <c r="P3202">
        <f t="shared" si="246"/>
        <v>1</v>
      </c>
      <c r="Q3202" s="12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0"/>
        <v>1</v>
      </c>
      <c r="P3203">
        <f t="shared" ref="P3203:P3266" si="251">IFERROR(ROUND(E3203/L3203,2),0)</f>
        <v>12.5</v>
      </c>
      <c r="Q3203" s="12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>
        <f t="shared" si="251"/>
        <v>109.04</v>
      </c>
      <c r="Q3204" s="12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>
        <f t="shared" si="251"/>
        <v>41.67</v>
      </c>
      <c r="Q3205" s="12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>
        <f t="shared" si="251"/>
        <v>0</v>
      </c>
      <c r="Q3206" s="12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>
        <f t="shared" si="251"/>
        <v>22.75</v>
      </c>
      <c r="Q3207" s="12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>
        <f t="shared" si="251"/>
        <v>0</v>
      </c>
      <c r="Q3208" s="12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>
        <f t="shared" si="251"/>
        <v>70.83</v>
      </c>
      <c r="Q3209" s="12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>
        <f t="shared" si="251"/>
        <v>63.11</v>
      </c>
      <c r="Q3210" s="12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>
        <f t="shared" si="251"/>
        <v>50.16</v>
      </c>
      <c r="Q3211" s="12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>
        <f t="shared" si="251"/>
        <v>62.88</v>
      </c>
      <c r="Q3212" s="12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>
        <f t="shared" si="251"/>
        <v>85.53</v>
      </c>
      <c r="Q3213" s="12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>
        <f t="shared" si="251"/>
        <v>53.72</v>
      </c>
      <c r="Q3214" s="12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>
        <f t="shared" si="251"/>
        <v>127.81</v>
      </c>
      <c r="Q3215" s="12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>
        <f t="shared" si="251"/>
        <v>106.57</v>
      </c>
      <c r="Q3216" s="12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>
        <f t="shared" si="251"/>
        <v>262.11</v>
      </c>
      <c r="Q3217" s="12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>
        <f t="shared" si="251"/>
        <v>57.17</v>
      </c>
      <c r="Q3218" s="12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>
        <f t="shared" si="251"/>
        <v>50.2</v>
      </c>
      <c r="Q3219" s="12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>
        <f t="shared" si="251"/>
        <v>66.59</v>
      </c>
      <c r="Q3220" s="12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>
        <f t="shared" si="251"/>
        <v>168.25</v>
      </c>
      <c r="Q3221" s="12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>
        <f t="shared" si="251"/>
        <v>256.37</v>
      </c>
      <c r="Q3222" s="12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>
        <f t="shared" si="251"/>
        <v>36.61</v>
      </c>
      <c r="Q3223" s="12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>
        <f t="shared" si="251"/>
        <v>37.14</v>
      </c>
      <c r="Q3224" s="12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>
        <f t="shared" si="251"/>
        <v>45.88</v>
      </c>
      <c r="Q3225" s="12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>
        <f t="shared" si="251"/>
        <v>141.71</v>
      </c>
      <c r="Q3226" s="12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>
        <f t="shared" si="251"/>
        <v>52.49</v>
      </c>
      <c r="Q3227" s="12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>
        <f t="shared" si="251"/>
        <v>59.52</v>
      </c>
      <c r="Q3228" s="12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>
        <f t="shared" si="251"/>
        <v>50</v>
      </c>
      <c r="Q3229" s="12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>
        <f t="shared" si="251"/>
        <v>193.62</v>
      </c>
      <c r="Q3230" s="12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>
        <f t="shared" si="251"/>
        <v>106.8</v>
      </c>
      <c r="Q3231" s="12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>
        <f t="shared" si="251"/>
        <v>77.22</v>
      </c>
      <c r="Q3232" s="12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>
        <f t="shared" si="251"/>
        <v>57.5</v>
      </c>
      <c r="Q3233" s="12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>
        <f t="shared" si="251"/>
        <v>50.46</v>
      </c>
      <c r="Q3234" s="12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>
        <f t="shared" si="251"/>
        <v>97.38</v>
      </c>
      <c r="Q3235" s="12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>
        <f t="shared" si="251"/>
        <v>34.92</v>
      </c>
      <c r="Q3236" s="12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>
        <f t="shared" si="251"/>
        <v>85.53</v>
      </c>
      <c r="Q3237" s="12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>
        <f t="shared" si="251"/>
        <v>182.91</v>
      </c>
      <c r="Q3238" s="12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>
        <f t="shared" si="251"/>
        <v>131.13999999999999</v>
      </c>
      <c r="Q3239" s="12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>
        <f t="shared" si="251"/>
        <v>39.81</v>
      </c>
      <c r="Q3240" s="12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>
        <f t="shared" si="251"/>
        <v>59.7</v>
      </c>
      <c r="Q3241" s="12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>
        <f t="shared" si="251"/>
        <v>88.74</v>
      </c>
      <c r="Q3242" s="12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>
        <f t="shared" si="251"/>
        <v>58.69</v>
      </c>
      <c r="Q3243" s="12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>
        <f t="shared" si="251"/>
        <v>69.569999999999993</v>
      </c>
      <c r="Q3244" s="12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>
        <f t="shared" si="251"/>
        <v>115.87</v>
      </c>
      <c r="Q3245" s="12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>
        <f t="shared" si="251"/>
        <v>23.87</v>
      </c>
      <c r="Q3246" s="12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>
        <f t="shared" si="251"/>
        <v>81.13</v>
      </c>
      <c r="Q3247" s="12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>
        <f t="shared" si="251"/>
        <v>57.63</v>
      </c>
      <c r="Q3248" s="12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>
        <f t="shared" si="251"/>
        <v>46.43</v>
      </c>
      <c r="Q3249" s="12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>
        <f t="shared" si="251"/>
        <v>60.48</v>
      </c>
      <c r="Q3250" s="12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>
        <f t="shared" si="251"/>
        <v>65.58</v>
      </c>
      <c r="Q3251" s="12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>
        <f t="shared" si="251"/>
        <v>119.19</v>
      </c>
      <c r="Q3252" s="12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>
        <f t="shared" si="251"/>
        <v>83.05</v>
      </c>
      <c r="Q3253" s="12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>
        <f t="shared" si="251"/>
        <v>57.52</v>
      </c>
      <c r="Q3254" s="12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>
        <f t="shared" si="251"/>
        <v>177.09</v>
      </c>
      <c r="Q3255" s="12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>
        <f t="shared" si="251"/>
        <v>70.77</v>
      </c>
      <c r="Q3256" s="12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>
        <f t="shared" si="251"/>
        <v>29.17</v>
      </c>
      <c r="Q3257" s="12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>
        <f t="shared" si="251"/>
        <v>72.760000000000005</v>
      </c>
      <c r="Q3258" s="12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>
        <f t="shared" si="251"/>
        <v>51.85</v>
      </c>
      <c r="Q3259" s="12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>
        <f t="shared" si="251"/>
        <v>98.2</v>
      </c>
      <c r="Q3260" s="12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>
        <f t="shared" si="251"/>
        <v>251.74</v>
      </c>
      <c r="Q3261" s="12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>
        <f t="shared" si="251"/>
        <v>74.819999999999993</v>
      </c>
      <c r="Q3262" s="12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>
        <f t="shared" si="251"/>
        <v>67.650000000000006</v>
      </c>
      <c r="Q3263" s="12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>
        <f t="shared" si="251"/>
        <v>93.81</v>
      </c>
      <c r="Q3264" s="12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>
        <f t="shared" si="251"/>
        <v>41.24</v>
      </c>
      <c r="Q3265" s="12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5">ROUND(E3266/D3266*100,0)</f>
        <v>103</v>
      </c>
      <c r="P3266">
        <f t="shared" si="251"/>
        <v>52.55</v>
      </c>
      <c r="Q3266" s="12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5"/>
        <v>164</v>
      </c>
      <c r="P3267">
        <f t="shared" ref="P3267:P3330" si="256">IFERROR(ROUND(E3267/L3267,2),0)</f>
        <v>70.290000000000006</v>
      </c>
      <c r="Q3267" s="12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>
        <f t="shared" si="256"/>
        <v>48.33</v>
      </c>
      <c r="Q3268" s="12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>
        <f t="shared" si="256"/>
        <v>53.18</v>
      </c>
      <c r="Q3269" s="12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>
        <f t="shared" si="256"/>
        <v>60.95</v>
      </c>
      <c r="Q3270" s="12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>
        <f t="shared" si="256"/>
        <v>116</v>
      </c>
      <c r="Q3271" s="12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>
        <f t="shared" si="256"/>
        <v>61</v>
      </c>
      <c r="Q3272" s="12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>
        <f t="shared" si="256"/>
        <v>38.24</v>
      </c>
      <c r="Q3273" s="12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>
        <f t="shared" si="256"/>
        <v>106.5</v>
      </c>
      <c r="Q3274" s="12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>
        <f t="shared" si="256"/>
        <v>204.57</v>
      </c>
      <c r="Q3275" s="12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>
        <f t="shared" si="256"/>
        <v>54.91</v>
      </c>
      <c r="Q3276" s="12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>
        <f t="shared" si="256"/>
        <v>150.41999999999999</v>
      </c>
      <c r="Q3277" s="12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>
        <f t="shared" si="256"/>
        <v>52.58</v>
      </c>
      <c r="Q3278" s="12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>
        <f t="shared" si="256"/>
        <v>54.3</v>
      </c>
      <c r="Q3279" s="12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>
        <f t="shared" si="256"/>
        <v>76.03</v>
      </c>
      <c r="Q3280" s="12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>
        <f t="shared" si="256"/>
        <v>105.21</v>
      </c>
      <c r="Q3281" s="12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>
        <f t="shared" si="256"/>
        <v>68.67</v>
      </c>
      <c r="Q3282" s="12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>
        <f t="shared" si="256"/>
        <v>129.36000000000001</v>
      </c>
      <c r="Q3283" s="12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>
        <f t="shared" si="256"/>
        <v>134.26</v>
      </c>
      <c r="Q3284" s="12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>
        <f t="shared" si="256"/>
        <v>17.829999999999998</v>
      </c>
      <c r="Q3285" s="12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>
        <f t="shared" si="256"/>
        <v>203.2</v>
      </c>
      <c r="Q3286" s="12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>
        <f t="shared" si="256"/>
        <v>69.19</v>
      </c>
      <c r="Q3287" s="12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>
        <f t="shared" si="256"/>
        <v>125.12</v>
      </c>
      <c r="Q3288" s="12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>
        <f t="shared" si="256"/>
        <v>73.53</v>
      </c>
      <c r="Q3289" s="12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>
        <f t="shared" si="256"/>
        <v>48.44</v>
      </c>
      <c r="Q3290" s="12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>
        <f t="shared" si="256"/>
        <v>26.61</v>
      </c>
      <c r="Q3291" s="12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>
        <f t="shared" si="256"/>
        <v>33.67</v>
      </c>
      <c r="Q3292" s="12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>
        <f t="shared" si="256"/>
        <v>40.71</v>
      </c>
      <c r="Q3293" s="12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>
        <f t="shared" si="256"/>
        <v>19.27</v>
      </c>
      <c r="Q3294" s="12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>
        <f t="shared" si="256"/>
        <v>84.29</v>
      </c>
      <c r="Q3295" s="12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>
        <f t="shared" si="256"/>
        <v>29.58</v>
      </c>
      <c r="Q3296" s="12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>
        <f t="shared" si="256"/>
        <v>26.67</v>
      </c>
      <c r="Q3297" s="12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>
        <f t="shared" si="256"/>
        <v>45.98</v>
      </c>
      <c r="Q3298" s="12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>
        <f t="shared" si="256"/>
        <v>125.09</v>
      </c>
      <c r="Q3299" s="12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>
        <f t="shared" si="256"/>
        <v>141.29</v>
      </c>
      <c r="Q3300" s="12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>
        <f t="shared" si="256"/>
        <v>55.33</v>
      </c>
      <c r="Q3301" s="12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>
        <f t="shared" si="256"/>
        <v>46.42</v>
      </c>
      <c r="Q3302" s="12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>
        <f t="shared" si="256"/>
        <v>57.2</v>
      </c>
      <c r="Q3303" s="12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>
        <f t="shared" si="256"/>
        <v>173.7</v>
      </c>
      <c r="Q3304" s="12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>
        <f t="shared" si="256"/>
        <v>59.6</v>
      </c>
      <c r="Q3305" s="12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>
        <f t="shared" si="256"/>
        <v>89.59</v>
      </c>
      <c r="Q3306" s="12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>
        <f t="shared" si="256"/>
        <v>204.05</v>
      </c>
      <c r="Q3307" s="12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>
        <f t="shared" si="256"/>
        <v>48.7</v>
      </c>
      <c r="Q3308" s="12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>
        <f t="shared" si="256"/>
        <v>53.34</v>
      </c>
      <c r="Q3309" s="12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>
        <f t="shared" si="256"/>
        <v>75.09</v>
      </c>
      <c r="Q3310" s="12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>
        <f t="shared" si="256"/>
        <v>18</v>
      </c>
      <c r="Q3311" s="12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>
        <f t="shared" si="256"/>
        <v>209.84</v>
      </c>
      <c r="Q3312" s="12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>
        <f t="shared" si="256"/>
        <v>61.02</v>
      </c>
      <c r="Q3313" s="12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>
        <f t="shared" si="256"/>
        <v>61</v>
      </c>
      <c r="Q3314" s="12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>
        <f t="shared" si="256"/>
        <v>80.03</v>
      </c>
      <c r="Q3315" s="12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>
        <f t="shared" si="256"/>
        <v>29.07</v>
      </c>
      <c r="Q3316" s="12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>
        <f t="shared" si="256"/>
        <v>49.44</v>
      </c>
      <c r="Q3317" s="12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>
        <f t="shared" si="256"/>
        <v>93.98</v>
      </c>
      <c r="Q3318" s="12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>
        <f t="shared" si="256"/>
        <v>61.94</v>
      </c>
      <c r="Q3319" s="12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>
        <f t="shared" si="256"/>
        <v>78.5</v>
      </c>
      <c r="Q3320" s="12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>
        <f t="shared" si="256"/>
        <v>33.75</v>
      </c>
      <c r="Q3321" s="12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>
        <f t="shared" si="256"/>
        <v>66.45</v>
      </c>
      <c r="Q3322" s="12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>
        <f t="shared" si="256"/>
        <v>35.799999999999997</v>
      </c>
      <c r="Q3323" s="12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>
        <f t="shared" si="256"/>
        <v>145.65</v>
      </c>
      <c r="Q3324" s="12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>
        <f t="shared" si="256"/>
        <v>25.69</v>
      </c>
      <c r="Q3325" s="12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>
        <f t="shared" si="256"/>
        <v>152.5</v>
      </c>
      <c r="Q3326" s="12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>
        <f t="shared" si="256"/>
        <v>30</v>
      </c>
      <c r="Q3327" s="12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>
        <f t="shared" si="256"/>
        <v>142.28</v>
      </c>
      <c r="Q3328" s="12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>
        <f t="shared" si="256"/>
        <v>24.55</v>
      </c>
      <c r="Q3329" s="12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0">ROUND(E3330/D3330*100,0)</f>
        <v>146</v>
      </c>
      <c r="P3330">
        <f t="shared" si="256"/>
        <v>292.77999999999997</v>
      </c>
      <c r="Q3330" s="12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0"/>
        <v>117</v>
      </c>
      <c r="P3331">
        <f t="shared" ref="P3331:P3394" si="261">IFERROR(ROUND(E3331/L3331,2),0)</f>
        <v>44.92</v>
      </c>
      <c r="Q3331" s="12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>
        <f t="shared" si="261"/>
        <v>23.1</v>
      </c>
      <c r="Q3332" s="12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>
        <f t="shared" si="261"/>
        <v>80.400000000000006</v>
      </c>
      <c r="Q3333" s="12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>
        <f t="shared" si="261"/>
        <v>72.290000000000006</v>
      </c>
      <c r="Q3334" s="12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>
        <f t="shared" si="261"/>
        <v>32.97</v>
      </c>
      <c r="Q3335" s="12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>
        <f t="shared" si="261"/>
        <v>116.65</v>
      </c>
      <c r="Q3336" s="12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>
        <f t="shared" si="261"/>
        <v>79.62</v>
      </c>
      <c r="Q3337" s="12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>
        <f t="shared" si="261"/>
        <v>27.78</v>
      </c>
      <c r="Q3338" s="12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>
        <f t="shared" si="261"/>
        <v>81.03</v>
      </c>
      <c r="Q3339" s="12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>
        <f t="shared" si="261"/>
        <v>136.85</v>
      </c>
      <c r="Q3340" s="12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>
        <f t="shared" si="261"/>
        <v>177.62</v>
      </c>
      <c r="Q3341" s="12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>
        <f t="shared" si="261"/>
        <v>109.08</v>
      </c>
      <c r="Q3342" s="12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>
        <f t="shared" si="261"/>
        <v>119.64</v>
      </c>
      <c r="Q3343" s="12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>
        <f t="shared" si="261"/>
        <v>78.209999999999994</v>
      </c>
      <c r="Q3344" s="12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>
        <f t="shared" si="261"/>
        <v>52.17</v>
      </c>
      <c r="Q3345" s="12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>
        <f t="shared" si="261"/>
        <v>114.13</v>
      </c>
      <c r="Q3346" s="12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>
        <f t="shared" si="261"/>
        <v>50</v>
      </c>
      <c r="Q3347" s="12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>
        <f t="shared" si="261"/>
        <v>91.67</v>
      </c>
      <c r="Q3348" s="12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>
        <f t="shared" si="261"/>
        <v>108.59</v>
      </c>
      <c r="Q3349" s="12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>
        <f t="shared" si="261"/>
        <v>69.819999999999993</v>
      </c>
      <c r="Q3350" s="12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>
        <f t="shared" si="261"/>
        <v>109.57</v>
      </c>
      <c r="Q3351" s="12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>
        <f t="shared" si="261"/>
        <v>71.67</v>
      </c>
      <c r="Q3352" s="12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>
        <f t="shared" si="261"/>
        <v>93.61</v>
      </c>
      <c r="Q3353" s="12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>
        <f t="shared" si="261"/>
        <v>76.8</v>
      </c>
      <c r="Q3354" s="12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>
        <f t="shared" si="261"/>
        <v>35.799999999999997</v>
      </c>
      <c r="Q3355" s="12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>
        <f t="shared" si="261"/>
        <v>55.6</v>
      </c>
      <c r="Q3356" s="12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>
        <f t="shared" si="261"/>
        <v>147.33000000000001</v>
      </c>
      <c r="Q3357" s="12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>
        <f t="shared" si="261"/>
        <v>56.33</v>
      </c>
      <c r="Q3358" s="12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>
        <f t="shared" si="261"/>
        <v>96.19</v>
      </c>
      <c r="Q3359" s="12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>
        <f t="shared" si="261"/>
        <v>63.57</v>
      </c>
      <c r="Q3360" s="12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>
        <f t="shared" si="261"/>
        <v>184.78</v>
      </c>
      <c r="Q3361" s="12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>
        <f t="shared" si="261"/>
        <v>126.72</v>
      </c>
      <c r="Q3362" s="12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>
        <f t="shared" si="261"/>
        <v>83.43</v>
      </c>
      <c r="Q3363" s="12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>
        <f t="shared" si="261"/>
        <v>54.5</v>
      </c>
      <c r="Q3364" s="12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>
        <f t="shared" si="261"/>
        <v>302.31</v>
      </c>
      <c r="Q3365" s="12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>
        <f t="shared" si="261"/>
        <v>44.14</v>
      </c>
      <c r="Q3366" s="12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>
        <f t="shared" si="261"/>
        <v>866.67</v>
      </c>
      <c r="Q3367" s="12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>
        <f t="shared" si="261"/>
        <v>61.39</v>
      </c>
      <c r="Q3368" s="12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>
        <f t="shared" si="261"/>
        <v>29.67</v>
      </c>
      <c r="Q3369" s="12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>
        <f t="shared" si="261"/>
        <v>45.48</v>
      </c>
      <c r="Q3370" s="12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>
        <f t="shared" si="261"/>
        <v>96.2</v>
      </c>
      <c r="Q3371" s="12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>
        <f t="shared" si="261"/>
        <v>67.92</v>
      </c>
      <c r="Q3372" s="12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>
        <f t="shared" si="261"/>
        <v>30.78</v>
      </c>
      <c r="Q3373" s="12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>
        <f t="shared" si="261"/>
        <v>38.33</v>
      </c>
      <c r="Q3374" s="12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>
        <f t="shared" si="261"/>
        <v>66.83</v>
      </c>
      <c r="Q3375" s="12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>
        <f t="shared" si="261"/>
        <v>71.73</v>
      </c>
      <c r="Q3376" s="12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>
        <f t="shared" si="261"/>
        <v>176.47</v>
      </c>
      <c r="Q3377" s="12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>
        <f t="shared" si="261"/>
        <v>421.11</v>
      </c>
      <c r="Q3378" s="12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>
        <f t="shared" si="261"/>
        <v>104.99</v>
      </c>
      <c r="Q3379" s="12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>
        <f t="shared" si="261"/>
        <v>28.19</v>
      </c>
      <c r="Q3380" s="12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>
        <f t="shared" si="261"/>
        <v>54.55</v>
      </c>
      <c r="Q3381" s="12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>
        <f t="shared" si="261"/>
        <v>111.89</v>
      </c>
      <c r="Q3382" s="12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>
        <f t="shared" si="261"/>
        <v>85.21</v>
      </c>
      <c r="Q3383" s="12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>
        <f t="shared" si="261"/>
        <v>76.650000000000006</v>
      </c>
      <c r="Q3384" s="12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>
        <f t="shared" si="261"/>
        <v>65.17</v>
      </c>
      <c r="Q3385" s="12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>
        <f t="shared" si="261"/>
        <v>93.76</v>
      </c>
      <c r="Q3386" s="12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>
        <f t="shared" si="261"/>
        <v>133.33000000000001</v>
      </c>
      <c r="Q3387" s="12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>
        <f t="shared" si="261"/>
        <v>51.22</v>
      </c>
      <c r="Q3388" s="12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>
        <f t="shared" si="261"/>
        <v>100.17</v>
      </c>
      <c r="Q3389" s="12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>
        <f t="shared" si="261"/>
        <v>34.6</v>
      </c>
      <c r="Q3390" s="12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>
        <f t="shared" si="261"/>
        <v>184.68</v>
      </c>
      <c r="Q3391" s="12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>
        <f t="shared" si="261"/>
        <v>69.819999999999993</v>
      </c>
      <c r="Q3392" s="12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>
        <f t="shared" si="261"/>
        <v>61.94</v>
      </c>
      <c r="Q3393" s="12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65">ROUND(E3394/D3394*100,0)</f>
        <v>100</v>
      </c>
      <c r="P3394">
        <f t="shared" si="261"/>
        <v>41.67</v>
      </c>
      <c r="Q3394" s="12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65"/>
        <v>106</v>
      </c>
      <c r="P3395">
        <f t="shared" ref="P3395:P3458" si="266">IFERROR(ROUND(E3395/L3395,2),0)</f>
        <v>36.07</v>
      </c>
      <c r="Q3395" s="12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>
        <f t="shared" si="266"/>
        <v>29</v>
      </c>
      <c r="Q3396" s="12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>
        <f t="shared" si="266"/>
        <v>24.21</v>
      </c>
      <c r="Q3397" s="12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>
        <f t="shared" si="266"/>
        <v>55.89</v>
      </c>
      <c r="Q3398" s="12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>
        <f t="shared" si="266"/>
        <v>11.67</v>
      </c>
      <c r="Q3399" s="12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>
        <f t="shared" si="266"/>
        <v>68.349999999999994</v>
      </c>
      <c r="Q3400" s="12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>
        <f t="shared" si="266"/>
        <v>27.07</v>
      </c>
      <c r="Q3401" s="12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>
        <f t="shared" si="266"/>
        <v>118.13</v>
      </c>
      <c r="Q3402" s="12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>
        <f t="shared" si="266"/>
        <v>44.76</v>
      </c>
      <c r="Q3403" s="12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>
        <f t="shared" si="266"/>
        <v>99.79</v>
      </c>
      <c r="Q3404" s="12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>
        <f t="shared" si="266"/>
        <v>117.65</v>
      </c>
      <c r="Q3405" s="12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>
        <f t="shared" si="266"/>
        <v>203.33</v>
      </c>
      <c r="Q3406" s="12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>
        <f t="shared" si="266"/>
        <v>28.32</v>
      </c>
      <c r="Q3407" s="12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>
        <f t="shared" si="266"/>
        <v>110.23</v>
      </c>
      <c r="Q3408" s="12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>
        <f t="shared" si="266"/>
        <v>31.97</v>
      </c>
      <c r="Q3409" s="12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>
        <f t="shared" si="266"/>
        <v>58.61</v>
      </c>
      <c r="Q3410" s="12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>
        <f t="shared" si="266"/>
        <v>29.43</v>
      </c>
      <c r="Q3411" s="12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>
        <f t="shared" si="266"/>
        <v>81.38</v>
      </c>
      <c r="Q3412" s="12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>
        <f t="shared" si="266"/>
        <v>199.17</v>
      </c>
      <c r="Q3413" s="12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>
        <f t="shared" si="266"/>
        <v>115.38</v>
      </c>
      <c r="Q3414" s="12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>
        <f t="shared" si="266"/>
        <v>46.43</v>
      </c>
      <c r="Q3415" s="12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>
        <f t="shared" si="266"/>
        <v>70.569999999999993</v>
      </c>
      <c r="Q3416" s="12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>
        <f t="shared" si="266"/>
        <v>22.22</v>
      </c>
      <c r="Q3417" s="12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>
        <f t="shared" si="266"/>
        <v>159.47</v>
      </c>
      <c r="Q3418" s="12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>
        <f t="shared" si="266"/>
        <v>37.78</v>
      </c>
      <c r="Q3419" s="12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>
        <f t="shared" si="266"/>
        <v>72.05</v>
      </c>
      <c r="Q3420" s="12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>
        <f t="shared" si="266"/>
        <v>63.7</v>
      </c>
      <c r="Q3421" s="12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>
        <f t="shared" si="266"/>
        <v>28.41</v>
      </c>
      <c r="Q3422" s="12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>
        <f t="shared" si="266"/>
        <v>103.21</v>
      </c>
      <c r="Q3423" s="12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>
        <f t="shared" si="266"/>
        <v>71.150000000000006</v>
      </c>
      <c r="Q3424" s="12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>
        <f t="shared" si="266"/>
        <v>35</v>
      </c>
      <c r="Q3425" s="12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>
        <f t="shared" si="266"/>
        <v>81.78</v>
      </c>
      <c r="Q3426" s="12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>
        <f t="shared" si="266"/>
        <v>297.02999999999997</v>
      </c>
      <c r="Q3427" s="12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>
        <f t="shared" si="266"/>
        <v>46.61</v>
      </c>
      <c r="Q3428" s="12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>
        <f t="shared" si="266"/>
        <v>51.72</v>
      </c>
      <c r="Q3429" s="12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>
        <f t="shared" si="266"/>
        <v>40.29</v>
      </c>
      <c r="Q3430" s="12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>
        <f t="shared" si="266"/>
        <v>16.25</v>
      </c>
      <c r="Q3431" s="12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>
        <f t="shared" si="266"/>
        <v>30.15</v>
      </c>
      <c r="Q3432" s="12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>
        <f t="shared" si="266"/>
        <v>95.24</v>
      </c>
      <c r="Q3433" s="12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>
        <f t="shared" si="266"/>
        <v>52.21</v>
      </c>
      <c r="Q3434" s="12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>
        <f t="shared" si="266"/>
        <v>134.15</v>
      </c>
      <c r="Q3435" s="12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>
        <f t="shared" si="266"/>
        <v>62.83</v>
      </c>
      <c r="Q3436" s="12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>
        <f t="shared" si="266"/>
        <v>58.95</v>
      </c>
      <c r="Q3437" s="12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>
        <f t="shared" si="266"/>
        <v>143.11000000000001</v>
      </c>
      <c r="Q3438" s="12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>
        <f t="shared" si="266"/>
        <v>84.17</v>
      </c>
      <c r="Q3439" s="12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>
        <f t="shared" si="266"/>
        <v>186.07</v>
      </c>
      <c r="Q3440" s="12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>
        <f t="shared" si="266"/>
        <v>89.79</v>
      </c>
      <c r="Q3441" s="12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>
        <f t="shared" si="266"/>
        <v>64.16</v>
      </c>
      <c r="Q3442" s="12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>
        <f t="shared" si="266"/>
        <v>59.65</v>
      </c>
      <c r="Q3443" s="12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>
        <f t="shared" si="266"/>
        <v>31.25</v>
      </c>
      <c r="Q3444" s="12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>
        <f t="shared" si="266"/>
        <v>41.22</v>
      </c>
      <c r="Q3445" s="12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>
        <f t="shared" si="266"/>
        <v>43.35</v>
      </c>
      <c r="Q3446" s="12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>
        <f t="shared" si="266"/>
        <v>64.52</v>
      </c>
      <c r="Q3447" s="12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>
        <f t="shared" si="266"/>
        <v>43.28</v>
      </c>
      <c r="Q3448" s="12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>
        <f t="shared" si="266"/>
        <v>77</v>
      </c>
      <c r="Q3449" s="12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>
        <f t="shared" si="266"/>
        <v>51.22</v>
      </c>
      <c r="Q3450" s="12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>
        <f t="shared" si="266"/>
        <v>68.25</v>
      </c>
      <c r="Q3451" s="12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>
        <f t="shared" si="266"/>
        <v>19.489999999999998</v>
      </c>
      <c r="Q3452" s="12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>
        <f t="shared" si="266"/>
        <v>41.13</v>
      </c>
      <c r="Q3453" s="12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>
        <f t="shared" si="266"/>
        <v>41.41</v>
      </c>
      <c r="Q3454" s="12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>
        <f t="shared" si="266"/>
        <v>27.5</v>
      </c>
      <c r="Q3455" s="12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>
        <f t="shared" si="266"/>
        <v>33.57</v>
      </c>
      <c r="Q3456" s="12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>
        <f t="shared" si="266"/>
        <v>145.87</v>
      </c>
      <c r="Q3457" s="12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0">ROUND(E3458/D3458*100,0)</f>
        <v>191</v>
      </c>
      <c r="P3458">
        <f t="shared" si="266"/>
        <v>358.69</v>
      </c>
      <c r="Q3458" s="12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0"/>
        <v>140</v>
      </c>
      <c r="P3459">
        <f t="shared" ref="P3459:P3522" si="271">IFERROR(ROUND(E3459/L3459,2),0)</f>
        <v>50.98</v>
      </c>
      <c r="Q3459" s="12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>
        <f t="shared" si="271"/>
        <v>45.04</v>
      </c>
      <c r="Q3460" s="12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>
        <f t="shared" si="271"/>
        <v>17.53</v>
      </c>
      <c r="Q3461" s="12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>
        <f t="shared" si="271"/>
        <v>50</v>
      </c>
      <c r="Q3462" s="12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>
        <f t="shared" si="271"/>
        <v>57.92</v>
      </c>
      <c r="Q3463" s="12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>
        <f t="shared" si="271"/>
        <v>29.71</v>
      </c>
      <c r="Q3464" s="12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>
        <f t="shared" si="271"/>
        <v>90.68</v>
      </c>
      <c r="Q3465" s="12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>
        <f t="shared" si="271"/>
        <v>55.01</v>
      </c>
      <c r="Q3466" s="12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>
        <f t="shared" si="271"/>
        <v>57.22</v>
      </c>
      <c r="Q3467" s="12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>
        <f t="shared" si="271"/>
        <v>72.95</v>
      </c>
      <c r="Q3468" s="12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>
        <f t="shared" si="271"/>
        <v>64.47</v>
      </c>
      <c r="Q3469" s="12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>
        <f t="shared" si="271"/>
        <v>716.35</v>
      </c>
      <c r="Q3470" s="12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>
        <f t="shared" si="271"/>
        <v>50.4</v>
      </c>
      <c r="Q3471" s="12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>
        <f t="shared" si="271"/>
        <v>41.67</v>
      </c>
      <c r="Q3472" s="12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>
        <f t="shared" si="271"/>
        <v>35.770000000000003</v>
      </c>
      <c r="Q3473" s="12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>
        <f t="shared" si="271"/>
        <v>88.74</v>
      </c>
      <c r="Q3474" s="12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>
        <f t="shared" si="271"/>
        <v>148.47999999999999</v>
      </c>
      <c r="Q3475" s="12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>
        <f t="shared" si="271"/>
        <v>51.79</v>
      </c>
      <c r="Q3476" s="12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>
        <f t="shared" si="271"/>
        <v>20</v>
      </c>
      <c r="Q3477" s="12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>
        <f t="shared" si="271"/>
        <v>52</v>
      </c>
      <c r="Q3478" s="12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>
        <f t="shared" si="271"/>
        <v>53.23</v>
      </c>
      <c r="Q3479" s="12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>
        <f t="shared" si="271"/>
        <v>39.6</v>
      </c>
      <c r="Q3480" s="12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>
        <f t="shared" si="271"/>
        <v>34.25</v>
      </c>
      <c r="Q3481" s="12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>
        <f t="shared" si="271"/>
        <v>164.62</v>
      </c>
      <c r="Q3482" s="12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>
        <f t="shared" si="271"/>
        <v>125.05</v>
      </c>
      <c r="Q3483" s="12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>
        <f t="shared" si="271"/>
        <v>51.88</v>
      </c>
      <c r="Q3484" s="12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>
        <f t="shared" si="271"/>
        <v>40.29</v>
      </c>
      <c r="Q3485" s="12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>
        <f t="shared" si="271"/>
        <v>64.91</v>
      </c>
      <c r="Q3486" s="12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>
        <f t="shared" si="271"/>
        <v>55.33</v>
      </c>
      <c r="Q3487" s="12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>
        <f t="shared" si="271"/>
        <v>83.14</v>
      </c>
      <c r="Q3488" s="12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>
        <f t="shared" si="271"/>
        <v>38.71</v>
      </c>
      <c r="Q3489" s="12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>
        <f t="shared" si="271"/>
        <v>125.38</v>
      </c>
      <c r="Q3490" s="12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>
        <f t="shared" si="271"/>
        <v>78.260000000000005</v>
      </c>
      <c r="Q3491" s="12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>
        <f t="shared" si="271"/>
        <v>47.22</v>
      </c>
      <c r="Q3492" s="12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>
        <f t="shared" si="271"/>
        <v>79.099999999999994</v>
      </c>
      <c r="Q3493" s="12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>
        <f t="shared" si="271"/>
        <v>114.29</v>
      </c>
      <c r="Q3494" s="12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>
        <f t="shared" si="271"/>
        <v>51.72</v>
      </c>
      <c r="Q3495" s="12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>
        <f t="shared" si="271"/>
        <v>30.77</v>
      </c>
      <c r="Q3496" s="12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>
        <f t="shared" si="271"/>
        <v>74.209999999999994</v>
      </c>
      <c r="Q3497" s="12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>
        <f t="shared" si="271"/>
        <v>47.85</v>
      </c>
      <c r="Q3498" s="12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>
        <f t="shared" si="271"/>
        <v>34.409999999999997</v>
      </c>
      <c r="Q3499" s="12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>
        <f t="shared" si="271"/>
        <v>40.24</v>
      </c>
      <c r="Q3500" s="12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>
        <f t="shared" si="271"/>
        <v>60.29</v>
      </c>
      <c r="Q3501" s="12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>
        <f t="shared" si="271"/>
        <v>25.31</v>
      </c>
      <c r="Q3502" s="12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>
        <f t="shared" si="271"/>
        <v>35.950000000000003</v>
      </c>
      <c r="Q3503" s="12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>
        <f t="shared" si="271"/>
        <v>136</v>
      </c>
      <c r="Q3504" s="12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>
        <f t="shared" si="271"/>
        <v>70.760000000000005</v>
      </c>
      <c r="Q3505" s="12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>
        <f t="shared" si="271"/>
        <v>125</v>
      </c>
      <c r="Q3506" s="12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>
        <f t="shared" si="271"/>
        <v>66.510000000000005</v>
      </c>
      <c r="Q3507" s="12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>
        <f t="shared" si="271"/>
        <v>105</v>
      </c>
      <c r="Q3508" s="12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>
        <f t="shared" si="271"/>
        <v>145</v>
      </c>
      <c r="Q3509" s="12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>
        <f t="shared" si="271"/>
        <v>12</v>
      </c>
      <c r="Q3510" s="12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>
        <f t="shared" si="271"/>
        <v>96.67</v>
      </c>
      <c r="Q3511" s="12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>
        <f t="shared" si="271"/>
        <v>60.33</v>
      </c>
      <c r="Q3512" s="12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>
        <f t="shared" si="271"/>
        <v>79.89</v>
      </c>
      <c r="Q3513" s="12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>
        <f t="shared" si="271"/>
        <v>58.82</v>
      </c>
      <c r="Q3514" s="12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>
        <f t="shared" si="271"/>
        <v>75.34</v>
      </c>
      <c r="Q3515" s="12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>
        <f t="shared" si="271"/>
        <v>55</v>
      </c>
      <c r="Q3516" s="12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>
        <f t="shared" si="271"/>
        <v>66.959999999999994</v>
      </c>
      <c r="Q3517" s="12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>
        <f t="shared" si="271"/>
        <v>227.27</v>
      </c>
      <c r="Q3518" s="12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>
        <f t="shared" si="271"/>
        <v>307.69</v>
      </c>
      <c r="Q3519" s="12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>
        <f t="shared" si="271"/>
        <v>50.02</v>
      </c>
      <c r="Q3520" s="12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>
        <f t="shared" si="271"/>
        <v>72.39</v>
      </c>
      <c r="Q3521" s="12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75">ROUND(E3522/D3522*100,0)</f>
        <v>101</v>
      </c>
      <c r="P3522">
        <f t="shared" si="271"/>
        <v>95.95</v>
      </c>
      <c r="Q3522" s="12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5"/>
        <v>169</v>
      </c>
      <c r="P3523">
        <f t="shared" ref="P3523:P3586" si="276">IFERROR(ROUND(E3523/L3523,2),0)</f>
        <v>45.62</v>
      </c>
      <c r="Q3523" s="12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>
        <f t="shared" si="276"/>
        <v>41.03</v>
      </c>
      <c r="Q3524" s="12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>
        <f t="shared" si="276"/>
        <v>56.83</v>
      </c>
      <c r="Q3525" s="12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>
        <f t="shared" si="276"/>
        <v>137.24</v>
      </c>
      <c r="Q3526" s="12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>
        <f t="shared" si="276"/>
        <v>75.709999999999994</v>
      </c>
      <c r="Q3527" s="12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>
        <f t="shared" si="276"/>
        <v>99</v>
      </c>
      <c r="Q3528" s="12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>
        <f t="shared" si="276"/>
        <v>81.569999999999993</v>
      </c>
      <c r="Q3529" s="12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>
        <f t="shared" si="276"/>
        <v>45.11</v>
      </c>
      <c r="Q3530" s="12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>
        <f t="shared" si="276"/>
        <v>36.67</v>
      </c>
      <c r="Q3531" s="12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>
        <f t="shared" si="276"/>
        <v>125</v>
      </c>
      <c r="Q3532" s="12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>
        <f t="shared" si="276"/>
        <v>49.23</v>
      </c>
      <c r="Q3533" s="12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>
        <f t="shared" si="276"/>
        <v>42.3</v>
      </c>
      <c r="Q3534" s="12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>
        <f t="shared" si="276"/>
        <v>78.88</v>
      </c>
      <c r="Q3535" s="12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>
        <f t="shared" si="276"/>
        <v>38.28</v>
      </c>
      <c r="Q3536" s="12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>
        <f t="shared" si="276"/>
        <v>44.85</v>
      </c>
      <c r="Q3537" s="12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>
        <f t="shared" si="276"/>
        <v>13.53</v>
      </c>
      <c r="Q3538" s="12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>
        <f t="shared" si="276"/>
        <v>43.5</v>
      </c>
      <c r="Q3539" s="12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>
        <f t="shared" si="276"/>
        <v>30.95</v>
      </c>
      <c r="Q3540" s="12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>
        <f t="shared" si="276"/>
        <v>55.23</v>
      </c>
      <c r="Q3541" s="12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>
        <f t="shared" si="276"/>
        <v>46.13</v>
      </c>
      <c r="Q3542" s="12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>
        <f t="shared" si="276"/>
        <v>39.380000000000003</v>
      </c>
      <c r="Q3543" s="12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>
        <f t="shared" si="276"/>
        <v>66.150000000000006</v>
      </c>
      <c r="Q3544" s="12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>
        <f t="shared" si="276"/>
        <v>54.14</v>
      </c>
      <c r="Q3545" s="12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>
        <f t="shared" si="276"/>
        <v>104.17</v>
      </c>
      <c r="Q3546" s="12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>
        <f t="shared" si="276"/>
        <v>31.38</v>
      </c>
      <c r="Q3547" s="12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>
        <f t="shared" si="276"/>
        <v>59.21</v>
      </c>
      <c r="Q3548" s="12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>
        <f t="shared" si="276"/>
        <v>119.18</v>
      </c>
      <c r="Q3549" s="12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>
        <f t="shared" si="276"/>
        <v>164.62</v>
      </c>
      <c r="Q3550" s="12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>
        <f t="shared" si="276"/>
        <v>24.29</v>
      </c>
      <c r="Q3551" s="12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>
        <f t="shared" si="276"/>
        <v>40.94</v>
      </c>
      <c r="Q3552" s="12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>
        <f t="shared" si="276"/>
        <v>61.1</v>
      </c>
      <c r="Q3553" s="12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>
        <f t="shared" si="276"/>
        <v>38.65</v>
      </c>
      <c r="Q3554" s="12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>
        <f t="shared" si="276"/>
        <v>56.2</v>
      </c>
      <c r="Q3555" s="12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>
        <f t="shared" si="276"/>
        <v>107</v>
      </c>
      <c r="Q3556" s="12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>
        <f t="shared" si="276"/>
        <v>171.43</v>
      </c>
      <c r="Q3557" s="12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>
        <f t="shared" si="276"/>
        <v>110.5</v>
      </c>
      <c r="Q3558" s="12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>
        <f t="shared" si="276"/>
        <v>179.28</v>
      </c>
      <c r="Q3559" s="12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>
        <f t="shared" si="276"/>
        <v>22.91</v>
      </c>
      <c r="Q3560" s="12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>
        <f t="shared" si="276"/>
        <v>43.13</v>
      </c>
      <c r="Q3561" s="12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>
        <f t="shared" si="276"/>
        <v>46.89</v>
      </c>
      <c r="Q3562" s="12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>
        <f t="shared" si="276"/>
        <v>47.41</v>
      </c>
      <c r="Q3563" s="12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>
        <f t="shared" si="276"/>
        <v>15.13</v>
      </c>
      <c r="Q3564" s="12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>
        <f t="shared" si="276"/>
        <v>21.1</v>
      </c>
      <c r="Q3565" s="12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>
        <f t="shared" si="276"/>
        <v>59.12</v>
      </c>
      <c r="Q3566" s="12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>
        <f t="shared" si="276"/>
        <v>97.92</v>
      </c>
      <c r="Q3567" s="12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>
        <f t="shared" si="276"/>
        <v>55.13</v>
      </c>
      <c r="Q3568" s="12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>
        <f t="shared" si="276"/>
        <v>26.54</v>
      </c>
      <c r="Q3569" s="12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>
        <f t="shared" si="276"/>
        <v>58.42</v>
      </c>
      <c r="Q3570" s="12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>
        <f t="shared" si="276"/>
        <v>122.54</v>
      </c>
      <c r="Q3571" s="12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>
        <f t="shared" si="276"/>
        <v>87.96</v>
      </c>
      <c r="Q3572" s="12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>
        <f t="shared" si="276"/>
        <v>73.239999999999995</v>
      </c>
      <c r="Q3573" s="12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>
        <f t="shared" si="276"/>
        <v>55.56</v>
      </c>
      <c r="Q3574" s="12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>
        <f t="shared" si="276"/>
        <v>39.54</v>
      </c>
      <c r="Q3575" s="12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>
        <f t="shared" si="276"/>
        <v>136.78</v>
      </c>
      <c r="Q3576" s="12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>
        <f t="shared" si="276"/>
        <v>99.34</v>
      </c>
      <c r="Q3577" s="12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>
        <f t="shared" si="276"/>
        <v>20</v>
      </c>
      <c r="Q3578" s="12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>
        <f t="shared" si="276"/>
        <v>28.89</v>
      </c>
      <c r="Q3579" s="12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>
        <f t="shared" si="276"/>
        <v>40.549999999999997</v>
      </c>
      <c r="Q3580" s="12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>
        <f t="shared" si="276"/>
        <v>35.71</v>
      </c>
      <c r="Q3581" s="12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>
        <f t="shared" si="276"/>
        <v>37.96</v>
      </c>
      <c r="Q3582" s="12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>
        <f t="shared" si="276"/>
        <v>33.33</v>
      </c>
      <c r="Q3583" s="12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>
        <f t="shared" si="276"/>
        <v>58.57</v>
      </c>
      <c r="Q3584" s="12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>
        <f t="shared" si="276"/>
        <v>135.63</v>
      </c>
      <c r="Q3585" s="12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0">ROUND(E3586/D3586*100,0)</f>
        <v>116</v>
      </c>
      <c r="P3586">
        <f t="shared" si="276"/>
        <v>30.94</v>
      </c>
      <c r="Q3586" s="12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0"/>
        <v>119</v>
      </c>
      <c r="P3587">
        <f t="shared" ref="P3587:P3650" si="281">IFERROR(ROUND(E3587/L3587,2),0)</f>
        <v>176.09</v>
      </c>
      <c r="Q3587" s="12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>
        <f t="shared" si="281"/>
        <v>151.97999999999999</v>
      </c>
      <c r="Q3588" s="12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>
        <f t="shared" si="281"/>
        <v>22.61</v>
      </c>
      <c r="Q3589" s="12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>
        <f t="shared" si="281"/>
        <v>18.27</v>
      </c>
      <c r="Q3590" s="12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>
        <f t="shared" si="281"/>
        <v>82.26</v>
      </c>
      <c r="Q3591" s="12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>
        <f t="shared" si="281"/>
        <v>68.53</v>
      </c>
      <c r="Q3592" s="12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>
        <f t="shared" si="281"/>
        <v>68.06</v>
      </c>
      <c r="Q3593" s="12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>
        <f t="shared" si="281"/>
        <v>72.709999999999994</v>
      </c>
      <c r="Q3594" s="12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>
        <f t="shared" si="281"/>
        <v>77.19</v>
      </c>
      <c r="Q3595" s="12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>
        <f t="shared" si="281"/>
        <v>55.97</v>
      </c>
      <c r="Q3596" s="12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>
        <f t="shared" si="281"/>
        <v>49.69</v>
      </c>
      <c r="Q3597" s="12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>
        <f t="shared" si="281"/>
        <v>79</v>
      </c>
      <c r="Q3598" s="12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>
        <f t="shared" si="281"/>
        <v>77.73</v>
      </c>
      <c r="Q3599" s="12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>
        <f t="shared" si="281"/>
        <v>40.78</v>
      </c>
      <c r="Q3600" s="12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>
        <f t="shared" si="281"/>
        <v>59.41</v>
      </c>
      <c r="Q3601" s="12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>
        <f t="shared" si="281"/>
        <v>3.25</v>
      </c>
      <c r="Q3602" s="12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>
        <f t="shared" si="281"/>
        <v>39.380000000000003</v>
      </c>
      <c r="Q3603" s="12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>
        <f t="shared" si="281"/>
        <v>81.67</v>
      </c>
      <c r="Q3604" s="12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>
        <f t="shared" si="281"/>
        <v>44.91</v>
      </c>
      <c r="Q3605" s="12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>
        <f t="shared" si="281"/>
        <v>49.06</v>
      </c>
      <c r="Q3606" s="12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>
        <f t="shared" si="281"/>
        <v>30.67</v>
      </c>
      <c r="Q3607" s="12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>
        <f t="shared" si="281"/>
        <v>61.06</v>
      </c>
      <c r="Q3608" s="12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>
        <f t="shared" si="281"/>
        <v>29</v>
      </c>
      <c r="Q3609" s="12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>
        <f t="shared" si="281"/>
        <v>29.63</v>
      </c>
      <c r="Q3610" s="12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>
        <f t="shared" si="281"/>
        <v>143.1</v>
      </c>
      <c r="Q3611" s="12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>
        <f t="shared" si="281"/>
        <v>52.35</v>
      </c>
      <c r="Q3612" s="12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>
        <f t="shared" si="281"/>
        <v>66.67</v>
      </c>
      <c r="Q3613" s="12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>
        <f t="shared" si="281"/>
        <v>126.67</v>
      </c>
      <c r="Q3614" s="12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>
        <f t="shared" si="281"/>
        <v>62.5</v>
      </c>
      <c r="Q3615" s="12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>
        <f t="shared" si="281"/>
        <v>35.49</v>
      </c>
      <c r="Q3616" s="12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>
        <f t="shared" si="281"/>
        <v>37.08</v>
      </c>
      <c r="Q3617" s="12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>
        <f t="shared" si="281"/>
        <v>69.33</v>
      </c>
      <c r="Q3618" s="12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>
        <f t="shared" si="281"/>
        <v>17.25</v>
      </c>
      <c r="Q3619" s="12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>
        <f t="shared" si="281"/>
        <v>36.07</v>
      </c>
      <c r="Q3620" s="12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>
        <f t="shared" si="281"/>
        <v>66.47</v>
      </c>
      <c r="Q3621" s="12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>
        <f t="shared" si="281"/>
        <v>56.07</v>
      </c>
      <c r="Q3622" s="12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>
        <f t="shared" si="281"/>
        <v>47.03</v>
      </c>
      <c r="Q3623" s="12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>
        <f t="shared" si="281"/>
        <v>47.67</v>
      </c>
      <c r="Q3624" s="12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>
        <f t="shared" si="281"/>
        <v>88.24</v>
      </c>
      <c r="Q3625" s="12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>
        <f t="shared" si="281"/>
        <v>80.72</v>
      </c>
      <c r="Q3626" s="12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>
        <f t="shared" si="281"/>
        <v>39.49</v>
      </c>
      <c r="Q3627" s="12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>
        <f t="shared" si="281"/>
        <v>84.85</v>
      </c>
      <c r="Q3628" s="12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>
        <f t="shared" si="281"/>
        <v>68.97</v>
      </c>
      <c r="Q3629" s="12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>
        <f t="shared" si="281"/>
        <v>0</v>
      </c>
      <c r="Q3630" s="12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>
        <f t="shared" si="281"/>
        <v>1</v>
      </c>
      <c r="Q3631" s="12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>
        <f t="shared" si="281"/>
        <v>1</v>
      </c>
      <c r="Q3632" s="12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>
        <f t="shared" si="281"/>
        <v>147.88</v>
      </c>
      <c r="Q3633" s="12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>
        <f t="shared" si="281"/>
        <v>100</v>
      </c>
      <c r="Q3634" s="12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>
        <f t="shared" si="281"/>
        <v>56.84</v>
      </c>
      <c r="Q3635" s="12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>
        <f t="shared" si="281"/>
        <v>176.94</v>
      </c>
      <c r="Q3636" s="12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>
        <f t="shared" si="281"/>
        <v>127.6</v>
      </c>
      <c r="Q3637" s="12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>
        <f t="shared" si="281"/>
        <v>0</v>
      </c>
      <c r="Q3638" s="12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>
        <f t="shared" si="281"/>
        <v>66.14</v>
      </c>
      <c r="Q3639" s="12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>
        <f t="shared" si="281"/>
        <v>108</v>
      </c>
      <c r="Q3640" s="12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>
        <f t="shared" si="281"/>
        <v>1</v>
      </c>
      <c r="Q3641" s="12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>
        <f t="shared" si="281"/>
        <v>18.329999999999998</v>
      </c>
      <c r="Q3642" s="12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>
        <f t="shared" si="281"/>
        <v>0</v>
      </c>
      <c r="Q3643" s="12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>
        <f t="shared" si="281"/>
        <v>7.5</v>
      </c>
      <c r="Q3644" s="12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>
        <f t="shared" si="281"/>
        <v>0</v>
      </c>
      <c r="Q3645" s="12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>
        <f t="shared" si="281"/>
        <v>68.42</v>
      </c>
      <c r="Q3646" s="12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>
        <f t="shared" si="281"/>
        <v>1</v>
      </c>
      <c r="Q3647" s="12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>
        <f t="shared" si="281"/>
        <v>60.13</v>
      </c>
      <c r="Q3648" s="12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>
        <f t="shared" si="281"/>
        <v>15</v>
      </c>
      <c r="Q3649" s="12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85">ROUND(E3650/D3650*100,0)</f>
        <v>100</v>
      </c>
      <c r="P3650">
        <f t="shared" si="281"/>
        <v>550.04</v>
      </c>
      <c r="Q3650" s="12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85"/>
        <v>104</v>
      </c>
      <c r="P3651">
        <f t="shared" ref="P3651:P3714" si="286">IFERROR(ROUND(E3651/L3651,2),0)</f>
        <v>97.5</v>
      </c>
      <c r="Q3651" s="12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>
        <f t="shared" si="286"/>
        <v>29.41</v>
      </c>
      <c r="Q3652" s="12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>
        <f t="shared" si="286"/>
        <v>57.78</v>
      </c>
      <c r="Q3653" s="12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>
        <f t="shared" si="286"/>
        <v>44.24</v>
      </c>
      <c r="Q3654" s="12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>
        <f t="shared" si="286"/>
        <v>60.91</v>
      </c>
      <c r="Q3655" s="12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>
        <f t="shared" si="286"/>
        <v>68.84</v>
      </c>
      <c r="Q3656" s="12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>
        <f t="shared" si="286"/>
        <v>73.58</v>
      </c>
      <c r="Q3657" s="12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>
        <f t="shared" si="286"/>
        <v>115.02</v>
      </c>
      <c r="Q3658" s="12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>
        <f t="shared" si="286"/>
        <v>110.75</v>
      </c>
      <c r="Q3659" s="12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>
        <f t="shared" si="286"/>
        <v>75.5</v>
      </c>
      <c r="Q3660" s="12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>
        <f t="shared" si="286"/>
        <v>235.46</v>
      </c>
      <c r="Q3661" s="12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>
        <f t="shared" si="286"/>
        <v>11.36</v>
      </c>
      <c r="Q3662" s="12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>
        <f t="shared" si="286"/>
        <v>92.5</v>
      </c>
      <c r="Q3663" s="12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>
        <f t="shared" si="286"/>
        <v>202.85</v>
      </c>
      <c r="Q3664" s="12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>
        <f t="shared" si="286"/>
        <v>26</v>
      </c>
      <c r="Q3665" s="12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>
        <f t="shared" si="286"/>
        <v>46.05</v>
      </c>
      <c r="Q3666" s="12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>
        <f t="shared" si="286"/>
        <v>51</v>
      </c>
      <c r="Q3667" s="12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>
        <f t="shared" si="286"/>
        <v>31.58</v>
      </c>
      <c r="Q3668" s="12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>
        <f t="shared" si="286"/>
        <v>53.36</v>
      </c>
      <c r="Q3669" s="12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>
        <f t="shared" si="286"/>
        <v>36.96</v>
      </c>
      <c r="Q3670" s="12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>
        <f t="shared" si="286"/>
        <v>81.290000000000006</v>
      </c>
      <c r="Q3671" s="12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>
        <f t="shared" si="286"/>
        <v>20.079999999999998</v>
      </c>
      <c r="Q3672" s="12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>
        <f t="shared" si="286"/>
        <v>88.25</v>
      </c>
      <c r="Q3673" s="12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>
        <f t="shared" si="286"/>
        <v>53.44</v>
      </c>
      <c r="Q3674" s="12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>
        <f t="shared" si="286"/>
        <v>39.869999999999997</v>
      </c>
      <c r="Q3675" s="12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>
        <f t="shared" si="286"/>
        <v>145.16</v>
      </c>
      <c r="Q3676" s="12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>
        <f t="shared" si="286"/>
        <v>23.33</v>
      </c>
      <c r="Q3677" s="12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>
        <f t="shared" si="286"/>
        <v>64.38</v>
      </c>
      <c r="Q3678" s="12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>
        <f t="shared" si="286"/>
        <v>62.05</v>
      </c>
      <c r="Q3679" s="12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>
        <f t="shared" si="286"/>
        <v>66.13</v>
      </c>
      <c r="Q3680" s="12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>
        <f t="shared" si="286"/>
        <v>73.400000000000006</v>
      </c>
      <c r="Q3681" s="12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>
        <f t="shared" si="286"/>
        <v>99.5</v>
      </c>
      <c r="Q3682" s="12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>
        <f t="shared" si="286"/>
        <v>62.17</v>
      </c>
      <c r="Q3683" s="12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>
        <f t="shared" si="286"/>
        <v>62.33</v>
      </c>
      <c r="Q3684" s="12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>
        <f t="shared" si="286"/>
        <v>58.79</v>
      </c>
      <c r="Q3685" s="12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>
        <f t="shared" si="286"/>
        <v>45.35</v>
      </c>
      <c r="Q3686" s="12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>
        <f t="shared" si="286"/>
        <v>41.94</v>
      </c>
      <c r="Q3687" s="12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>
        <f t="shared" si="286"/>
        <v>59.17</v>
      </c>
      <c r="Q3688" s="12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>
        <f t="shared" si="286"/>
        <v>200.49</v>
      </c>
      <c r="Q3689" s="12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>
        <f t="shared" si="286"/>
        <v>83.97</v>
      </c>
      <c r="Q3690" s="12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>
        <f t="shared" si="286"/>
        <v>57.26</v>
      </c>
      <c r="Q3691" s="12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>
        <f t="shared" si="286"/>
        <v>58.06</v>
      </c>
      <c r="Q3692" s="12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>
        <f t="shared" si="286"/>
        <v>186.8</v>
      </c>
      <c r="Q3693" s="12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>
        <f t="shared" si="286"/>
        <v>74.12</v>
      </c>
      <c r="Q3694" s="12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>
        <f t="shared" si="286"/>
        <v>30.71</v>
      </c>
      <c r="Q3695" s="12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>
        <f t="shared" si="286"/>
        <v>62.67</v>
      </c>
      <c r="Q3696" s="12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>
        <f t="shared" si="286"/>
        <v>121.36</v>
      </c>
      <c r="Q3697" s="12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>
        <f t="shared" si="286"/>
        <v>39.74</v>
      </c>
      <c r="Q3698" s="12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>
        <f t="shared" si="286"/>
        <v>72</v>
      </c>
      <c r="Q3699" s="12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>
        <f t="shared" si="286"/>
        <v>40.630000000000003</v>
      </c>
      <c r="Q3700" s="12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>
        <f t="shared" si="286"/>
        <v>63</v>
      </c>
      <c r="Q3701" s="12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>
        <f t="shared" si="286"/>
        <v>33.67</v>
      </c>
      <c r="Q3702" s="12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>
        <f t="shared" si="286"/>
        <v>38.590000000000003</v>
      </c>
      <c r="Q3703" s="12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>
        <f t="shared" si="286"/>
        <v>155.94999999999999</v>
      </c>
      <c r="Q3704" s="12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>
        <f t="shared" si="286"/>
        <v>43.2</v>
      </c>
      <c r="Q3705" s="12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>
        <f t="shared" si="286"/>
        <v>15.15</v>
      </c>
      <c r="Q3706" s="12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>
        <f t="shared" si="286"/>
        <v>83.57</v>
      </c>
      <c r="Q3707" s="12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>
        <f t="shared" si="286"/>
        <v>140</v>
      </c>
      <c r="Q3708" s="12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>
        <f t="shared" si="286"/>
        <v>80.87</v>
      </c>
      <c r="Q3709" s="12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>
        <f t="shared" si="286"/>
        <v>53.85</v>
      </c>
      <c r="Q3710" s="12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>
        <f t="shared" si="286"/>
        <v>30.93</v>
      </c>
      <c r="Q3711" s="12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>
        <f t="shared" si="286"/>
        <v>67.959999999999994</v>
      </c>
      <c r="Q3712" s="12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>
        <f t="shared" si="286"/>
        <v>27.14</v>
      </c>
      <c r="Q3713" s="12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90">ROUND(E3714/D3714*100,0)</f>
        <v>154</v>
      </c>
      <c r="P3714">
        <f t="shared" si="286"/>
        <v>110.87</v>
      </c>
      <c r="Q3714" s="12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0"/>
        <v>102</v>
      </c>
      <c r="P3715">
        <f t="shared" ref="P3715:P3778" si="291">IFERROR(ROUND(E3715/L3715,2),0)</f>
        <v>106.84</v>
      </c>
      <c r="Q3715" s="12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>
        <f t="shared" si="291"/>
        <v>105.52</v>
      </c>
      <c r="Q3716" s="12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>
        <f t="shared" si="291"/>
        <v>132.96</v>
      </c>
      <c r="Q3717" s="12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>
        <f t="shared" si="291"/>
        <v>51.92</v>
      </c>
      <c r="Q3718" s="12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>
        <f t="shared" si="291"/>
        <v>310</v>
      </c>
      <c r="Q3719" s="12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>
        <f t="shared" si="291"/>
        <v>26.02</v>
      </c>
      <c r="Q3720" s="12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>
        <f t="shared" si="291"/>
        <v>105</v>
      </c>
      <c r="Q3721" s="12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>
        <f t="shared" si="291"/>
        <v>86.23</v>
      </c>
      <c r="Q3722" s="12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>
        <f t="shared" si="291"/>
        <v>114.55</v>
      </c>
      <c r="Q3723" s="12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>
        <f t="shared" si="291"/>
        <v>47.66</v>
      </c>
      <c r="Q3724" s="12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>
        <f t="shared" si="291"/>
        <v>72.89</v>
      </c>
      <c r="Q3725" s="12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>
        <f t="shared" si="291"/>
        <v>49.55</v>
      </c>
      <c r="Q3726" s="12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>
        <f t="shared" si="291"/>
        <v>25.4</v>
      </c>
      <c r="Q3727" s="12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>
        <f t="shared" si="291"/>
        <v>62.59</v>
      </c>
      <c r="Q3728" s="12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>
        <f t="shared" si="291"/>
        <v>61.06</v>
      </c>
      <c r="Q3729" s="12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>
        <f t="shared" si="291"/>
        <v>60.06</v>
      </c>
      <c r="Q3730" s="12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>
        <f t="shared" si="291"/>
        <v>72.400000000000006</v>
      </c>
      <c r="Q3731" s="12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>
        <f t="shared" si="291"/>
        <v>100</v>
      </c>
      <c r="Q3732" s="12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>
        <f t="shared" si="291"/>
        <v>51.67</v>
      </c>
      <c r="Q3733" s="12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>
        <f t="shared" si="291"/>
        <v>32.75</v>
      </c>
      <c r="Q3734" s="12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>
        <f t="shared" si="291"/>
        <v>0</v>
      </c>
      <c r="Q3735" s="12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>
        <f t="shared" si="291"/>
        <v>61</v>
      </c>
      <c r="Q3736" s="12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>
        <f t="shared" si="291"/>
        <v>10</v>
      </c>
      <c r="Q3737" s="12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>
        <f t="shared" si="291"/>
        <v>10</v>
      </c>
      <c r="Q3738" s="12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>
        <f t="shared" si="291"/>
        <v>37.5</v>
      </c>
      <c r="Q3739" s="12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>
        <f t="shared" si="291"/>
        <v>45</v>
      </c>
      <c r="Q3740" s="12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>
        <f t="shared" si="291"/>
        <v>100.63</v>
      </c>
      <c r="Q3741" s="12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>
        <f t="shared" si="291"/>
        <v>25.57</v>
      </c>
      <c r="Q3742" s="12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>
        <f t="shared" si="291"/>
        <v>0</v>
      </c>
      <c r="Q3743" s="12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>
        <f t="shared" si="291"/>
        <v>25</v>
      </c>
      <c r="Q3744" s="12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>
        <f t="shared" si="291"/>
        <v>0</v>
      </c>
      <c r="Q3745" s="12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>
        <f t="shared" si="291"/>
        <v>0</v>
      </c>
      <c r="Q3746" s="12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>
        <f t="shared" si="291"/>
        <v>10</v>
      </c>
      <c r="Q3747" s="12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>
        <f t="shared" si="291"/>
        <v>202</v>
      </c>
      <c r="Q3748" s="12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>
        <f t="shared" si="291"/>
        <v>25</v>
      </c>
      <c r="Q3749" s="12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>
        <f t="shared" si="291"/>
        <v>99.54</v>
      </c>
      <c r="Q3750" s="12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>
        <f t="shared" si="291"/>
        <v>75</v>
      </c>
      <c r="Q3751" s="12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>
        <f t="shared" si="291"/>
        <v>215.25</v>
      </c>
      <c r="Q3752" s="12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>
        <f t="shared" si="291"/>
        <v>120.55</v>
      </c>
      <c r="Q3753" s="12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>
        <f t="shared" si="291"/>
        <v>37.67</v>
      </c>
      <c r="Q3754" s="12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>
        <f t="shared" si="291"/>
        <v>172.23</v>
      </c>
      <c r="Q3755" s="12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>
        <f t="shared" si="291"/>
        <v>111.11</v>
      </c>
      <c r="Q3756" s="12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>
        <f t="shared" si="291"/>
        <v>25.46</v>
      </c>
      <c r="Q3757" s="12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>
        <f t="shared" si="291"/>
        <v>267.64999999999998</v>
      </c>
      <c r="Q3758" s="12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>
        <f t="shared" si="291"/>
        <v>75.959999999999994</v>
      </c>
      <c r="Q3759" s="12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>
        <f t="shared" si="291"/>
        <v>59.04</v>
      </c>
      <c r="Q3760" s="12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>
        <f t="shared" si="291"/>
        <v>50.11</v>
      </c>
      <c r="Q3761" s="12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>
        <f t="shared" si="291"/>
        <v>55.5</v>
      </c>
      <c r="Q3762" s="12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>
        <f t="shared" si="291"/>
        <v>166.67</v>
      </c>
      <c r="Q3763" s="12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>
        <f t="shared" si="291"/>
        <v>47.43</v>
      </c>
      <c r="Q3764" s="12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>
        <f t="shared" si="291"/>
        <v>64.94</v>
      </c>
      <c r="Q3765" s="12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>
        <f t="shared" si="291"/>
        <v>55.56</v>
      </c>
      <c r="Q3766" s="12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>
        <f t="shared" si="291"/>
        <v>74.22</v>
      </c>
      <c r="Q3767" s="12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>
        <f t="shared" si="291"/>
        <v>106.93</v>
      </c>
      <c r="Q3768" s="12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>
        <f t="shared" si="291"/>
        <v>41.7</v>
      </c>
      <c r="Q3769" s="12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>
        <f t="shared" si="291"/>
        <v>74.239999999999995</v>
      </c>
      <c r="Q3770" s="12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>
        <f t="shared" si="291"/>
        <v>73.33</v>
      </c>
      <c r="Q3771" s="12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>
        <f t="shared" si="291"/>
        <v>100</v>
      </c>
      <c r="Q3772" s="12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>
        <f t="shared" si="291"/>
        <v>38.42</v>
      </c>
      <c r="Q3773" s="12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>
        <f t="shared" si="291"/>
        <v>166.97</v>
      </c>
      <c r="Q3774" s="12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>
        <f t="shared" si="291"/>
        <v>94.91</v>
      </c>
      <c r="Q3775" s="12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>
        <f t="shared" si="291"/>
        <v>100</v>
      </c>
      <c r="Q3776" s="12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>
        <f t="shared" si="291"/>
        <v>143.21</v>
      </c>
      <c r="Q3777" s="12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95">ROUND(E3778/D3778*100,0)</f>
        <v>107</v>
      </c>
      <c r="P3778">
        <f t="shared" si="291"/>
        <v>90.82</v>
      </c>
      <c r="Q3778" s="12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5"/>
        <v>143</v>
      </c>
      <c r="P3779">
        <f t="shared" ref="P3779:P3842" si="296">IFERROR(ROUND(E3779/L3779,2),0)</f>
        <v>48.54</v>
      </c>
      <c r="Q3779" s="12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>
        <f t="shared" si="296"/>
        <v>70.03</v>
      </c>
      <c r="Q3780" s="12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>
        <f t="shared" si="296"/>
        <v>135.63</v>
      </c>
      <c r="Q3781" s="12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>
        <f t="shared" si="296"/>
        <v>100</v>
      </c>
      <c r="Q3782" s="12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>
        <f t="shared" si="296"/>
        <v>94.9</v>
      </c>
      <c r="Q3783" s="12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>
        <f t="shared" si="296"/>
        <v>75.37</v>
      </c>
      <c r="Q3784" s="12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>
        <f t="shared" si="296"/>
        <v>64.459999999999994</v>
      </c>
      <c r="Q3785" s="12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>
        <f t="shared" si="296"/>
        <v>115</v>
      </c>
      <c r="Q3786" s="12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>
        <f t="shared" si="296"/>
        <v>100.5</v>
      </c>
      <c r="Q3787" s="12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>
        <f t="shared" si="296"/>
        <v>93.77</v>
      </c>
      <c r="Q3788" s="12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>
        <f t="shared" si="296"/>
        <v>35.1</v>
      </c>
      <c r="Q3789" s="12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>
        <f t="shared" si="296"/>
        <v>500</v>
      </c>
      <c r="Q3790" s="12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>
        <f t="shared" si="296"/>
        <v>29</v>
      </c>
      <c r="Q3791" s="12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>
        <f t="shared" si="296"/>
        <v>0</v>
      </c>
      <c r="Q3792" s="12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>
        <f t="shared" si="296"/>
        <v>0</v>
      </c>
      <c r="Q3793" s="12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>
        <f t="shared" si="296"/>
        <v>17.5</v>
      </c>
      <c r="Q3794" s="12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>
        <f t="shared" si="296"/>
        <v>174</v>
      </c>
      <c r="Q3795" s="12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>
        <f t="shared" si="296"/>
        <v>50</v>
      </c>
      <c r="Q3796" s="12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>
        <f t="shared" si="296"/>
        <v>5</v>
      </c>
      <c r="Q3797" s="12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>
        <f t="shared" si="296"/>
        <v>1</v>
      </c>
      <c r="Q3798" s="12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>
        <f t="shared" si="296"/>
        <v>145.41</v>
      </c>
      <c r="Q3799" s="12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>
        <f t="shared" si="296"/>
        <v>205</v>
      </c>
      <c r="Q3800" s="12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>
        <f t="shared" si="296"/>
        <v>100.5</v>
      </c>
      <c r="Q3801" s="12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>
        <f t="shared" si="296"/>
        <v>55.06</v>
      </c>
      <c r="Q3802" s="12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>
        <f t="shared" si="296"/>
        <v>47.33</v>
      </c>
      <c r="Q3803" s="12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>
        <f t="shared" si="296"/>
        <v>0</v>
      </c>
      <c r="Q3804" s="12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>
        <f t="shared" si="296"/>
        <v>58.95</v>
      </c>
      <c r="Q3805" s="12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>
        <f t="shared" si="296"/>
        <v>0</v>
      </c>
      <c r="Q3806" s="12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>
        <f t="shared" si="296"/>
        <v>1.5</v>
      </c>
      <c r="Q3807" s="12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>
        <f t="shared" si="296"/>
        <v>5</v>
      </c>
      <c r="Q3808" s="12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>
        <f t="shared" si="296"/>
        <v>50.56</v>
      </c>
      <c r="Q3809" s="12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>
        <f t="shared" si="296"/>
        <v>41.67</v>
      </c>
      <c r="Q3810" s="12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>
        <f t="shared" si="296"/>
        <v>53.29</v>
      </c>
      <c r="Q3811" s="12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>
        <f t="shared" si="296"/>
        <v>70.23</v>
      </c>
      <c r="Q3812" s="12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>
        <f t="shared" si="296"/>
        <v>43.42</v>
      </c>
      <c r="Q3813" s="12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>
        <f t="shared" si="296"/>
        <v>199.18</v>
      </c>
      <c r="Q3814" s="12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>
        <f t="shared" si="296"/>
        <v>78.52</v>
      </c>
      <c r="Q3815" s="12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>
        <f t="shared" si="296"/>
        <v>61.82</v>
      </c>
      <c r="Q3816" s="12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>
        <f t="shared" si="296"/>
        <v>50</v>
      </c>
      <c r="Q3817" s="12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>
        <f t="shared" si="296"/>
        <v>48.34</v>
      </c>
      <c r="Q3818" s="12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>
        <f t="shared" si="296"/>
        <v>107.25</v>
      </c>
      <c r="Q3819" s="12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>
        <f t="shared" si="296"/>
        <v>57</v>
      </c>
      <c r="Q3820" s="12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>
        <f t="shared" si="296"/>
        <v>40.92</v>
      </c>
      <c r="Q3821" s="12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>
        <f t="shared" si="296"/>
        <v>21.5</v>
      </c>
      <c r="Q3822" s="12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>
        <f t="shared" si="296"/>
        <v>79.540000000000006</v>
      </c>
      <c r="Q3823" s="12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>
        <f t="shared" si="296"/>
        <v>72.38</v>
      </c>
      <c r="Q3824" s="12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>
        <f t="shared" si="296"/>
        <v>64.63</v>
      </c>
      <c r="Q3825" s="12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>
        <f t="shared" si="296"/>
        <v>38.57</v>
      </c>
      <c r="Q3826" s="12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>
        <f t="shared" si="296"/>
        <v>107.57</v>
      </c>
      <c r="Q3827" s="12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>
        <f t="shared" si="296"/>
        <v>27.5</v>
      </c>
      <c r="Q3828" s="12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>
        <f t="shared" si="296"/>
        <v>70.459999999999994</v>
      </c>
      <c r="Q3829" s="12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>
        <f t="shared" si="296"/>
        <v>178.57</v>
      </c>
      <c r="Q3830" s="12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>
        <f t="shared" si="296"/>
        <v>62.63</v>
      </c>
      <c r="Q3831" s="12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>
        <f t="shared" si="296"/>
        <v>75</v>
      </c>
      <c r="Q3832" s="12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>
        <f t="shared" si="296"/>
        <v>58.9</v>
      </c>
      <c r="Q3833" s="12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>
        <f t="shared" si="296"/>
        <v>139.56</v>
      </c>
      <c r="Q3834" s="12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>
        <f t="shared" si="296"/>
        <v>70</v>
      </c>
      <c r="Q3835" s="12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>
        <f t="shared" si="296"/>
        <v>57.39</v>
      </c>
      <c r="Q3836" s="12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>
        <f t="shared" si="296"/>
        <v>40</v>
      </c>
      <c r="Q3837" s="12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>
        <f t="shared" si="296"/>
        <v>64.290000000000006</v>
      </c>
      <c r="Q3838" s="12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>
        <f t="shared" si="296"/>
        <v>120.12</v>
      </c>
      <c r="Q3839" s="12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>
        <f t="shared" si="296"/>
        <v>1008.24</v>
      </c>
      <c r="Q3840" s="12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>
        <f t="shared" si="296"/>
        <v>63.28</v>
      </c>
      <c r="Q3841" s="12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0">ROUND(E3842/D3842*100,0)</f>
        <v>6500</v>
      </c>
      <c r="P3842">
        <f t="shared" si="296"/>
        <v>21.67</v>
      </c>
      <c r="Q3842" s="12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0"/>
        <v>9</v>
      </c>
      <c r="P3843">
        <f t="shared" ref="P3843:P3906" si="301">IFERROR(ROUND(E3843/L3843,2),0)</f>
        <v>25.65</v>
      </c>
      <c r="Q3843" s="12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>
        <f t="shared" si="301"/>
        <v>47.7</v>
      </c>
      <c r="Q3844" s="12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>
        <f t="shared" si="301"/>
        <v>56.05</v>
      </c>
      <c r="Q3845" s="12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>
        <f t="shared" si="301"/>
        <v>81.319999999999993</v>
      </c>
      <c r="Q3846" s="12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>
        <f t="shared" si="301"/>
        <v>70.17</v>
      </c>
      <c r="Q3847" s="12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>
        <f t="shared" si="301"/>
        <v>23.63</v>
      </c>
      <c r="Q3848" s="12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>
        <f t="shared" si="301"/>
        <v>188.56</v>
      </c>
      <c r="Q3849" s="12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>
        <f t="shared" si="301"/>
        <v>49.51</v>
      </c>
      <c r="Q3850" s="12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>
        <f t="shared" si="301"/>
        <v>75.459999999999994</v>
      </c>
      <c r="Q3851" s="12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>
        <f t="shared" si="301"/>
        <v>9.5</v>
      </c>
      <c r="Q3852" s="12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>
        <f t="shared" si="301"/>
        <v>35.5</v>
      </c>
      <c r="Q3853" s="12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>
        <f t="shared" si="301"/>
        <v>10</v>
      </c>
      <c r="Q3854" s="12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>
        <f t="shared" si="301"/>
        <v>13</v>
      </c>
      <c r="Q3855" s="12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>
        <f t="shared" si="301"/>
        <v>89.4</v>
      </c>
      <c r="Q3856" s="12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>
        <f t="shared" si="301"/>
        <v>25</v>
      </c>
      <c r="Q3857" s="12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>
        <f t="shared" si="301"/>
        <v>1</v>
      </c>
      <c r="Q3858" s="12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>
        <f t="shared" si="301"/>
        <v>65</v>
      </c>
      <c r="Q3859" s="12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>
        <f t="shared" si="301"/>
        <v>10</v>
      </c>
      <c r="Q3860" s="12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>
        <f t="shared" si="301"/>
        <v>1</v>
      </c>
      <c r="Q3861" s="12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>
        <f t="shared" si="301"/>
        <v>81.540000000000006</v>
      </c>
      <c r="Q3862" s="12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>
        <f t="shared" si="301"/>
        <v>100</v>
      </c>
      <c r="Q3863" s="12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>
        <f t="shared" si="301"/>
        <v>1</v>
      </c>
      <c r="Q3864" s="12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>
        <f t="shared" si="301"/>
        <v>0</v>
      </c>
      <c r="Q3865" s="12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>
        <f t="shared" si="301"/>
        <v>20</v>
      </c>
      <c r="Q3866" s="12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>
        <f t="shared" si="301"/>
        <v>46.43</v>
      </c>
      <c r="Q3867" s="12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>
        <f t="shared" si="301"/>
        <v>5.5</v>
      </c>
      <c r="Q3868" s="12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>
        <f t="shared" si="301"/>
        <v>50.2</v>
      </c>
      <c r="Q3869" s="12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>
        <f t="shared" si="301"/>
        <v>10</v>
      </c>
      <c r="Q3870" s="12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>
        <f t="shared" si="301"/>
        <v>30.13</v>
      </c>
      <c r="Q3871" s="12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>
        <f t="shared" si="301"/>
        <v>150</v>
      </c>
      <c r="Q3872" s="12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>
        <f t="shared" si="301"/>
        <v>13.33</v>
      </c>
      <c r="Q3873" s="12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>
        <f t="shared" si="301"/>
        <v>0</v>
      </c>
      <c r="Q3874" s="12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>
        <f t="shared" si="301"/>
        <v>0</v>
      </c>
      <c r="Q3875" s="12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>
        <f t="shared" si="301"/>
        <v>0</v>
      </c>
      <c r="Q3876" s="12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>
        <f t="shared" si="301"/>
        <v>0</v>
      </c>
      <c r="Q3877" s="12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>
        <f t="shared" si="301"/>
        <v>44.76</v>
      </c>
      <c r="Q3878" s="12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>
        <f t="shared" si="301"/>
        <v>88.64</v>
      </c>
      <c r="Q3879" s="12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>
        <f t="shared" si="301"/>
        <v>10</v>
      </c>
      <c r="Q3880" s="12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>
        <f t="shared" si="301"/>
        <v>0</v>
      </c>
      <c r="Q3881" s="12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>
        <f t="shared" si="301"/>
        <v>57.65</v>
      </c>
      <c r="Q3882" s="12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>
        <f t="shared" si="301"/>
        <v>25</v>
      </c>
      <c r="Q3883" s="12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>
        <f t="shared" si="301"/>
        <v>0</v>
      </c>
      <c r="Q3884" s="12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>
        <f t="shared" si="301"/>
        <v>0</v>
      </c>
      <c r="Q3885" s="12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>
        <f t="shared" si="301"/>
        <v>0</v>
      </c>
      <c r="Q3886" s="12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>
        <f t="shared" si="301"/>
        <v>0</v>
      </c>
      <c r="Q3887" s="12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>
        <f t="shared" si="301"/>
        <v>0</v>
      </c>
      <c r="Q3888" s="12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>
        <f t="shared" si="301"/>
        <v>17.5</v>
      </c>
      <c r="Q3889" s="12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>
        <f t="shared" si="301"/>
        <v>38.71</v>
      </c>
      <c r="Q3890" s="12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>
        <f t="shared" si="301"/>
        <v>13.11</v>
      </c>
      <c r="Q3891" s="12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>
        <f t="shared" si="301"/>
        <v>315.5</v>
      </c>
      <c r="Q3892" s="12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>
        <f t="shared" si="301"/>
        <v>37.14</v>
      </c>
      <c r="Q3893" s="12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>
        <f t="shared" si="301"/>
        <v>0</v>
      </c>
      <c r="Q3894" s="12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>
        <f t="shared" si="301"/>
        <v>128.27000000000001</v>
      </c>
      <c r="Q3895" s="12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>
        <f t="shared" si="301"/>
        <v>47.27</v>
      </c>
      <c r="Q3896" s="12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>
        <f t="shared" si="301"/>
        <v>50</v>
      </c>
      <c r="Q3897" s="12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>
        <f t="shared" si="301"/>
        <v>42.5</v>
      </c>
      <c r="Q3898" s="12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>
        <f t="shared" si="301"/>
        <v>44</v>
      </c>
      <c r="Q3899" s="12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>
        <f t="shared" si="301"/>
        <v>50.88</v>
      </c>
      <c r="Q3900" s="12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>
        <f t="shared" si="301"/>
        <v>62.5</v>
      </c>
      <c r="Q3901" s="12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>
        <f t="shared" si="301"/>
        <v>27</v>
      </c>
      <c r="Q3902" s="12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>
        <f t="shared" si="301"/>
        <v>25</v>
      </c>
      <c r="Q3903" s="12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>
        <f t="shared" si="301"/>
        <v>47.26</v>
      </c>
      <c r="Q3904" s="12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>
        <f t="shared" si="301"/>
        <v>0</v>
      </c>
      <c r="Q3905" s="12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05">ROUND(E3906/D3906*100,0)</f>
        <v>0</v>
      </c>
      <c r="P3906">
        <f t="shared" si="301"/>
        <v>1.5</v>
      </c>
      <c r="Q3906" s="12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05"/>
        <v>12</v>
      </c>
      <c r="P3907">
        <f t="shared" ref="P3907:P3970" si="306">IFERROR(ROUND(E3907/L3907,2),0)</f>
        <v>24.71</v>
      </c>
      <c r="Q3907" s="12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>
        <f t="shared" si="306"/>
        <v>63.13</v>
      </c>
      <c r="Q3908" s="12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>
        <f t="shared" si="306"/>
        <v>38.25</v>
      </c>
      <c r="Q3909" s="12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>
        <f t="shared" si="306"/>
        <v>16.25</v>
      </c>
      <c r="Q3910" s="12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>
        <f t="shared" si="306"/>
        <v>33.75</v>
      </c>
      <c r="Q3911" s="12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>
        <f t="shared" si="306"/>
        <v>61.67</v>
      </c>
      <c r="Q3912" s="12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>
        <f t="shared" si="306"/>
        <v>83.14</v>
      </c>
      <c r="Q3913" s="12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>
        <f t="shared" si="306"/>
        <v>1</v>
      </c>
      <c r="Q3914" s="12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>
        <f t="shared" si="306"/>
        <v>142.86000000000001</v>
      </c>
      <c r="Q3915" s="12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>
        <f t="shared" si="306"/>
        <v>33.67</v>
      </c>
      <c r="Q3916" s="12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>
        <f t="shared" si="306"/>
        <v>5</v>
      </c>
      <c r="Q3917" s="12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>
        <f t="shared" si="306"/>
        <v>0</v>
      </c>
      <c r="Q3918" s="12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>
        <f t="shared" si="306"/>
        <v>10</v>
      </c>
      <c r="Q3919" s="12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>
        <f t="shared" si="306"/>
        <v>40</v>
      </c>
      <c r="Q3920" s="12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>
        <f t="shared" si="306"/>
        <v>30</v>
      </c>
      <c r="Q3921" s="12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>
        <f t="shared" si="306"/>
        <v>45</v>
      </c>
      <c r="Q3922" s="12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>
        <f t="shared" si="306"/>
        <v>0</v>
      </c>
      <c r="Q3923" s="12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>
        <f t="shared" si="306"/>
        <v>10.17</v>
      </c>
      <c r="Q3924" s="12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>
        <f t="shared" si="306"/>
        <v>81.41</v>
      </c>
      <c r="Q3925" s="12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>
        <f t="shared" si="306"/>
        <v>57.25</v>
      </c>
      <c r="Q3926" s="12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>
        <f t="shared" si="306"/>
        <v>5</v>
      </c>
      <c r="Q3927" s="12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>
        <f t="shared" si="306"/>
        <v>15</v>
      </c>
      <c r="Q3928" s="12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>
        <f t="shared" si="306"/>
        <v>12.5</v>
      </c>
      <c r="Q3929" s="12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>
        <f t="shared" si="306"/>
        <v>93</v>
      </c>
      <c r="Q3930" s="12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>
        <f t="shared" si="306"/>
        <v>32.36</v>
      </c>
      <c r="Q3931" s="12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>
        <f t="shared" si="306"/>
        <v>0</v>
      </c>
      <c r="Q3932" s="12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>
        <f t="shared" si="306"/>
        <v>0</v>
      </c>
      <c r="Q3933" s="12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>
        <f t="shared" si="306"/>
        <v>1</v>
      </c>
      <c r="Q3934" s="12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>
        <f t="shared" si="306"/>
        <v>91.83</v>
      </c>
      <c r="Q3935" s="12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>
        <f t="shared" si="306"/>
        <v>45.83</v>
      </c>
      <c r="Q3936" s="12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>
        <f t="shared" si="306"/>
        <v>57.17</v>
      </c>
      <c r="Q3937" s="12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>
        <f t="shared" si="306"/>
        <v>0</v>
      </c>
      <c r="Q3938" s="12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>
        <f t="shared" si="306"/>
        <v>248.5</v>
      </c>
      <c r="Q3939" s="12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>
        <f t="shared" si="306"/>
        <v>79.400000000000006</v>
      </c>
      <c r="Q3940" s="12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>
        <f t="shared" si="306"/>
        <v>5</v>
      </c>
      <c r="Q3941" s="12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>
        <f t="shared" si="306"/>
        <v>5.5</v>
      </c>
      <c r="Q3942" s="12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>
        <f t="shared" si="306"/>
        <v>25</v>
      </c>
      <c r="Q3943" s="12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>
        <f t="shared" si="306"/>
        <v>0</v>
      </c>
      <c r="Q3944" s="12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>
        <f t="shared" si="306"/>
        <v>137.08000000000001</v>
      </c>
      <c r="Q3945" s="12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>
        <f t="shared" si="306"/>
        <v>0</v>
      </c>
      <c r="Q3946" s="12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>
        <f t="shared" si="306"/>
        <v>5</v>
      </c>
      <c r="Q3947" s="12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>
        <f t="shared" si="306"/>
        <v>39</v>
      </c>
      <c r="Q3948" s="12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>
        <f t="shared" si="306"/>
        <v>50.5</v>
      </c>
      <c r="Q3949" s="12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>
        <f t="shared" si="306"/>
        <v>0</v>
      </c>
      <c r="Q3950" s="12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>
        <f t="shared" si="306"/>
        <v>49.28</v>
      </c>
      <c r="Q3951" s="12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>
        <f t="shared" si="306"/>
        <v>25</v>
      </c>
      <c r="Q3952" s="12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>
        <f t="shared" si="306"/>
        <v>1</v>
      </c>
      <c r="Q3953" s="12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>
        <f t="shared" si="306"/>
        <v>25</v>
      </c>
      <c r="Q3954" s="12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>
        <f t="shared" si="306"/>
        <v>0</v>
      </c>
      <c r="Q3955" s="12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>
        <f t="shared" si="306"/>
        <v>0</v>
      </c>
      <c r="Q3956" s="12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>
        <f t="shared" si="306"/>
        <v>53.13</v>
      </c>
      <c r="Q3957" s="12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>
        <f t="shared" si="306"/>
        <v>0</v>
      </c>
      <c r="Q3958" s="12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>
        <f t="shared" si="306"/>
        <v>7</v>
      </c>
      <c r="Q3959" s="12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>
        <f t="shared" si="306"/>
        <v>40.06</v>
      </c>
      <c r="Q3960" s="12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>
        <f t="shared" si="306"/>
        <v>24.33</v>
      </c>
      <c r="Q3961" s="12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>
        <f t="shared" si="306"/>
        <v>11.25</v>
      </c>
      <c r="Q3962" s="12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>
        <f t="shared" si="306"/>
        <v>10.5</v>
      </c>
      <c r="Q3963" s="12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>
        <f t="shared" si="306"/>
        <v>15</v>
      </c>
      <c r="Q3964" s="12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>
        <f t="shared" si="306"/>
        <v>0</v>
      </c>
      <c r="Q3965" s="12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>
        <f t="shared" si="306"/>
        <v>42</v>
      </c>
      <c r="Q3966" s="12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>
        <f t="shared" si="306"/>
        <v>71.25</v>
      </c>
      <c r="Q3967" s="12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>
        <f t="shared" si="306"/>
        <v>22.5</v>
      </c>
      <c r="Q3968" s="12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>
        <f t="shared" si="306"/>
        <v>41</v>
      </c>
      <c r="Q3969" s="12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0">ROUND(E3970/D3970*100,0)</f>
        <v>11</v>
      </c>
      <c r="P3970">
        <f t="shared" si="306"/>
        <v>47.91</v>
      </c>
      <c r="Q3970" s="12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0"/>
        <v>7</v>
      </c>
      <c r="P3971">
        <f t="shared" ref="P3971:P4034" si="311">IFERROR(ROUND(E3971/L3971,2),0)</f>
        <v>35.17</v>
      </c>
      <c r="Q3971" s="12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>
        <f t="shared" si="311"/>
        <v>5.5</v>
      </c>
      <c r="Q3972" s="12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>
        <f t="shared" si="311"/>
        <v>22.67</v>
      </c>
      <c r="Q3973" s="12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>
        <f t="shared" si="311"/>
        <v>26.38</v>
      </c>
      <c r="Q3974" s="12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>
        <f t="shared" si="311"/>
        <v>105.54</v>
      </c>
      <c r="Q3975" s="12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>
        <f t="shared" si="311"/>
        <v>29.09</v>
      </c>
      <c r="Q3976" s="12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>
        <f t="shared" si="311"/>
        <v>0</v>
      </c>
      <c r="Q3977" s="12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>
        <f t="shared" si="311"/>
        <v>62</v>
      </c>
      <c r="Q3978" s="12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>
        <f t="shared" si="311"/>
        <v>217.5</v>
      </c>
      <c r="Q3979" s="12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>
        <f t="shared" si="311"/>
        <v>26.75</v>
      </c>
      <c r="Q3980" s="12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>
        <f t="shared" si="311"/>
        <v>18.329999999999998</v>
      </c>
      <c r="Q3981" s="12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>
        <f t="shared" si="311"/>
        <v>64.290000000000006</v>
      </c>
      <c r="Q3982" s="12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>
        <f t="shared" si="311"/>
        <v>175</v>
      </c>
      <c r="Q3983" s="12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>
        <f t="shared" si="311"/>
        <v>34</v>
      </c>
      <c r="Q3984" s="12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>
        <f t="shared" si="311"/>
        <v>84.28</v>
      </c>
      <c r="Q3985" s="12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>
        <f t="shared" si="311"/>
        <v>9.5</v>
      </c>
      <c r="Q3986" s="12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>
        <f t="shared" si="311"/>
        <v>33.74</v>
      </c>
      <c r="Q3987" s="12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>
        <f t="shared" si="311"/>
        <v>37.54</v>
      </c>
      <c r="Q3988" s="12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>
        <f t="shared" si="311"/>
        <v>11.62</v>
      </c>
      <c r="Q3989" s="12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>
        <f t="shared" si="311"/>
        <v>8</v>
      </c>
      <c r="Q3990" s="12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>
        <f t="shared" si="311"/>
        <v>0</v>
      </c>
      <c r="Q3991" s="12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>
        <f t="shared" si="311"/>
        <v>23</v>
      </c>
      <c r="Q3992" s="12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>
        <f t="shared" si="311"/>
        <v>100</v>
      </c>
      <c r="Q3993" s="12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>
        <f t="shared" si="311"/>
        <v>60.11</v>
      </c>
      <c r="Q3994" s="12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>
        <f t="shared" si="311"/>
        <v>3</v>
      </c>
      <c r="Q3995" s="12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>
        <f t="shared" si="311"/>
        <v>5</v>
      </c>
      <c r="Q3996" s="12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>
        <f t="shared" si="311"/>
        <v>17.5</v>
      </c>
      <c r="Q3997" s="12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>
        <f t="shared" si="311"/>
        <v>29.24</v>
      </c>
      <c r="Q3998" s="12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>
        <f t="shared" si="311"/>
        <v>0</v>
      </c>
      <c r="Q3999" s="12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>
        <f t="shared" si="311"/>
        <v>59.58</v>
      </c>
      <c r="Q4000" s="12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>
        <f t="shared" si="311"/>
        <v>82.57</v>
      </c>
      <c r="Q4001" s="12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>
        <f t="shared" si="311"/>
        <v>10</v>
      </c>
      <c r="Q4002" s="12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>
        <f t="shared" si="311"/>
        <v>32.36</v>
      </c>
      <c r="Q4003" s="12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>
        <f t="shared" si="311"/>
        <v>5.75</v>
      </c>
      <c r="Q4004" s="12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>
        <f t="shared" si="311"/>
        <v>100.5</v>
      </c>
      <c r="Q4005" s="12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>
        <f t="shared" si="311"/>
        <v>1</v>
      </c>
      <c r="Q4006" s="12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>
        <f t="shared" si="311"/>
        <v>20</v>
      </c>
      <c r="Q4007" s="12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>
        <f t="shared" si="311"/>
        <v>2</v>
      </c>
      <c r="Q4008" s="12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>
        <f t="shared" si="311"/>
        <v>5</v>
      </c>
      <c r="Q4009" s="12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>
        <f t="shared" si="311"/>
        <v>15</v>
      </c>
      <c r="Q4010" s="12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>
        <f t="shared" si="311"/>
        <v>25</v>
      </c>
      <c r="Q4011" s="12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>
        <f t="shared" si="311"/>
        <v>45.84</v>
      </c>
      <c r="Q4012" s="12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>
        <f t="shared" si="311"/>
        <v>4.75</v>
      </c>
      <c r="Q4013" s="12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>
        <f t="shared" si="311"/>
        <v>0</v>
      </c>
      <c r="Q4014" s="12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>
        <f t="shared" si="311"/>
        <v>13</v>
      </c>
      <c r="Q4015" s="12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>
        <f t="shared" si="311"/>
        <v>0</v>
      </c>
      <c r="Q4016" s="12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>
        <f t="shared" si="311"/>
        <v>1</v>
      </c>
      <c r="Q4017" s="12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>
        <f t="shared" si="311"/>
        <v>10</v>
      </c>
      <c r="Q4018" s="12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>
        <f t="shared" si="311"/>
        <v>52.5</v>
      </c>
      <c r="Q4019" s="12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>
        <f t="shared" si="311"/>
        <v>32.5</v>
      </c>
      <c r="Q4020" s="12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>
        <f t="shared" si="311"/>
        <v>7.25</v>
      </c>
      <c r="Q4021" s="12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>
        <f t="shared" si="311"/>
        <v>33.33</v>
      </c>
      <c r="Q4022" s="12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>
        <f t="shared" si="311"/>
        <v>62.5</v>
      </c>
      <c r="Q4023" s="12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>
        <f t="shared" si="311"/>
        <v>63.56</v>
      </c>
      <c r="Q4024" s="12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>
        <f t="shared" si="311"/>
        <v>0</v>
      </c>
      <c r="Q4025" s="12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>
        <f t="shared" si="311"/>
        <v>10</v>
      </c>
      <c r="Q4026" s="12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>
        <f t="shared" si="311"/>
        <v>62.5</v>
      </c>
      <c r="Q4027" s="12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>
        <f t="shared" si="311"/>
        <v>0</v>
      </c>
      <c r="Q4028" s="12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>
        <f t="shared" si="311"/>
        <v>30.71</v>
      </c>
      <c r="Q4029" s="12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>
        <f t="shared" si="311"/>
        <v>51</v>
      </c>
      <c r="Q4030" s="12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>
        <f t="shared" si="311"/>
        <v>0</v>
      </c>
      <c r="Q4031" s="12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>
        <f t="shared" si="311"/>
        <v>66.67</v>
      </c>
      <c r="Q4032" s="12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>
        <f t="shared" si="311"/>
        <v>0</v>
      </c>
      <c r="Q4033" s="12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15">ROUND(E4034/D4034*100,0)</f>
        <v>7</v>
      </c>
      <c r="P4034">
        <f t="shared" si="311"/>
        <v>59</v>
      </c>
      <c r="Q4034" s="12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15"/>
        <v>26</v>
      </c>
      <c r="P4035">
        <f t="shared" ref="P4035:P4098" si="316">IFERROR(ROUND(E4035/L4035,2),0)</f>
        <v>65.34</v>
      </c>
      <c r="Q4035" s="12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>
        <f t="shared" si="316"/>
        <v>100</v>
      </c>
      <c r="Q4036" s="12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>
        <f t="shared" si="316"/>
        <v>147.4</v>
      </c>
      <c r="Q4037" s="12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>
        <f t="shared" si="316"/>
        <v>166.06</v>
      </c>
      <c r="Q4038" s="12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>
        <f t="shared" si="316"/>
        <v>40</v>
      </c>
      <c r="Q4039" s="12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>
        <f t="shared" si="316"/>
        <v>75.25</v>
      </c>
      <c r="Q4040" s="12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>
        <f t="shared" si="316"/>
        <v>60</v>
      </c>
      <c r="Q4041" s="12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>
        <f t="shared" si="316"/>
        <v>1250</v>
      </c>
      <c r="Q4042" s="12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>
        <f t="shared" si="316"/>
        <v>10.5</v>
      </c>
      <c r="Q4043" s="12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>
        <f t="shared" si="316"/>
        <v>7</v>
      </c>
      <c r="Q4044" s="12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>
        <f t="shared" si="316"/>
        <v>0</v>
      </c>
      <c r="Q4045" s="12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>
        <f t="shared" si="316"/>
        <v>56.25</v>
      </c>
      <c r="Q4046" s="12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>
        <f t="shared" si="316"/>
        <v>1</v>
      </c>
      <c r="Q4047" s="12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>
        <f t="shared" si="316"/>
        <v>38.33</v>
      </c>
      <c r="Q4048" s="12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>
        <f t="shared" si="316"/>
        <v>27.5</v>
      </c>
      <c r="Q4049" s="12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>
        <f t="shared" si="316"/>
        <v>32.979999999999997</v>
      </c>
      <c r="Q4050" s="12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>
        <f t="shared" si="316"/>
        <v>16</v>
      </c>
      <c r="Q4051" s="12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>
        <f t="shared" si="316"/>
        <v>1</v>
      </c>
      <c r="Q4052" s="12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>
        <f t="shared" si="316"/>
        <v>0</v>
      </c>
      <c r="Q4053" s="12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>
        <f t="shared" si="316"/>
        <v>86.62</v>
      </c>
      <c r="Q4054" s="12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>
        <f t="shared" si="316"/>
        <v>55</v>
      </c>
      <c r="Q4055" s="12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>
        <f t="shared" si="316"/>
        <v>0</v>
      </c>
      <c r="Q4056" s="12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>
        <f t="shared" si="316"/>
        <v>41.95</v>
      </c>
      <c r="Q4057" s="12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>
        <f t="shared" si="316"/>
        <v>88.33</v>
      </c>
      <c r="Q4058" s="12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>
        <f t="shared" si="316"/>
        <v>129.16999999999999</v>
      </c>
      <c r="Q4059" s="12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>
        <f t="shared" si="316"/>
        <v>23.75</v>
      </c>
      <c r="Q4060" s="12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>
        <f t="shared" si="316"/>
        <v>35.71</v>
      </c>
      <c r="Q4061" s="12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>
        <f t="shared" si="316"/>
        <v>57</v>
      </c>
      <c r="Q4062" s="12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>
        <f t="shared" si="316"/>
        <v>0</v>
      </c>
      <c r="Q4063" s="12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>
        <f t="shared" si="316"/>
        <v>163.33000000000001</v>
      </c>
      <c r="Q4064" s="12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>
        <f t="shared" si="316"/>
        <v>15</v>
      </c>
      <c r="Q4065" s="12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>
        <f t="shared" si="316"/>
        <v>64.17</v>
      </c>
      <c r="Q4066" s="12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>
        <f t="shared" si="316"/>
        <v>6.75</v>
      </c>
      <c r="Q4067" s="12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>
        <f t="shared" si="316"/>
        <v>25</v>
      </c>
      <c r="Q4068" s="12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>
        <f t="shared" si="316"/>
        <v>179.12</v>
      </c>
      <c r="Q4069" s="12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>
        <f t="shared" si="316"/>
        <v>34.950000000000003</v>
      </c>
      <c r="Q4070" s="12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>
        <f t="shared" si="316"/>
        <v>33.08</v>
      </c>
      <c r="Q4071" s="12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>
        <f t="shared" si="316"/>
        <v>27.5</v>
      </c>
      <c r="Q4072" s="12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>
        <f t="shared" si="316"/>
        <v>0</v>
      </c>
      <c r="Q4073" s="12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>
        <f t="shared" si="316"/>
        <v>2</v>
      </c>
      <c r="Q4074" s="12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>
        <f t="shared" si="316"/>
        <v>18.5</v>
      </c>
      <c r="Q4075" s="12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>
        <f t="shared" si="316"/>
        <v>35</v>
      </c>
      <c r="Q4076" s="12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>
        <f t="shared" si="316"/>
        <v>44.31</v>
      </c>
      <c r="Q4077" s="12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>
        <f t="shared" si="316"/>
        <v>0</v>
      </c>
      <c r="Q4078" s="12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>
        <f t="shared" si="316"/>
        <v>222.5</v>
      </c>
      <c r="Q4079" s="12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>
        <f t="shared" si="316"/>
        <v>0</v>
      </c>
      <c r="Q4080" s="12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>
        <f t="shared" si="316"/>
        <v>5</v>
      </c>
      <c r="Q4081" s="12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>
        <f t="shared" si="316"/>
        <v>0</v>
      </c>
      <c r="Q4082" s="12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>
        <f t="shared" si="316"/>
        <v>29.17</v>
      </c>
      <c r="Q4083" s="12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>
        <f t="shared" si="316"/>
        <v>1.5</v>
      </c>
      <c r="Q4084" s="12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>
        <f t="shared" si="316"/>
        <v>126.5</v>
      </c>
      <c r="Q4085" s="12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>
        <f t="shared" si="316"/>
        <v>10</v>
      </c>
      <c r="Q4086" s="12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>
        <f t="shared" si="316"/>
        <v>10</v>
      </c>
      <c r="Q4087" s="12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>
        <f t="shared" si="316"/>
        <v>9.4</v>
      </c>
      <c r="Q4088" s="12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>
        <f t="shared" si="316"/>
        <v>0</v>
      </c>
      <c r="Q4089" s="12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>
        <f t="shared" si="316"/>
        <v>72</v>
      </c>
      <c r="Q4090" s="12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>
        <f t="shared" si="316"/>
        <v>30</v>
      </c>
      <c r="Q4091" s="12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>
        <f t="shared" si="316"/>
        <v>10.67</v>
      </c>
      <c r="Q4092" s="12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>
        <f t="shared" si="316"/>
        <v>25.5</v>
      </c>
      <c r="Q4093" s="12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>
        <f t="shared" si="316"/>
        <v>20</v>
      </c>
      <c r="Q4094" s="12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>
        <f t="shared" si="316"/>
        <v>15</v>
      </c>
      <c r="Q4095" s="12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>
        <f t="shared" si="316"/>
        <v>91.25</v>
      </c>
      <c r="Q4096" s="12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>
        <f t="shared" si="316"/>
        <v>800</v>
      </c>
      <c r="Q4097" s="12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20">ROUND(E4098/D4098*100,0)</f>
        <v>11</v>
      </c>
      <c r="P4098">
        <f t="shared" si="316"/>
        <v>80</v>
      </c>
      <c r="Q4098" s="12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0"/>
        <v>0</v>
      </c>
      <c r="P4099">
        <f t="shared" ref="P4099:P4115" si="321">IFERROR(ROUND(E4099/L4099,2),0)</f>
        <v>0</v>
      </c>
      <c r="Q4099" s="12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>
        <f t="shared" si="321"/>
        <v>0</v>
      </c>
      <c r="Q4100" s="12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>
        <f t="shared" si="321"/>
        <v>50</v>
      </c>
      <c r="Q4101" s="12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>
        <f t="shared" si="321"/>
        <v>0</v>
      </c>
      <c r="Q4102" s="12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>
        <f t="shared" si="321"/>
        <v>0</v>
      </c>
      <c r="Q4103" s="12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>
        <f t="shared" si="321"/>
        <v>22.83</v>
      </c>
      <c r="Q4104" s="12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>
        <f t="shared" si="321"/>
        <v>16.670000000000002</v>
      </c>
      <c r="Q4105" s="12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>
        <f t="shared" si="321"/>
        <v>45.79</v>
      </c>
      <c r="Q4106" s="12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>
        <f t="shared" si="321"/>
        <v>383.33</v>
      </c>
      <c r="Q4107" s="12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>
        <f t="shared" si="321"/>
        <v>106.97</v>
      </c>
      <c r="Q4108" s="12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>
        <f t="shared" si="321"/>
        <v>10.25</v>
      </c>
      <c r="Q4109" s="12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>
        <f t="shared" si="321"/>
        <v>59</v>
      </c>
      <c r="Q4110" s="12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>
        <f t="shared" si="321"/>
        <v>0</v>
      </c>
      <c r="Q4111" s="12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>
        <f t="shared" si="321"/>
        <v>14.33</v>
      </c>
      <c r="Q4112" s="12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>
        <f t="shared" si="321"/>
        <v>15.67</v>
      </c>
      <c r="Q4113" s="12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>
        <f t="shared" si="321"/>
        <v>1</v>
      </c>
      <c r="Q4114" s="12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>
        <f t="shared" si="321"/>
        <v>1</v>
      </c>
      <c r="Q4115" s="12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V4115" xr:uid="{00000000-0001-0000-0000-000000000000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V1">
    <cfRule type="colorScale" priority="1">
      <colorScale>
        <cfvo type="min"/>
        <cfvo type="percentile" val="90"/>
        <color rgb="FFEF3759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3AD8C-9F10-5445-93DD-2D77F286561C}">
  <sheetPr codeName="Sheet2"/>
  <dimension ref="A1:E18"/>
  <sheetViews>
    <sheetView topLeftCell="A4" workbookViewId="0">
      <selection activeCell="J7" sqref="J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4" t="s">
        <v>8401</v>
      </c>
      <c r="B1" t="s">
        <v>8364</v>
      </c>
    </row>
    <row r="2" spans="1:5" x14ac:dyDescent="0.2">
      <c r="A2" s="14" t="s">
        <v>8358</v>
      </c>
      <c r="B2" t="s">
        <v>8315</v>
      </c>
    </row>
    <row r="4" spans="1:5" x14ac:dyDescent="0.2">
      <c r="A4" s="14" t="s">
        <v>8360</v>
      </c>
      <c r="B4" s="14" t="s">
        <v>8361</v>
      </c>
    </row>
    <row r="5" spans="1:5" x14ac:dyDescent="0.2">
      <c r="A5" s="14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5" t="s">
        <v>8362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761FE-08DB-A540-A955-9F17457CE27A}">
  <sheetPr codeName="Sheet3"/>
  <dimension ref="A1:H13"/>
  <sheetViews>
    <sheetView workbookViewId="0">
      <selection activeCell="I24" sqref="I24"/>
    </sheetView>
  </sheetViews>
  <sheetFormatPr baseColWidth="10" defaultRowHeight="15" x14ac:dyDescent="0.2"/>
  <cols>
    <col min="1" max="1" width="16" bestFit="1" customWidth="1"/>
    <col min="2" max="2" width="14.83203125" customWidth="1"/>
    <col min="3" max="3" width="12.5" bestFit="1" customWidth="1"/>
    <col min="4" max="4" width="14.5" bestFit="1" customWidth="1"/>
    <col min="5" max="5" width="11.5" bestFit="1" customWidth="1"/>
    <col min="6" max="6" width="17.6640625" style="21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8383</v>
      </c>
      <c r="B1" t="s">
        <v>8403</v>
      </c>
      <c r="C1" t="s">
        <v>8404</v>
      </c>
      <c r="D1" t="s">
        <v>8405</v>
      </c>
      <c r="E1" t="s">
        <v>8406</v>
      </c>
      <c r="F1" s="21" t="s">
        <v>8407</v>
      </c>
      <c r="G1" t="s">
        <v>8408</v>
      </c>
      <c r="H1" t="s">
        <v>8409</v>
      </c>
    </row>
    <row r="2" spans="1:8" x14ac:dyDescent="0.2">
      <c r="A2" t="s">
        <v>8410</v>
      </c>
      <c r="B2">
        <f>COUNTIFS(Kickstarter!$D:$D, "&lt;$1000",Kickstarter!$F:$F,"successful",Kickstarter!$R:$R,"plays")</f>
        <v>141</v>
      </c>
      <c r="C2">
        <f>COUNTIFS(Kickstarter!$D:$D, "&lt;$1000",Kickstarter!$F:$F,"failed",Kickstarter!$R:$R,"plays")</f>
        <v>45</v>
      </c>
      <c r="D2">
        <f>COUNTIFS(Kickstarter!$D:$D, "&lt;$1000",Kickstarter!$F:$F,"canceled",Kickstarter!$R:$R,"plays")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>
        <f>D2/G2</f>
        <v>0</v>
      </c>
    </row>
    <row r="3" spans="1:8" x14ac:dyDescent="0.2">
      <c r="A3" t="s">
        <v>8411</v>
      </c>
      <c r="B3">
        <f>COUNTIFS(Kickstarter!$D:$D, "&gt;=$1000",Kickstarter!$F:$F,"successful",Kickstarter!$D:$D, "&lt;=$4999",Kickstarter!$R:$R,"plays")</f>
        <v>388</v>
      </c>
      <c r="C3">
        <f>COUNTIFS(Kickstarter!$D:$D, "&gt;=$1000",Kickstarter!$F:$F,"failed",Kickstarter!$D:$D, "&lt;=$4999",Kickstarter!$R:$R,"plays")</f>
        <v>146</v>
      </c>
      <c r="D3">
        <f>COUNTIFS(Kickstarter!$D:$D, "&gt;=$1000",Kickstarter!$F:$F,"canceled",Kickstarter!$D:$D, "&lt;=$4999",Kickstarter!$R:$R,"plays")</f>
        <v>0</v>
      </c>
      <c r="E3">
        <f t="shared" ref="E3:E13" si="0">SUM(B3:D3)</f>
        <v>534</v>
      </c>
      <c r="F3" s="21">
        <f t="shared" ref="F3:F13" si="1">B3/E3</f>
        <v>0.72659176029962547</v>
      </c>
      <c r="G3" s="21">
        <f>C3/E3</f>
        <v>0.27340823970037453</v>
      </c>
      <c r="H3">
        <f t="shared" ref="H3:H13" si="2">D3/G3</f>
        <v>0</v>
      </c>
    </row>
    <row r="4" spans="1:8" x14ac:dyDescent="0.2">
      <c r="A4" t="s">
        <v>8412</v>
      </c>
      <c r="B4">
        <f>COUNTIFS(Kickstarter!$D:$D, "&gt;=$5000",Kickstarter!$F:$F,"successful",Kickstarter!$D:$D, "&lt;=$9999",Kickstarter!$R:$R,"plays")</f>
        <v>93</v>
      </c>
      <c r="C4">
        <f>COUNTIFS(Kickstarter!$D:$D, "&gt;=$5000",Kickstarter!$F:$F,"failed",Kickstarter!$D:$D, "&lt;=$9999",Kickstarter!$R:$R,"plays")</f>
        <v>76</v>
      </c>
      <c r="D4">
        <f>COUNTIFS(Kickstarter!$D:$D, "&gt;=$5000",Kickstarter!$F:$F,"canceled",Kickstarter!$D:$D, "&lt;=$9999",Kickstarter!$R:$R,"plays")</f>
        <v>0</v>
      </c>
      <c r="E4">
        <f t="shared" si="0"/>
        <v>169</v>
      </c>
      <c r="F4" s="21">
        <f t="shared" si="1"/>
        <v>0.55029585798816572</v>
      </c>
      <c r="G4" s="21">
        <f t="shared" ref="G4:G13" si="3">C4/E4</f>
        <v>0.44970414201183434</v>
      </c>
      <c r="H4">
        <f t="shared" si="2"/>
        <v>0</v>
      </c>
    </row>
    <row r="5" spans="1:8" x14ac:dyDescent="0.2">
      <c r="A5" t="s">
        <v>8413</v>
      </c>
      <c r="B5">
        <f>COUNTIFS(Kickstarter!$D:$D, "&gt;=$10000",Kickstarter!$F:$F,"successful",Kickstarter!$D:$D, "&lt;=$14999",Kickstarter!$R:$R,"plays")</f>
        <v>39</v>
      </c>
      <c r="C5">
        <f>COUNTIFS(Kickstarter!$D:$D, "&gt;=$10000",Kickstarter!$F:$F,"failed",Kickstarter!$D:$D, "&lt;=$14999",Kickstarter!$R:$R,"plays")</f>
        <v>33</v>
      </c>
      <c r="D5">
        <f>COUNTIFS(Kickstarter!$D:$D, "&gt;=$10000",Kickstarter!$F:$F,"canceled",Kickstarter!$D:$D, "&lt;=$14999",Kickstarter!$R:$R,"plays")</f>
        <v>0</v>
      </c>
      <c r="E5">
        <f t="shared" si="0"/>
        <v>72</v>
      </c>
      <c r="F5" s="21">
        <f t="shared" si="1"/>
        <v>0.54166666666666663</v>
      </c>
      <c r="G5" s="21">
        <f t="shared" si="3"/>
        <v>0.45833333333333331</v>
      </c>
      <c r="H5">
        <f t="shared" si="2"/>
        <v>0</v>
      </c>
    </row>
    <row r="6" spans="1:8" x14ac:dyDescent="0.2">
      <c r="A6" t="s">
        <v>8414</v>
      </c>
      <c r="B6">
        <f>COUNTIFS(Kickstarter!$D:$D, "&gt;=$15000",Kickstarter!$F:$F,"successful",Kickstarter!$D:$D, "&lt;=$19999",Kickstarter!$R:$R,"plays")</f>
        <v>12</v>
      </c>
      <c r="C6">
        <f>COUNTIFS(Kickstarter!$D:$D, "&gt;=$15000",Kickstarter!$F:$F,"failed",Kickstarter!$D:$D, "&lt;=$19999",Kickstarter!$R:$R,"plays")</f>
        <v>12</v>
      </c>
      <c r="D6">
        <f>COUNTIFS(Kickstarter!$D:$D, "&gt;=$15000",Kickstarter!$F:$F,"canceled",Kickstarter!$D:$D, "&lt;=$19999",Kickstarter!$R:$R,"plays")</f>
        <v>0</v>
      </c>
      <c r="E6">
        <f t="shared" si="0"/>
        <v>24</v>
      </c>
      <c r="F6" s="21">
        <f t="shared" si="1"/>
        <v>0.5</v>
      </c>
      <c r="G6" s="21">
        <f t="shared" si="3"/>
        <v>0.5</v>
      </c>
      <c r="H6">
        <f t="shared" si="2"/>
        <v>0</v>
      </c>
    </row>
    <row r="7" spans="1:8" x14ac:dyDescent="0.2">
      <c r="A7" t="s">
        <v>8415</v>
      </c>
      <c r="B7">
        <f>COUNTIFS(Kickstarter!$D:$D, "&gt;=$20000",Kickstarter!$F:$F,"successful",Kickstarter!$D:$D, "&lt;=$24999",Kickstarter!$R:$R,"plays")</f>
        <v>9</v>
      </c>
      <c r="C7">
        <f>COUNTIFS(Kickstarter!$D:$D, "&gt;=$20000",Kickstarter!$F:$F,"failed",Kickstarter!$D:$D, "&lt;=$24999",Kickstarter!$R:$R,"plays")</f>
        <v>11</v>
      </c>
      <c r="D7">
        <f>COUNTIFS(Kickstarter!$D:$D, "&gt;=$20000",Kickstarter!$F:$F,"canceled",Kickstarter!$D:$D, "&lt;=$24999",Kickstarter!$R:$R,"plays")</f>
        <v>0</v>
      </c>
      <c r="E7">
        <f t="shared" si="0"/>
        <v>20</v>
      </c>
      <c r="F7" s="21">
        <f t="shared" si="1"/>
        <v>0.45</v>
      </c>
      <c r="G7" s="21">
        <f t="shared" si="3"/>
        <v>0.55000000000000004</v>
      </c>
      <c r="H7">
        <f t="shared" si="2"/>
        <v>0</v>
      </c>
    </row>
    <row r="8" spans="1:8" x14ac:dyDescent="0.2">
      <c r="A8" t="s">
        <v>8416</v>
      </c>
      <c r="B8">
        <f>COUNTIFS(Kickstarter!$D:$D, "&gt;=$25000",Kickstarter!$F:$F,"successful",Kickstarter!$D:$D, "&lt;=$29999",Kickstarter!$R:$R,"plays")</f>
        <v>1</v>
      </c>
      <c r="C8">
        <f>COUNTIFS(Kickstarter!$D:$D, "&gt;=$25000",Kickstarter!$F:$F,"failed",Kickstarter!$D:$D, "&lt;=$29999",Kickstarter!$R:$R,"plays")</f>
        <v>4</v>
      </c>
      <c r="D8">
        <f>COUNTIFS(Kickstarter!$D:$D, "&gt;=$25000",Kickstarter!$F:$F,"canceled",Kickstarter!$D:$D, "&lt;=$29999",Kickstarter!$R:$R,"plays")</f>
        <v>0</v>
      </c>
      <c r="E8">
        <f t="shared" si="0"/>
        <v>5</v>
      </c>
      <c r="F8" s="21">
        <f t="shared" si="1"/>
        <v>0.2</v>
      </c>
      <c r="G8" s="21">
        <f t="shared" si="3"/>
        <v>0.8</v>
      </c>
      <c r="H8">
        <f t="shared" si="2"/>
        <v>0</v>
      </c>
    </row>
    <row r="9" spans="1:8" x14ac:dyDescent="0.2">
      <c r="A9" t="s">
        <v>8417</v>
      </c>
      <c r="B9">
        <f>COUNTIFS(Kickstarter!$D:$D, "&gt;=$30000",Kickstarter!$F:$F,"successful",Kickstarter!$D:$D, "&lt;=$34999",Kickstarter!$R:$R,"plays")</f>
        <v>3</v>
      </c>
      <c r="C9">
        <f>COUNTIFS(Kickstarter!$D:$D, "&gt;=$30000",Kickstarter!$F:$F,"failed",Kickstarter!$D:$D, "&lt;=$34999",Kickstarter!$R:$R,"plays")</f>
        <v>8</v>
      </c>
      <c r="D9">
        <f>COUNTIFS(Kickstarter!$D:$D, "&gt;=$30000",Kickstarter!$F:$F,"canceled",Kickstarter!$D:$D, "&lt;=$34999",Kickstarter!$R:$R,"plays")</f>
        <v>0</v>
      </c>
      <c r="E9">
        <f t="shared" si="0"/>
        <v>11</v>
      </c>
      <c r="F9" s="21">
        <f t="shared" si="1"/>
        <v>0.27272727272727271</v>
      </c>
      <c r="G9" s="21">
        <f t="shared" si="3"/>
        <v>0.72727272727272729</v>
      </c>
      <c r="H9">
        <f t="shared" si="2"/>
        <v>0</v>
      </c>
    </row>
    <row r="10" spans="1:8" x14ac:dyDescent="0.2">
      <c r="A10" t="s">
        <v>8418</v>
      </c>
      <c r="B10">
        <f>COUNTIFS(Kickstarter!$D:$D, "&gt;=$35000",Kickstarter!$F:$F,"successful",Kickstarter!$D:$D, "&lt;=$39999",Kickstarter!$R:$R,"plays")</f>
        <v>4</v>
      </c>
      <c r="C10">
        <f>COUNTIFS(Kickstarter!$D:$D, "&gt;=$35000",Kickstarter!$F:$F,"failed",Kickstarter!$D:$D, "&lt;=$39999",Kickstarter!$R:$R,"plays")</f>
        <v>2</v>
      </c>
      <c r="D10">
        <f>COUNTIFS(Kickstarter!$D:$D, "&gt;=$35000",Kickstarter!$F:$F,"canceled",Kickstarter!$D:$D, "&lt;=$39999",Kickstarter!$R:$R,"plays")</f>
        <v>0</v>
      </c>
      <c r="E10">
        <f t="shared" si="0"/>
        <v>6</v>
      </c>
      <c r="F10" s="21">
        <f t="shared" si="1"/>
        <v>0.66666666666666663</v>
      </c>
      <c r="G10" s="21">
        <f t="shared" si="3"/>
        <v>0.33333333333333331</v>
      </c>
      <c r="H10">
        <f t="shared" si="2"/>
        <v>0</v>
      </c>
    </row>
    <row r="11" spans="1:8" x14ac:dyDescent="0.2">
      <c r="A11" t="s">
        <v>8419</v>
      </c>
      <c r="B11">
        <f>COUNTIFS(Kickstarter!$D:$D, "&gt;=$40000",Kickstarter!$F:$F,"successful",Kickstarter!$D:$D, "&lt;=$44999",Kickstarter!$R:$R,"plays")</f>
        <v>2</v>
      </c>
      <c r="C11">
        <f>COUNTIFS(Kickstarter!$D:$D, "&gt;=$40000",Kickstarter!$F:$F,"failed",Kickstarter!$D:$D, "&lt;=$44999",Kickstarter!$R:$R,"plays")</f>
        <v>1</v>
      </c>
      <c r="D11">
        <f>COUNTIFS(Kickstarter!$D:$D, "&gt;=$40000",Kickstarter!$F:$F,"canceled",Kickstarter!$D:$D, "&lt;=$44999",Kickstarter!$R:$R,"plays")</f>
        <v>0</v>
      </c>
      <c r="E11">
        <f t="shared" si="0"/>
        <v>3</v>
      </c>
      <c r="F11" s="21">
        <f t="shared" si="1"/>
        <v>0.66666666666666663</v>
      </c>
      <c r="G11" s="21">
        <f t="shared" si="3"/>
        <v>0.33333333333333331</v>
      </c>
      <c r="H11">
        <f t="shared" si="2"/>
        <v>0</v>
      </c>
    </row>
    <row r="12" spans="1:8" x14ac:dyDescent="0.2">
      <c r="A12" t="s">
        <v>8420</v>
      </c>
      <c r="B12">
        <f>COUNTIFS(Kickstarter!$D:$D, "&gt;=$45000",Kickstarter!$F:$F,"successful",Kickstarter!$D:$D, "&lt;=$49999",Kickstarter!$R:$R,"plays")</f>
        <v>0</v>
      </c>
      <c r="C12">
        <f>COUNTIFS(Kickstarter!$D:$D, "&gt;=$45000",Kickstarter!$F:$F,"failed",Kickstarter!$D:$D, "&lt;=$49999",Kickstarter!$R:$R,"plays")</f>
        <v>1</v>
      </c>
      <c r="D12">
        <f>COUNTIFS(Kickstarter!$D:$D, "&gt;=$45000",Kickstarter!$F:$F,"canceled",Kickstarter!$D:$D, "&lt;=$49999",Kickstarter!$R:$R,"plays")</f>
        <v>0</v>
      </c>
      <c r="E12">
        <f t="shared" si="0"/>
        <v>1</v>
      </c>
      <c r="F12" s="21">
        <f t="shared" si="1"/>
        <v>0</v>
      </c>
      <c r="G12" s="21">
        <f t="shared" si="3"/>
        <v>1</v>
      </c>
      <c r="H12">
        <f t="shared" si="2"/>
        <v>0</v>
      </c>
    </row>
    <row r="13" spans="1:8" x14ac:dyDescent="0.2">
      <c r="A13" t="s">
        <v>8421</v>
      </c>
      <c r="B13">
        <f>COUNTIFS(Kickstarter!$D:$D, "&gt;=$50000",Kickstarter!$F:$F,"successful",Kickstarter!$R:$R,"plays")</f>
        <v>2</v>
      </c>
      <c r="C13">
        <f>COUNTIFS(Kickstarter!$D:$D, "&gt;=$50000",Kickstarter!$F:$F,"failed",Kickstarter!$R:$R,"plays")</f>
        <v>14</v>
      </c>
      <c r="D13">
        <f>COUNTIFS(Kickstarter!$D:$D, "&gt;=$50000",Kickstarter!$F:$F,"canceled",Kickstarter!$R:$R,"plays")</f>
        <v>0</v>
      </c>
      <c r="E13">
        <f t="shared" si="0"/>
        <v>16</v>
      </c>
      <c r="F13" s="21">
        <f t="shared" si="1"/>
        <v>0.125</v>
      </c>
      <c r="G13" s="21">
        <f t="shared" si="3"/>
        <v>0.875</v>
      </c>
      <c r="H13">
        <f t="shared" si="2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78B35-BAA2-D145-99EB-1EBD2B11F0B2}">
  <sheetPr codeName="Sheet6"/>
  <dimension ref="A1:C14"/>
  <sheetViews>
    <sheetView workbookViewId="0">
      <selection activeCell="O16" sqref="O16"/>
    </sheetView>
  </sheetViews>
  <sheetFormatPr baseColWidth="10" defaultRowHeight="15" x14ac:dyDescent="0.2"/>
  <cols>
    <col min="1" max="1" width="24.1640625" bestFit="1" customWidth="1"/>
    <col min="3" max="3" width="11.5" customWidth="1"/>
  </cols>
  <sheetData>
    <row r="1" spans="1:3" x14ac:dyDescent="0.2">
      <c r="B1" t="s">
        <v>8389</v>
      </c>
      <c r="C1" t="s">
        <v>8390</v>
      </c>
    </row>
    <row r="2" spans="1:3" x14ac:dyDescent="0.2">
      <c r="A2" t="s">
        <v>8391</v>
      </c>
      <c r="B2" s="19" t="e">
        <f>AVERAGE(#REF!)</f>
        <v>#REF!</v>
      </c>
      <c r="C2" s="20" t="e">
        <f>AVERAGE(#REF!)</f>
        <v>#REF!</v>
      </c>
    </row>
    <row r="3" spans="1:3" x14ac:dyDescent="0.2">
      <c r="A3" t="s">
        <v>8392</v>
      </c>
      <c r="B3" s="19" t="e">
        <f>MEDIAN(#REF!)</f>
        <v>#REF!</v>
      </c>
      <c r="C3" s="19" t="e">
        <f>MEDIAN(#REF!)</f>
        <v>#REF!</v>
      </c>
    </row>
    <row r="4" spans="1:3" x14ac:dyDescent="0.2">
      <c r="A4" t="s">
        <v>8393</v>
      </c>
      <c r="B4" s="19" t="e">
        <f>_xlfn.STDEV.P(#REF!)</f>
        <v>#REF!</v>
      </c>
      <c r="C4" s="19" t="e">
        <f>_xlfn.STDEV.P(#REF!)</f>
        <v>#REF!</v>
      </c>
    </row>
    <row r="5" spans="1:3" x14ac:dyDescent="0.2">
      <c r="A5" t="s">
        <v>8396</v>
      </c>
      <c r="B5" s="19" t="e">
        <f>_xlfn.QUARTILE.EXC(#REF!,3)</f>
        <v>#REF!</v>
      </c>
      <c r="C5" s="19" t="e">
        <f>_xlfn.QUARTILE.EXC(#REF!,3)</f>
        <v>#REF!</v>
      </c>
    </row>
    <row r="6" spans="1:3" x14ac:dyDescent="0.2">
      <c r="A6" t="s">
        <v>8397</v>
      </c>
      <c r="B6" s="19" t="e">
        <f>_xlfn.QUARTILE.EXC(#REF!,1)</f>
        <v>#REF!</v>
      </c>
      <c r="C6" s="19" t="e">
        <f>_xlfn.QUARTILE.EXC(#REF!,1)</f>
        <v>#REF!</v>
      </c>
    </row>
    <row r="7" spans="1:3" x14ac:dyDescent="0.2">
      <c r="A7" t="s">
        <v>8394</v>
      </c>
      <c r="B7" s="19" t="e">
        <f>B5-B6</f>
        <v>#REF!</v>
      </c>
      <c r="C7" s="19" t="e">
        <f>C5-C6</f>
        <v>#REF!</v>
      </c>
    </row>
    <row r="8" spans="1:3" x14ac:dyDescent="0.2">
      <c r="B8" s="19"/>
      <c r="C8" s="19"/>
    </row>
    <row r="9" spans="1:3" x14ac:dyDescent="0.2">
      <c r="A9" t="s">
        <v>8387</v>
      </c>
      <c r="B9" s="19" t="e">
        <f>AVERAGE(#REF!)</f>
        <v>#REF!</v>
      </c>
      <c r="C9" s="19" t="e">
        <f>AVERAGE(#REF!)</f>
        <v>#REF!</v>
      </c>
    </row>
    <row r="10" spans="1:3" x14ac:dyDescent="0.2">
      <c r="A10" t="s">
        <v>8388</v>
      </c>
      <c r="B10" s="20" t="e">
        <f>MEDIAN(#REF!)</f>
        <v>#REF!</v>
      </c>
      <c r="C10" s="19" t="e">
        <f>MEDIAN(#REF!)</f>
        <v>#REF!</v>
      </c>
    </row>
    <row r="11" spans="1:3" x14ac:dyDescent="0.2">
      <c r="A11" t="s">
        <v>8395</v>
      </c>
      <c r="B11" s="19" t="e">
        <f>_xlfn.STDEV.P(#REF!)</f>
        <v>#REF!</v>
      </c>
      <c r="C11" s="19" t="e">
        <f>_xlfn.STDEV.P(#REF!)</f>
        <v>#REF!</v>
      </c>
    </row>
    <row r="12" spans="1:3" x14ac:dyDescent="0.2">
      <c r="A12" t="s">
        <v>8398</v>
      </c>
      <c r="B12" s="19" t="e">
        <f>_xlfn.QUARTILE.EXC(#REF!,3)</f>
        <v>#REF!</v>
      </c>
      <c r="C12" s="19" t="e">
        <f>_xlfn.QUARTILE.EXC(#REF!,3)</f>
        <v>#REF!</v>
      </c>
    </row>
    <row r="13" spans="1:3" x14ac:dyDescent="0.2">
      <c r="A13" t="s">
        <v>8399</v>
      </c>
      <c r="B13" s="19" t="e">
        <f>_xlfn.QUARTILE.EXC(#REF!,1)</f>
        <v>#REF!</v>
      </c>
      <c r="C13" s="19" t="e">
        <f>_xlfn.QUARTILE.EXC(#REF!,1)</f>
        <v>#REF!</v>
      </c>
    </row>
    <row r="14" spans="1:3" x14ac:dyDescent="0.2">
      <c r="A14" t="s">
        <v>8400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B9FC1-DE15-4B4B-8678-201FBE3BDBFC}">
  <sheetPr codeName="Sheet7"/>
  <dimension ref="A1:F6"/>
  <sheetViews>
    <sheetView topLeftCell="B1" workbookViewId="0">
      <selection activeCell="A4" sqref="A4"/>
    </sheetView>
  </sheetViews>
  <sheetFormatPr baseColWidth="10" defaultRowHeight="15" x14ac:dyDescent="0.2"/>
  <cols>
    <col min="1" max="1" width="29" bestFit="1" customWidth="1"/>
    <col min="2" max="2" width="103" bestFit="1" customWidth="1"/>
    <col min="5" max="5" width="14.83203125" bestFit="1" customWidth="1"/>
    <col min="6" max="6" width="15" bestFit="1" customWidth="1"/>
  </cols>
  <sheetData>
    <row r="1" spans="1:6" x14ac:dyDescent="0.2">
      <c r="A1" t="s">
        <v>8380</v>
      </c>
      <c r="B1" t="s">
        <v>8381</v>
      </c>
      <c r="C1" t="s">
        <v>8383</v>
      </c>
      <c r="D1" t="s">
        <v>8384</v>
      </c>
      <c r="E1" t="s">
        <v>8385</v>
      </c>
      <c r="F1" t="s">
        <v>8386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s="18" t="s">
        <v>8382</v>
      </c>
      <c r="B4" t="e">
        <f>VLOOKUP(A4, Kickstarter!B:P, 2, FALSE)</f>
        <v>#N/A</v>
      </c>
      <c r="C4" t="e">
        <f>VLOOKUP(A4, Kickstarter!B:E, 3, FALSE)</f>
        <v>#N/A</v>
      </c>
      <c r="D4" t="e">
        <f>VLOOKUP(A4, Kickstarter!B:E, 4, FALSE)</f>
        <v>#N/A</v>
      </c>
      <c r="E4" t="e">
        <f>VLOOKUP(A4, Kickstarter!B:P, 15, FALSE)</f>
        <v>#N/A</v>
      </c>
      <c r="F4" t="e">
        <f>VLOOKUP(A4, Kickstarter!B:L, 11, FALSE)</f>
        <v>#N/A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s="18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6C175-7162-464E-B469-A419A5FC4F24}">
  <sheetPr codeName="Sheet8"/>
  <dimension ref="A1:F14"/>
  <sheetViews>
    <sheetView workbookViewId="0">
      <selection activeCell="F3" sqref="F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11" bestFit="1" customWidth="1"/>
    <col min="13" max="13" width="12.5" bestFit="1" customWidth="1"/>
    <col min="14" max="14" width="7.6640625" bestFit="1" customWidth="1"/>
    <col min="15" max="15" width="11" bestFit="1" customWidth="1"/>
    <col min="16" max="16" width="12.5" bestFit="1" customWidth="1"/>
    <col min="17" max="17" width="9.33203125" bestFit="1" customWidth="1"/>
    <col min="18" max="18" width="12.5" bestFit="1" customWidth="1"/>
    <col min="19" max="19" width="7.6640625" bestFit="1" customWidth="1"/>
    <col min="20" max="20" width="12.5" bestFit="1" customWidth="1"/>
    <col min="21" max="21" width="8.6640625" bestFit="1" customWidth="1"/>
    <col min="22" max="22" width="11" bestFit="1" customWidth="1"/>
    <col min="23" max="23" width="7" bestFit="1" customWidth="1"/>
    <col min="24" max="24" width="13.5" bestFit="1" customWidth="1"/>
    <col min="25" max="25" width="9.1640625" bestFit="1" customWidth="1"/>
    <col min="26" max="26" width="13.5" bestFit="1" customWidth="1"/>
    <col min="27" max="27" width="8.6640625" bestFit="1" customWidth="1"/>
    <col min="28" max="28" width="13.5" bestFit="1" customWidth="1"/>
    <col min="29" max="29" width="9.83203125" bestFit="1" customWidth="1"/>
    <col min="30" max="30" width="13.5" bestFit="1" customWidth="1"/>
    <col min="31" max="31" width="8.6640625" bestFit="1" customWidth="1"/>
    <col min="32" max="32" width="9.83203125" bestFit="1" customWidth="1"/>
    <col min="33" max="33" width="7" bestFit="1" customWidth="1"/>
    <col min="34" max="34" width="13.5" bestFit="1" customWidth="1"/>
    <col min="35" max="35" width="8.6640625" bestFit="1" customWidth="1"/>
    <col min="36" max="36" width="13.5" bestFit="1" customWidth="1"/>
    <col min="37" max="37" width="9.33203125" bestFit="1" customWidth="1"/>
    <col min="38" max="38" width="7" bestFit="1" customWidth="1"/>
    <col min="39" max="39" width="13.5" bestFit="1" customWidth="1"/>
    <col min="40" max="40" width="10.5" bestFit="1" customWidth="1"/>
    <col min="41" max="41" width="9.1640625" bestFit="1" customWidth="1"/>
    <col min="42" max="42" width="7" bestFit="1" customWidth="1"/>
    <col min="43" max="43" width="13.5" bestFit="1" customWidth="1"/>
    <col min="44" max="44" width="8.6640625" bestFit="1" customWidth="1"/>
    <col min="45" max="45" width="6" bestFit="1" customWidth="1"/>
    <col min="46" max="46" width="5.6640625" bestFit="1" customWidth="1"/>
    <col min="47" max="47" width="9.1640625" bestFit="1" customWidth="1"/>
    <col min="48" max="48" width="9.83203125" bestFit="1" customWidth="1"/>
    <col min="49" max="49" width="7" bestFit="1" customWidth="1"/>
    <col min="50" max="50" width="13.5" bestFit="1" customWidth="1"/>
    <col min="51" max="51" width="8.6640625" bestFit="1" customWidth="1"/>
    <col min="52" max="52" width="13.5" bestFit="1" customWidth="1"/>
    <col min="53" max="53" width="10.5" bestFit="1" customWidth="1"/>
    <col min="54" max="54" width="4.6640625" bestFit="1" customWidth="1"/>
    <col min="55" max="55" width="5.6640625" bestFit="1" customWidth="1"/>
    <col min="56" max="56" width="9.1640625" bestFit="1" customWidth="1"/>
    <col min="57" max="57" width="9.83203125" bestFit="1" customWidth="1"/>
    <col min="58" max="58" width="7" bestFit="1" customWidth="1"/>
    <col min="59" max="59" width="13.5" bestFit="1" customWidth="1"/>
    <col min="60" max="60" width="9.83203125" bestFit="1" customWidth="1"/>
    <col min="61" max="61" width="13.5" bestFit="1" customWidth="1"/>
    <col min="62" max="62" width="10.5" bestFit="1" customWidth="1"/>
    <col min="63" max="63" width="5.6640625" bestFit="1" customWidth="1"/>
    <col min="64" max="64" width="7" bestFit="1" customWidth="1"/>
    <col min="65" max="65" width="13.5" bestFit="1" customWidth="1"/>
    <col min="66" max="66" width="10.5" bestFit="1" customWidth="1"/>
    <col min="67" max="67" width="4.6640625" bestFit="1" customWidth="1"/>
    <col min="68" max="68" width="6" bestFit="1" customWidth="1"/>
    <col min="69" max="69" width="5.6640625" bestFit="1" customWidth="1"/>
    <col min="70" max="70" width="9.83203125" bestFit="1" customWidth="1"/>
    <col min="71" max="71" width="7" bestFit="1" customWidth="1"/>
    <col min="72" max="72" width="13.5" bestFit="1" customWidth="1"/>
    <col min="73" max="73" width="8.6640625" bestFit="1" customWidth="1"/>
    <col min="74" max="74" width="9.83203125" bestFit="1" customWidth="1"/>
    <col min="75" max="75" width="13.5" bestFit="1" customWidth="1"/>
    <col min="76" max="76" width="10.5" bestFit="1" customWidth="1"/>
    <col min="77" max="77" width="11" bestFit="1" customWidth="1"/>
    <col min="78" max="78" width="7" bestFit="1" customWidth="1"/>
    <col min="79" max="79" width="13.5" bestFit="1" customWidth="1"/>
    <col min="80" max="80" width="8.6640625" bestFit="1" customWidth="1"/>
    <col min="81" max="81" width="13.5" bestFit="1" customWidth="1"/>
    <col min="82" max="82" width="10.5" bestFit="1" customWidth="1"/>
    <col min="83" max="83" width="4.6640625" bestFit="1" customWidth="1"/>
    <col min="84" max="84" width="6" bestFit="1" customWidth="1"/>
    <col min="85" max="85" width="9.33203125" bestFit="1" customWidth="1"/>
    <col min="86" max="86" width="5.6640625" bestFit="1" customWidth="1"/>
    <col min="87" max="87" width="11" bestFit="1" customWidth="1"/>
    <col min="88" max="88" width="9.1640625" bestFit="1" customWidth="1"/>
    <col min="89" max="89" width="9.83203125" bestFit="1" customWidth="1"/>
    <col min="90" max="90" width="7" bestFit="1" customWidth="1"/>
    <col min="91" max="91" width="13.5" bestFit="1" customWidth="1"/>
    <col min="92" max="92" width="10.5" bestFit="1" customWidth="1"/>
    <col min="93" max="93" width="13.5" bestFit="1" customWidth="1"/>
    <col min="94" max="94" width="11" bestFit="1" customWidth="1"/>
    <col min="95" max="95" width="13.5" bestFit="1" customWidth="1"/>
    <col min="96" max="96" width="8.6640625" bestFit="1" customWidth="1"/>
    <col min="97" max="97" width="13.5" bestFit="1" customWidth="1"/>
    <col min="98" max="98" width="8.6640625" bestFit="1" customWidth="1"/>
    <col min="99" max="99" width="5.6640625" bestFit="1" customWidth="1"/>
    <col min="100" max="100" width="9.1640625" bestFit="1" customWidth="1"/>
    <col min="101" max="101" width="13.5" bestFit="1" customWidth="1"/>
    <col min="102" max="102" width="10.5" bestFit="1" customWidth="1"/>
    <col min="103" max="103" width="4.6640625" bestFit="1" customWidth="1"/>
    <col min="104" max="104" width="6" bestFit="1" customWidth="1"/>
    <col min="105" max="105" width="5.6640625" bestFit="1" customWidth="1"/>
    <col min="106" max="106" width="9.1640625" bestFit="1" customWidth="1"/>
    <col min="107" max="107" width="9.83203125" bestFit="1" customWidth="1"/>
    <col min="108" max="108" width="7" bestFit="1" customWidth="1"/>
    <col min="109" max="109" width="13.5" bestFit="1" customWidth="1"/>
    <col min="110" max="110" width="10.5" bestFit="1" customWidth="1"/>
    <col min="111" max="111" width="9.33203125" bestFit="1" customWidth="1"/>
    <col min="112" max="112" width="5.6640625" bestFit="1" customWidth="1"/>
    <col min="113" max="113" width="7" bestFit="1" customWidth="1"/>
    <col min="114" max="114" width="13.5" bestFit="1" customWidth="1"/>
    <col min="115" max="115" width="9.1640625" bestFit="1" customWidth="1"/>
    <col min="116" max="116" width="13.5" bestFit="1" customWidth="1"/>
    <col min="117" max="117" width="9.83203125" bestFit="1" customWidth="1"/>
    <col min="118" max="118" width="13.5" bestFit="1" customWidth="1"/>
    <col min="119" max="119" width="8.6640625" bestFit="1" customWidth="1"/>
    <col min="120" max="120" width="13.5" bestFit="1" customWidth="1"/>
    <col min="121" max="121" width="8.6640625" bestFit="1" customWidth="1"/>
    <col min="122" max="122" width="11" bestFit="1" customWidth="1"/>
    <col min="123" max="123" width="9.1640625" bestFit="1" customWidth="1"/>
    <col min="124" max="124" width="7" bestFit="1" customWidth="1"/>
    <col min="125" max="125" width="13.5" bestFit="1" customWidth="1"/>
    <col min="126" max="126" width="8.6640625" bestFit="1" customWidth="1"/>
    <col min="127" max="127" width="13.5" bestFit="1" customWidth="1"/>
    <col min="128" max="128" width="10.5" bestFit="1" customWidth="1"/>
    <col min="129" max="129" width="6" bestFit="1" customWidth="1"/>
    <col min="130" max="130" width="5.6640625" bestFit="1" customWidth="1"/>
    <col min="131" max="131" width="11" bestFit="1" customWidth="1"/>
    <col min="132" max="132" width="9.83203125" bestFit="1" customWidth="1"/>
    <col min="133" max="133" width="7" bestFit="1" customWidth="1"/>
    <col min="134" max="134" width="13.5" bestFit="1" customWidth="1"/>
    <col min="135" max="135" width="8.6640625" bestFit="1" customWidth="1"/>
    <col min="136" max="136" width="13.5" bestFit="1" customWidth="1"/>
    <col min="137" max="137" width="10.5" bestFit="1" customWidth="1"/>
    <col min="138" max="138" width="5.6640625" bestFit="1" customWidth="1"/>
    <col min="139" max="139" width="11" bestFit="1" customWidth="1"/>
    <col min="140" max="140" width="9.83203125" bestFit="1" customWidth="1"/>
    <col min="141" max="141" width="7" bestFit="1" customWidth="1"/>
    <col min="142" max="142" width="13.5" bestFit="1" customWidth="1"/>
    <col min="143" max="143" width="9.83203125" bestFit="1" customWidth="1"/>
    <col min="144" max="144" width="13.5" bestFit="1" customWidth="1"/>
    <col min="145" max="145" width="10.5" bestFit="1" customWidth="1"/>
    <col min="146" max="146" width="5.6640625" bestFit="1" customWidth="1"/>
    <col min="147" max="147" width="9.83203125" bestFit="1" customWidth="1"/>
    <col min="148" max="148" width="7" bestFit="1" customWidth="1"/>
    <col min="149" max="149" width="13.5" bestFit="1" customWidth="1"/>
    <col min="150" max="150" width="10.5" bestFit="1" customWidth="1"/>
    <col min="151" max="151" width="5.6640625" bestFit="1" customWidth="1"/>
    <col min="152" max="152" width="7" bestFit="1" customWidth="1"/>
    <col min="153" max="153" width="13.5" bestFit="1" customWidth="1"/>
    <col min="154" max="154" width="8.6640625" bestFit="1" customWidth="1"/>
    <col min="155" max="155" width="13.5" bestFit="1" customWidth="1"/>
    <col min="156" max="156" width="9.83203125" bestFit="1" customWidth="1"/>
    <col min="157" max="157" width="13.5" bestFit="1" customWidth="1"/>
    <col min="158" max="158" width="8.6640625" bestFit="1" customWidth="1"/>
    <col min="159" max="159" width="13.5" bestFit="1" customWidth="1"/>
    <col min="160" max="160" width="8.6640625" bestFit="1" customWidth="1"/>
    <col min="161" max="161" width="13.5" bestFit="1" customWidth="1"/>
    <col min="162" max="162" width="10.5" bestFit="1" customWidth="1"/>
    <col min="163" max="163" width="5.6640625" bestFit="1" customWidth="1"/>
    <col min="164" max="164" width="13.5" bestFit="1" customWidth="1"/>
    <col min="165" max="165" width="10.5" bestFit="1" customWidth="1"/>
    <col min="166" max="166" width="4.6640625" bestFit="1" customWidth="1"/>
    <col min="167" max="167" width="6" bestFit="1" customWidth="1"/>
    <col min="168" max="168" width="9.33203125" bestFit="1" customWidth="1"/>
    <col min="169" max="169" width="5.6640625" bestFit="1" customWidth="1"/>
    <col min="170" max="170" width="11" bestFit="1" customWidth="1"/>
    <col min="171" max="171" width="9.1640625" bestFit="1" customWidth="1"/>
    <col min="172" max="172" width="9.83203125" bestFit="1" customWidth="1"/>
    <col min="173" max="173" width="7" bestFit="1" customWidth="1"/>
    <col min="174" max="174" width="15" bestFit="1" customWidth="1"/>
    <col min="175" max="175" width="10.1640625" bestFit="1" customWidth="1"/>
    <col min="176" max="176" width="15" bestFit="1" customWidth="1"/>
    <col min="177" max="177" width="10.1640625" bestFit="1" customWidth="1"/>
    <col min="178" max="178" width="15" bestFit="1" customWidth="1"/>
    <col min="179" max="179" width="10.1640625" bestFit="1" customWidth="1"/>
    <col min="180" max="180" width="9.33203125" bestFit="1" customWidth="1"/>
    <col min="181" max="181" width="5.6640625" bestFit="1" customWidth="1"/>
    <col min="182" max="182" width="7" bestFit="1" customWidth="1"/>
    <col min="183" max="183" width="15" bestFit="1" customWidth="1"/>
    <col min="184" max="184" width="10.1640625" bestFit="1" customWidth="1"/>
    <col min="185" max="185" width="7" bestFit="1" customWidth="1"/>
    <col min="186" max="186" width="15" bestFit="1" customWidth="1"/>
    <col min="187" max="187" width="10.5" bestFit="1" customWidth="1"/>
    <col min="188" max="188" width="5.6640625" bestFit="1" customWidth="1"/>
    <col min="189" max="189" width="11" bestFit="1" customWidth="1"/>
    <col min="190" max="190" width="9.1640625" bestFit="1" customWidth="1"/>
    <col min="191" max="191" width="7" bestFit="1" customWidth="1"/>
    <col min="192" max="192" width="15" bestFit="1" customWidth="1"/>
    <col min="193" max="193" width="10.5" bestFit="1" customWidth="1"/>
    <col min="194" max="194" width="5.6640625" bestFit="1" customWidth="1"/>
    <col min="195" max="195" width="7" bestFit="1" customWidth="1"/>
    <col min="196" max="196" width="15" bestFit="1" customWidth="1"/>
    <col min="197" max="197" width="10.5" bestFit="1" customWidth="1"/>
    <col min="198" max="198" width="5.6640625" bestFit="1" customWidth="1"/>
    <col min="199" max="199" width="7" bestFit="1" customWidth="1"/>
    <col min="200" max="200" width="15" bestFit="1" customWidth="1"/>
    <col min="201" max="201" width="10.1640625" bestFit="1" customWidth="1"/>
    <col min="202" max="202" width="15" bestFit="1" customWidth="1"/>
    <col min="203" max="203" width="10.1640625" bestFit="1" customWidth="1"/>
    <col min="204" max="204" width="15" bestFit="1" customWidth="1"/>
    <col min="205" max="205" width="10.1640625" bestFit="1" customWidth="1"/>
    <col min="206" max="206" width="9.1640625" bestFit="1" customWidth="1"/>
    <col min="207" max="207" width="15" bestFit="1" customWidth="1"/>
    <col min="208" max="208" width="10.1640625" bestFit="1" customWidth="1"/>
    <col min="209" max="209" width="15" bestFit="1" customWidth="1"/>
    <col min="210" max="210" width="10.5" bestFit="1" customWidth="1"/>
    <col min="211" max="211" width="4.6640625" bestFit="1" customWidth="1"/>
    <col min="212" max="212" width="6" bestFit="1" customWidth="1"/>
    <col min="213" max="213" width="9.33203125" bestFit="1" customWidth="1"/>
    <col min="214" max="214" width="5.6640625" bestFit="1" customWidth="1"/>
    <col min="215" max="215" width="11" bestFit="1" customWidth="1"/>
    <col min="216" max="216" width="9.1640625" bestFit="1" customWidth="1"/>
    <col min="217" max="217" width="9.83203125" bestFit="1" customWidth="1"/>
    <col min="218" max="218" width="7" bestFit="1" customWidth="1"/>
    <col min="219" max="219" width="15" bestFit="1" customWidth="1"/>
    <col min="220" max="220" width="10.1640625" bestFit="1" customWidth="1"/>
    <col min="221" max="221" width="15" bestFit="1" customWidth="1"/>
    <col min="222" max="222" width="10.1640625" bestFit="1" customWidth="1"/>
    <col min="223" max="223" width="15" bestFit="1" customWidth="1"/>
    <col min="224" max="224" width="10.1640625" bestFit="1" customWidth="1"/>
    <col min="225" max="225" width="9.1640625" bestFit="1" customWidth="1"/>
    <col min="226" max="226" width="7" bestFit="1" customWidth="1"/>
    <col min="227" max="227" width="15" bestFit="1" customWidth="1"/>
    <col min="228" max="228" width="10.1640625" bestFit="1" customWidth="1"/>
    <col min="229" max="229" width="15" bestFit="1" customWidth="1"/>
    <col min="230" max="230" width="10.1640625" bestFit="1" customWidth="1"/>
    <col min="231" max="231" width="15" bestFit="1" customWidth="1"/>
    <col min="232" max="232" width="10.1640625" bestFit="1" customWidth="1"/>
    <col min="233" max="233" width="7" bestFit="1" customWidth="1"/>
    <col min="234" max="234" width="15" bestFit="1" customWidth="1"/>
    <col min="235" max="235" width="10.1640625" bestFit="1" customWidth="1"/>
    <col min="236" max="236" width="9.1640625" bestFit="1" customWidth="1"/>
    <col min="237" max="237" width="9.83203125" bestFit="1" customWidth="1"/>
    <col min="238" max="238" width="7" bestFit="1" customWidth="1"/>
    <col min="239" max="239" width="15" bestFit="1" customWidth="1"/>
    <col min="240" max="240" width="10.5" bestFit="1" customWidth="1"/>
    <col min="241" max="241" width="6" bestFit="1" customWidth="1"/>
    <col min="242" max="242" width="5.6640625" bestFit="1" customWidth="1"/>
    <col min="243" max="243" width="7" bestFit="1" customWidth="1"/>
    <col min="244" max="244" width="15" bestFit="1" customWidth="1"/>
    <col min="245" max="245" width="10.1640625" bestFit="1" customWidth="1"/>
    <col min="246" max="246" width="15" bestFit="1" customWidth="1"/>
    <col min="247" max="247" width="10.1640625" bestFit="1" customWidth="1"/>
    <col min="248" max="248" width="7" bestFit="1" customWidth="1"/>
    <col min="249" max="249" width="15" bestFit="1" customWidth="1"/>
    <col min="250" max="250" width="10.1640625" bestFit="1" customWidth="1"/>
    <col min="251" max="251" width="15" bestFit="1" customWidth="1"/>
    <col min="252" max="252" width="10.1640625" bestFit="1" customWidth="1"/>
    <col min="253" max="253" width="15" bestFit="1" customWidth="1"/>
    <col min="254" max="254" width="10.5" bestFit="1" customWidth="1"/>
    <col min="255" max="255" width="6" bestFit="1" customWidth="1"/>
    <col min="256" max="256" width="9.33203125" bestFit="1" customWidth="1"/>
    <col min="257" max="257" width="5.6640625" bestFit="1" customWidth="1"/>
    <col min="258" max="258" width="11" bestFit="1" customWidth="1"/>
    <col min="259" max="259" width="9.1640625" bestFit="1" customWidth="1"/>
    <col min="260" max="260" width="9.83203125" bestFit="1" customWidth="1"/>
    <col min="261" max="261" width="7" bestFit="1" customWidth="1"/>
    <col min="262" max="262" width="15" bestFit="1" customWidth="1"/>
    <col min="263" max="263" width="10.1640625" bestFit="1" customWidth="1"/>
    <col min="264" max="264" width="5.6640625" bestFit="1" customWidth="1"/>
    <col min="265" max="265" width="7" bestFit="1" customWidth="1"/>
    <col min="266" max="266" width="15" bestFit="1" customWidth="1"/>
    <col min="267" max="267" width="10.5" bestFit="1" customWidth="1"/>
    <col min="268" max="268" width="6" bestFit="1" customWidth="1"/>
    <col min="269" max="269" width="5.6640625" bestFit="1" customWidth="1"/>
    <col min="270" max="270" width="9.1640625" bestFit="1" customWidth="1"/>
    <col min="271" max="271" width="7" bestFit="1" customWidth="1"/>
    <col min="272" max="272" width="15" bestFit="1" customWidth="1"/>
    <col min="273" max="273" width="10.1640625" bestFit="1" customWidth="1"/>
    <col min="274" max="274" width="15" bestFit="1" customWidth="1"/>
    <col min="275" max="275" width="10.1640625" bestFit="1" customWidth="1"/>
    <col min="276" max="276" width="15" bestFit="1" customWidth="1"/>
    <col min="277" max="277" width="11" bestFit="1" customWidth="1"/>
    <col min="278" max="278" width="15" bestFit="1" customWidth="1"/>
    <col min="279" max="279" width="10.5" bestFit="1" customWidth="1"/>
    <col min="280" max="280" width="5.6640625" bestFit="1" customWidth="1"/>
    <col min="281" max="281" width="15" bestFit="1" customWidth="1"/>
    <col min="282" max="282" width="11" bestFit="1" customWidth="1"/>
    <col min="283" max="283" width="15" bestFit="1" customWidth="1"/>
    <col min="284" max="284" width="10.1640625" bestFit="1" customWidth="1"/>
    <col min="285" max="285" width="9.1640625" bestFit="1" customWidth="1"/>
    <col min="286" max="286" width="7" bestFit="1" customWidth="1"/>
    <col min="287" max="287" width="15" bestFit="1" customWidth="1"/>
    <col min="288" max="288" width="10.5" bestFit="1" customWidth="1"/>
    <col min="289" max="289" width="4.6640625" bestFit="1" customWidth="1"/>
    <col min="290" max="290" width="6" bestFit="1" customWidth="1"/>
    <col min="291" max="291" width="9.33203125" bestFit="1" customWidth="1"/>
    <col min="292" max="292" width="5.6640625" bestFit="1" customWidth="1"/>
    <col min="293" max="293" width="11" bestFit="1" customWidth="1"/>
    <col min="294" max="294" width="9.1640625" bestFit="1" customWidth="1"/>
    <col min="295" max="295" width="9.83203125" bestFit="1" customWidth="1"/>
    <col min="296" max="296" width="7" bestFit="1" customWidth="1"/>
    <col min="297" max="297" width="15" bestFit="1" customWidth="1"/>
    <col min="298" max="298" width="10.1640625" bestFit="1" customWidth="1"/>
    <col min="299" max="299" width="15" bestFit="1" customWidth="1"/>
    <col min="300" max="300" width="10.5" bestFit="1" customWidth="1"/>
    <col min="301" max="301" width="11" bestFit="1" customWidth="1"/>
    <col min="302" max="302" width="7" bestFit="1" customWidth="1"/>
    <col min="303" max="303" width="15" bestFit="1" customWidth="1"/>
    <col min="304" max="304" width="10.1640625" bestFit="1" customWidth="1"/>
    <col min="305" max="305" width="11" bestFit="1" customWidth="1"/>
    <col min="306" max="306" width="7" bestFit="1" customWidth="1"/>
    <col min="307" max="307" width="15" bestFit="1" customWidth="1"/>
    <col min="308" max="308" width="10.1640625" bestFit="1" customWidth="1"/>
    <col min="309" max="309" width="15" bestFit="1" customWidth="1"/>
    <col min="310" max="310" width="10.5" bestFit="1" customWidth="1"/>
    <col min="311" max="311" width="6" bestFit="1" customWidth="1"/>
    <col min="312" max="312" width="5.6640625" bestFit="1" customWidth="1"/>
    <col min="313" max="313" width="9.1640625" bestFit="1" customWidth="1"/>
    <col min="314" max="314" width="7" bestFit="1" customWidth="1"/>
    <col min="315" max="315" width="15" bestFit="1" customWidth="1"/>
    <col min="316" max="316" width="10.5" bestFit="1" customWidth="1"/>
    <col min="317" max="317" width="15" bestFit="1" customWidth="1"/>
    <col min="318" max="318" width="10.1640625" bestFit="1" customWidth="1"/>
    <col min="319" max="319" width="15" bestFit="1" customWidth="1"/>
    <col min="320" max="320" width="10.1640625" bestFit="1" customWidth="1"/>
    <col min="321" max="321" width="15" bestFit="1" customWidth="1"/>
    <col min="322" max="322" width="10.1640625" bestFit="1" customWidth="1"/>
    <col min="323" max="323" width="15" bestFit="1" customWidth="1"/>
    <col min="324" max="324" width="10.1640625" bestFit="1" customWidth="1"/>
    <col min="325" max="325" width="15" bestFit="1" customWidth="1"/>
    <col min="326" max="326" width="10.1640625" bestFit="1" customWidth="1"/>
    <col min="327" max="327" width="15" bestFit="1" customWidth="1"/>
    <col min="328" max="328" width="10.1640625" bestFit="1" customWidth="1"/>
    <col min="329" max="329" width="9.1640625" bestFit="1" customWidth="1"/>
    <col min="330" max="330" width="15" bestFit="1" customWidth="1"/>
    <col min="331" max="331" width="10.1640625" bestFit="1" customWidth="1"/>
    <col min="332" max="332" width="15" bestFit="1" customWidth="1"/>
    <col min="333" max="333" width="10.5" bestFit="1" customWidth="1"/>
    <col min="334" max="334" width="15" bestFit="1" customWidth="1"/>
    <col min="335" max="335" width="10.5" bestFit="1" customWidth="1"/>
    <col min="336" max="336" width="4.6640625" bestFit="1" customWidth="1"/>
    <col min="337" max="337" width="5.6640625" bestFit="1" customWidth="1"/>
    <col min="338" max="338" width="11" bestFit="1" customWidth="1"/>
    <col min="339" max="339" width="9.1640625" bestFit="1" customWidth="1"/>
    <col min="340" max="340" width="9.83203125" bestFit="1" customWidth="1"/>
    <col min="341" max="341" width="7" bestFit="1" customWidth="1"/>
    <col min="342" max="342" width="15" bestFit="1" customWidth="1"/>
    <col min="343" max="343" width="10.1640625" bestFit="1" customWidth="1"/>
    <col min="344" max="344" width="15" bestFit="1" customWidth="1"/>
    <col min="345" max="345" width="10.5" bestFit="1" customWidth="1"/>
    <col min="346" max="346" width="5.6640625" bestFit="1" customWidth="1"/>
    <col min="347" max="347" width="11" bestFit="1" customWidth="1"/>
    <col min="348" max="348" width="7" bestFit="1" customWidth="1"/>
    <col min="349" max="349" width="15" bestFit="1" customWidth="1"/>
    <col min="350" max="350" width="10.5" bestFit="1" customWidth="1"/>
    <col min="351" max="351" width="4.6640625" bestFit="1" customWidth="1"/>
    <col min="352" max="352" width="9.1640625" bestFit="1" customWidth="1"/>
    <col min="353" max="353" width="15" bestFit="1" customWidth="1"/>
    <col min="354" max="354" width="10.1640625" bestFit="1" customWidth="1"/>
    <col min="355" max="355" width="15" bestFit="1" customWidth="1"/>
    <col min="356" max="356" width="10.1640625" bestFit="1" customWidth="1"/>
    <col min="357" max="357" width="15" bestFit="1" customWidth="1"/>
    <col min="358" max="358" width="10.1640625" bestFit="1" customWidth="1"/>
    <col min="359" max="359" width="15" bestFit="1" customWidth="1"/>
    <col min="360" max="360" width="10.5" bestFit="1" customWidth="1"/>
    <col min="361" max="361" width="6" bestFit="1" customWidth="1"/>
    <col min="362" max="362" width="5.6640625" bestFit="1" customWidth="1"/>
    <col min="363" max="363" width="7" bestFit="1" customWidth="1"/>
    <col min="364" max="364" width="15" bestFit="1" customWidth="1"/>
    <col min="365" max="365" width="10.1640625" bestFit="1" customWidth="1"/>
    <col min="366" max="366" width="15" bestFit="1" customWidth="1"/>
    <col min="367" max="367" width="10.1640625" bestFit="1" customWidth="1"/>
    <col min="368" max="368" width="7" bestFit="1" customWidth="1"/>
    <col min="369" max="369" width="15" bestFit="1" customWidth="1"/>
    <col min="370" max="370" width="10.5" bestFit="1" customWidth="1"/>
    <col min="371" max="371" width="5.6640625" bestFit="1" customWidth="1"/>
    <col min="372" max="372" width="9.1640625" bestFit="1" customWidth="1"/>
    <col min="373" max="373" width="7" bestFit="1" customWidth="1"/>
    <col min="374" max="374" width="15" bestFit="1" customWidth="1"/>
    <col min="375" max="375" width="10.1640625" bestFit="1" customWidth="1"/>
    <col min="376" max="376" width="15" bestFit="1" customWidth="1"/>
    <col min="377" max="377" width="10.1640625" bestFit="1" customWidth="1"/>
    <col min="378" max="378" width="15" bestFit="1" customWidth="1"/>
    <col min="379" max="379" width="10.5" bestFit="1" customWidth="1"/>
    <col min="380" max="380" width="4.6640625" bestFit="1" customWidth="1"/>
    <col min="381" max="381" width="6" bestFit="1" customWidth="1"/>
    <col min="382" max="382" width="9.33203125" bestFit="1" customWidth="1"/>
    <col min="383" max="383" width="5.6640625" bestFit="1" customWidth="1"/>
    <col min="384" max="384" width="11" bestFit="1" customWidth="1"/>
    <col min="385" max="385" width="9.1640625" bestFit="1" customWidth="1"/>
    <col min="386" max="386" width="9.83203125" bestFit="1" customWidth="1"/>
    <col min="387" max="387" width="7" bestFit="1" customWidth="1"/>
    <col min="388" max="388" width="15" bestFit="1" customWidth="1"/>
    <col min="389" max="389" width="10.1640625" bestFit="1" customWidth="1"/>
    <col min="390" max="390" width="9.1640625" bestFit="1" customWidth="1"/>
    <col min="391" max="391" width="15" bestFit="1" customWidth="1"/>
    <col min="392" max="392" width="10.1640625" bestFit="1" customWidth="1"/>
    <col min="393" max="393" width="15" bestFit="1" customWidth="1"/>
    <col min="394" max="394" width="10.1640625" bestFit="1" customWidth="1"/>
    <col min="395" max="395" width="7" bestFit="1" customWidth="1"/>
    <col min="396" max="396" width="15" bestFit="1" customWidth="1"/>
    <col min="397" max="397" width="10.1640625" bestFit="1" customWidth="1"/>
    <col min="398" max="398" width="15" bestFit="1" customWidth="1"/>
    <col min="399" max="399" width="10.1640625" bestFit="1" customWidth="1"/>
    <col min="400" max="400" width="7" bestFit="1" customWidth="1"/>
    <col min="401" max="401" width="15" bestFit="1" customWidth="1"/>
    <col min="402" max="402" width="10.1640625" bestFit="1" customWidth="1"/>
    <col min="403" max="403" width="15" bestFit="1" customWidth="1"/>
    <col min="404" max="404" width="10.1640625" bestFit="1" customWidth="1"/>
    <col min="405" max="405" width="15" bestFit="1" customWidth="1"/>
    <col min="406" max="406" width="10.1640625" bestFit="1" customWidth="1"/>
    <col min="407" max="407" width="15" bestFit="1" customWidth="1"/>
    <col min="408" max="408" width="10.5" bestFit="1" customWidth="1"/>
    <col min="409" max="409" width="15" bestFit="1" customWidth="1"/>
    <col min="410" max="410" width="10.5" bestFit="1" customWidth="1"/>
    <col min="411" max="411" width="4.6640625" bestFit="1" customWidth="1"/>
    <col min="412" max="412" width="6" bestFit="1" customWidth="1"/>
    <col min="413" max="413" width="9.33203125" bestFit="1" customWidth="1"/>
    <col min="414" max="414" width="5.6640625" bestFit="1" customWidth="1"/>
    <col min="415" max="415" width="11" bestFit="1" customWidth="1"/>
    <col min="416" max="416" width="9.1640625" bestFit="1" customWidth="1"/>
    <col min="417" max="417" width="9.83203125" bestFit="1" customWidth="1"/>
    <col min="418" max="418" width="7" bestFit="1" customWidth="1"/>
    <col min="419" max="419" width="15" bestFit="1" customWidth="1"/>
    <col min="420" max="420" width="10.1640625" bestFit="1" customWidth="1"/>
    <col min="421" max="421" width="15" bestFit="1" customWidth="1"/>
    <col min="422" max="422" width="10.1640625" bestFit="1" customWidth="1"/>
    <col min="423" max="423" width="15" bestFit="1" customWidth="1"/>
    <col min="424" max="424" width="10.1640625" bestFit="1" customWidth="1"/>
    <col min="425" max="425" width="9.83203125" bestFit="1" customWidth="1"/>
    <col min="426" max="426" width="7" bestFit="1" customWidth="1"/>
    <col min="427" max="427" width="15" bestFit="1" customWidth="1"/>
    <col min="428" max="428" width="11" bestFit="1" customWidth="1"/>
    <col min="429" max="429" width="7" bestFit="1" customWidth="1"/>
    <col min="430" max="430" width="15" bestFit="1" customWidth="1"/>
    <col min="431" max="431" width="10.1640625" bestFit="1" customWidth="1"/>
    <col min="432" max="432" width="15" bestFit="1" customWidth="1"/>
    <col min="433" max="433" width="10.1640625" bestFit="1" customWidth="1"/>
    <col min="434" max="434" width="9.1640625" bestFit="1" customWidth="1"/>
    <col min="435" max="435" width="15" bestFit="1" customWidth="1"/>
    <col min="436" max="436" width="10.1640625" bestFit="1" customWidth="1"/>
    <col min="437" max="437" width="15" bestFit="1" customWidth="1"/>
    <col min="438" max="438" width="10.5" bestFit="1" customWidth="1"/>
    <col min="439" max="439" width="15" bestFit="1" customWidth="1"/>
    <col min="440" max="440" width="10.5" bestFit="1" customWidth="1"/>
    <col min="441" max="441" width="5.6640625" bestFit="1" customWidth="1"/>
    <col min="442" max="442" width="9.1640625" bestFit="1" customWidth="1"/>
    <col min="443" max="443" width="9.83203125" bestFit="1" customWidth="1"/>
    <col min="444" max="444" width="7" bestFit="1" customWidth="1"/>
    <col min="445" max="445" width="15" bestFit="1" customWidth="1"/>
    <col min="446" max="446" width="10.1640625" bestFit="1" customWidth="1"/>
    <col min="447" max="447" width="15" bestFit="1" customWidth="1"/>
    <col min="448" max="448" width="10.1640625" bestFit="1" customWidth="1"/>
    <col min="449" max="449" width="15" bestFit="1" customWidth="1"/>
    <col min="450" max="450" width="10.1640625" bestFit="1" customWidth="1"/>
    <col min="451" max="451" width="5.6640625" bestFit="1" customWidth="1"/>
    <col min="452" max="452" width="9.83203125" bestFit="1" customWidth="1"/>
    <col min="453" max="453" width="15" bestFit="1" customWidth="1"/>
    <col min="454" max="454" width="11" bestFit="1" customWidth="1"/>
    <col min="455" max="455" width="9.1640625" bestFit="1" customWidth="1"/>
    <col min="456" max="456" width="15" bestFit="1" customWidth="1"/>
    <col min="457" max="457" width="10.1640625" bestFit="1" customWidth="1"/>
    <col min="458" max="458" width="9.83203125" bestFit="1" customWidth="1"/>
    <col min="459" max="459" width="7" bestFit="1" customWidth="1"/>
    <col min="460" max="460" width="15" bestFit="1" customWidth="1"/>
    <col min="461" max="461" width="10.1640625" bestFit="1" customWidth="1"/>
    <col min="462" max="462" width="15" bestFit="1" customWidth="1"/>
    <col min="463" max="463" width="10.5" bestFit="1" customWidth="1"/>
    <col min="464" max="464" width="4.6640625" bestFit="1" customWidth="1"/>
    <col min="465" max="465" width="6" bestFit="1" customWidth="1"/>
    <col min="466" max="466" width="9.33203125" bestFit="1" customWidth="1"/>
    <col min="467" max="467" width="5.6640625" bestFit="1" customWidth="1"/>
    <col min="468" max="468" width="11" bestFit="1" customWidth="1"/>
    <col min="469" max="469" width="9.1640625" bestFit="1" customWidth="1"/>
    <col min="470" max="470" width="9.83203125" bestFit="1" customWidth="1"/>
    <col min="471" max="471" width="7" bestFit="1" customWidth="1"/>
    <col min="472" max="472" width="15" bestFit="1" customWidth="1"/>
    <col min="473" max="473" width="10.1640625" bestFit="1" customWidth="1"/>
    <col min="474" max="474" width="15" bestFit="1" customWidth="1"/>
    <col min="475" max="475" width="10.1640625" bestFit="1" customWidth="1"/>
    <col min="476" max="476" width="15" bestFit="1" customWidth="1"/>
    <col min="477" max="477" width="10.1640625" bestFit="1" customWidth="1"/>
    <col min="478" max="478" width="15" bestFit="1" customWidth="1"/>
    <col min="479" max="479" width="10.5" bestFit="1" customWidth="1"/>
    <col min="480" max="480" width="5.6640625" bestFit="1" customWidth="1"/>
    <col min="481" max="481" width="15" bestFit="1" customWidth="1"/>
    <col min="482" max="482" width="10.5" bestFit="1" customWidth="1"/>
    <col min="483" max="483" width="5.6640625" bestFit="1" customWidth="1"/>
    <col min="484" max="484" width="15" bestFit="1" customWidth="1"/>
    <col min="485" max="485" width="10.5" bestFit="1" customWidth="1"/>
    <col min="486" max="486" width="5.6640625" bestFit="1" customWidth="1"/>
    <col min="487" max="487" width="11" bestFit="1" customWidth="1"/>
    <col min="488" max="488" width="9.1640625" bestFit="1" customWidth="1"/>
    <col min="489" max="489" width="9.83203125" bestFit="1" customWidth="1"/>
    <col min="490" max="490" width="7" bestFit="1" customWidth="1"/>
    <col min="491" max="491" width="15" bestFit="1" customWidth="1"/>
    <col min="492" max="492" width="10.1640625" bestFit="1" customWidth="1"/>
    <col min="493" max="493" width="15" bestFit="1" customWidth="1"/>
    <col min="494" max="494" width="10.1640625" bestFit="1" customWidth="1"/>
    <col min="495" max="495" width="15" bestFit="1" customWidth="1"/>
    <col min="496" max="496" width="10.1640625" bestFit="1" customWidth="1"/>
    <col min="497" max="497" width="15" bestFit="1" customWidth="1"/>
    <col min="498" max="498" width="10.1640625" bestFit="1" customWidth="1"/>
    <col min="499" max="499" width="15" bestFit="1" customWidth="1"/>
    <col min="500" max="500" width="10.1640625" bestFit="1" customWidth="1"/>
    <col min="501" max="501" width="15" bestFit="1" customWidth="1"/>
    <col min="502" max="502" width="10.1640625" bestFit="1" customWidth="1"/>
    <col min="503" max="503" width="15" bestFit="1" customWidth="1"/>
    <col min="504" max="504" width="10.5" bestFit="1" customWidth="1"/>
    <col min="505" max="505" width="4.6640625" bestFit="1" customWidth="1"/>
    <col min="506" max="506" width="6" bestFit="1" customWidth="1"/>
    <col min="507" max="507" width="5.6640625" bestFit="1" customWidth="1"/>
    <col min="508" max="508" width="11" bestFit="1" customWidth="1"/>
    <col min="509" max="509" width="9.1640625" bestFit="1" customWidth="1"/>
    <col min="510" max="510" width="9.83203125" bestFit="1" customWidth="1"/>
    <col min="511" max="511" width="7" bestFit="1" customWidth="1"/>
    <col min="512" max="512" width="15" bestFit="1" customWidth="1"/>
    <col min="513" max="513" width="10.1640625" bestFit="1" customWidth="1"/>
    <col min="514" max="514" width="15" bestFit="1" customWidth="1"/>
    <col min="515" max="515" width="10.5" bestFit="1" customWidth="1"/>
    <col min="516" max="516" width="9.1640625" bestFit="1" customWidth="1"/>
    <col min="517" max="517" width="15" bestFit="1" customWidth="1"/>
    <col min="518" max="518" width="10.1640625" bestFit="1" customWidth="1"/>
    <col min="519" max="519" width="15" bestFit="1" customWidth="1"/>
    <col min="520" max="520" width="10.1640625" bestFit="1" customWidth="1"/>
    <col min="521" max="521" width="15" bestFit="1" customWidth="1"/>
    <col min="522" max="522" width="10.5" bestFit="1" customWidth="1"/>
    <col min="523" max="523" width="4.6640625" bestFit="1" customWidth="1"/>
    <col min="524" max="524" width="6" bestFit="1" customWidth="1"/>
    <col min="525" max="525" width="5.6640625" bestFit="1" customWidth="1"/>
    <col min="526" max="526" width="11" bestFit="1" customWidth="1"/>
    <col min="527" max="527" width="7" bestFit="1" customWidth="1"/>
    <col min="528" max="528" width="15" bestFit="1" customWidth="1"/>
    <col min="529" max="529" width="10.1640625" bestFit="1" customWidth="1"/>
    <col min="530" max="530" width="9.1640625" bestFit="1" customWidth="1"/>
    <col min="531" max="531" width="15" bestFit="1" customWidth="1"/>
    <col min="532" max="532" width="10.1640625" bestFit="1" customWidth="1"/>
    <col min="533" max="533" width="15" bestFit="1" customWidth="1"/>
    <col min="534" max="534" width="10.1640625" bestFit="1" customWidth="1"/>
    <col min="535" max="535" width="15" bestFit="1" customWidth="1"/>
    <col min="536" max="536" width="10.1640625" bestFit="1" customWidth="1"/>
    <col min="537" max="537" width="15" bestFit="1" customWidth="1"/>
    <col min="538" max="538" width="10.5" bestFit="1" customWidth="1"/>
    <col min="539" max="539" width="4.6640625" bestFit="1" customWidth="1"/>
    <col min="540" max="540" width="9.33203125" bestFit="1" customWidth="1"/>
    <col min="541" max="541" width="5.6640625" bestFit="1" customWidth="1"/>
    <col min="542" max="542" width="11" bestFit="1" customWidth="1"/>
    <col min="543" max="543" width="9.1640625" bestFit="1" customWidth="1"/>
    <col min="544" max="544" width="9.83203125" bestFit="1" customWidth="1"/>
    <col min="545" max="545" width="7" bestFit="1" customWidth="1"/>
    <col min="546" max="546" width="15" bestFit="1" customWidth="1"/>
    <col min="547" max="547" width="10.5" bestFit="1" customWidth="1"/>
    <col min="548" max="548" width="15" bestFit="1" customWidth="1"/>
    <col min="549" max="549" width="10.1640625" bestFit="1" customWidth="1"/>
    <col min="550" max="550" width="7" bestFit="1" customWidth="1"/>
    <col min="551" max="551" width="15" bestFit="1" customWidth="1"/>
    <col min="552" max="552" width="10.1640625" bestFit="1" customWidth="1"/>
    <col min="553" max="553" width="15" bestFit="1" customWidth="1"/>
    <col min="554" max="554" width="10.5" bestFit="1" customWidth="1"/>
    <col min="555" max="555" width="4.6640625" bestFit="1" customWidth="1"/>
    <col min="556" max="556" width="6" bestFit="1" customWidth="1"/>
    <col min="557" max="557" width="5.6640625" bestFit="1" customWidth="1"/>
    <col min="558" max="558" width="11" bestFit="1" customWidth="1"/>
    <col min="559" max="559" width="9.1640625" bestFit="1" customWidth="1"/>
    <col min="560" max="560" width="9.83203125" bestFit="1" customWidth="1"/>
    <col min="561" max="561" width="7" bestFit="1" customWidth="1"/>
    <col min="562" max="562" width="15" bestFit="1" customWidth="1"/>
    <col min="563" max="563" width="10.1640625" bestFit="1" customWidth="1"/>
    <col min="564" max="564" width="15" bestFit="1" customWidth="1"/>
    <col min="565" max="565" width="10.1640625" bestFit="1" customWidth="1"/>
    <col min="566" max="566" width="15" bestFit="1" customWidth="1"/>
    <col min="567" max="567" width="10.1640625" bestFit="1" customWidth="1"/>
    <col min="568" max="568" width="15" bestFit="1" customWidth="1"/>
    <col min="569" max="569" width="10.1640625" bestFit="1" customWidth="1"/>
    <col min="570" max="570" width="9.83203125" bestFit="1" customWidth="1"/>
    <col min="571" max="571" width="15" bestFit="1" customWidth="1"/>
    <col min="572" max="572" width="10.1640625" bestFit="1" customWidth="1"/>
    <col min="573" max="573" width="15" bestFit="1" customWidth="1"/>
    <col min="574" max="574" width="10.5" bestFit="1" customWidth="1"/>
    <col min="575" max="575" width="4.6640625" bestFit="1" customWidth="1"/>
    <col min="576" max="576" width="6" bestFit="1" customWidth="1"/>
    <col min="577" max="577" width="5.6640625" bestFit="1" customWidth="1"/>
    <col min="578" max="578" width="11" bestFit="1" customWidth="1"/>
    <col min="579" max="579" width="9.1640625" bestFit="1" customWidth="1"/>
    <col min="580" max="580" width="9.83203125" bestFit="1" customWidth="1"/>
    <col min="581" max="581" width="7" bestFit="1" customWidth="1"/>
    <col min="582" max="582" width="15" bestFit="1" customWidth="1"/>
    <col min="583" max="583" width="10.1640625" bestFit="1" customWidth="1"/>
    <col min="584" max="584" width="15" bestFit="1" customWidth="1"/>
    <col min="585" max="585" width="10.1640625" bestFit="1" customWidth="1"/>
    <col min="586" max="586" width="15" bestFit="1" customWidth="1"/>
    <col min="587" max="587" width="10.1640625" bestFit="1" customWidth="1"/>
    <col min="588" max="588" width="15" bestFit="1" customWidth="1"/>
    <col min="589" max="589" width="10.5" bestFit="1" customWidth="1"/>
    <col min="590" max="590" width="4.6640625" bestFit="1" customWidth="1"/>
    <col min="591" max="591" width="6" bestFit="1" customWidth="1"/>
    <col min="592" max="592" width="9.1640625" bestFit="1" customWidth="1"/>
    <col min="593" max="593" width="7" bestFit="1" customWidth="1"/>
    <col min="594" max="594" width="15" bestFit="1" customWidth="1"/>
    <col min="595" max="595" width="10.5" bestFit="1" customWidth="1"/>
    <col min="596" max="596" width="15" bestFit="1" customWidth="1"/>
    <col min="597" max="597" width="11" bestFit="1" customWidth="1"/>
    <col min="598" max="598" width="15" bestFit="1" customWidth="1"/>
    <col min="599" max="599" width="10.1640625" bestFit="1" customWidth="1"/>
    <col min="600" max="600" width="15" bestFit="1" customWidth="1"/>
    <col min="601" max="601" width="10.1640625" bestFit="1" customWidth="1"/>
    <col min="602" max="602" width="15" bestFit="1" customWidth="1"/>
    <col min="603" max="603" width="10.5" bestFit="1" customWidth="1"/>
    <col min="604" max="604" width="9.1640625" bestFit="1" customWidth="1"/>
    <col min="605" max="605" width="15" bestFit="1" customWidth="1"/>
    <col min="606" max="606" width="10.5" bestFit="1" customWidth="1"/>
    <col min="607" max="607" width="15" bestFit="1" customWidth="1"/>
    <col min="608" max="608" width="10.5" bestFit="1" customWidth="1"/>
    <col min="609" max="609" width="4.6640625" bestFit="1" customWidth="1"/>
    <col min="610" max="610" width="5.6640625" bestFit="1" customWidth="1"/>
    <col min="611" max="611" width="11" bestFit="1" customWidth="1"/>
    <col min="612" max="612" width="9.83203125" bestFit="1" customWidth="1"/>
    <col min="613" max="613" width="7" bestFit="1" customWidth="1"/>
    <col min="614" max="614" width="15" bestFit="1" customWidth="1"/>
    <col min="615" max="615" width="10.1640625" bestFit="1" customWidth="1"/>
    <col min="616" max="616" width="15" bestFit="1" customWidth="1"/>
    <col min="617" max="617" width="10.1640625" bestFit="1" customWidth="1"/>
    <col min="618" max="618" width="15" bestFit="1" customWidth="1"/>
    <col min="619" max="619" width="10.1640625" bestFit="1" customWidth="1"/>
    <col min="620" max="620" width="15" bestFit="1" customWidth="1"/>
    <col min="621" max="621" width="10.1640625" bestFit="1" customWidth="1"/>
    <col min="622" max="622" width="9.1640625" bestFit="1" customWidth="1"/>
    <col min="623" max="623" width="9.83203125" bestFit="1" customWidth="1"/>
    <col min="624" max="624" width="7" bestFit="1" customWidth="1"/>
    <col min="625" max="625" width="15" bestFit="1" customWidth="1"/>
    <col min="626" max="626" width="10.1640625" bestFit="1" customWidth="1"/>
    <col min="627" max="627" width="15" bestFit="1" customWidth="1"/>
    <col min="628" max="628" width="10.5" bestFit="1" customWidth="1"/>
    <col min="629" max="629" width="15" bestFit="1" customWidth="1"/>
    <col min="630" max="630" width="10.1640625" bestFit="1" customWidth="1"/>
    <col min="631" max="631" width="7" bestFit="1" customWidth="1"/>
    <col min="632" max="632" width="15" bestFit="1" customWidth="1"/>
    <col min="633" max="633" width="10.1640625" bestFit="1" customWidth="1"/>
    <col min="634" max="634" width="9.83203125" bestFit="1" customWidth="1"/>
    <col min="635" max="635" width="15" bestFit="1" customWidth="1"/>
    <col min="636" max="636" width="11.1640625" bestFit="1" customWidth="1"/>
    <col min="637" max="637" width="4.6640625" bestFit="1" customWidth="1"/>
    <col min="638" max="638" width="6" bestFit="1" customWidth="1"/>
    <col min="639" max="639" width="9.33203125" bestFit="1" customWidth="1"/>
    <col min="640" max="640" width="5.6640625" bestFit="1" customWidth="1"/>
    <col min="641" max="641" width="11" bestFit="1" customWidth="1"/>
    <col min="642" max="642" width="9.1640625" bestFit="1" customWidth="1"/>
    <col min="643" max="643" width="9.83203125" bestFit="1" customWidth="1"/>
    <col min="644" max="644" width="7" bestFit="1" customWidth="1"/>
    <col min="645" max="645" width="16" bestFit="1" customWidth="1"/>
    <col min="646" max="646" width="11.1640625" bestFit="1" customWidth="1"/>
    <col min="647" max="647" width="16" bestFit="1" customWidth="1"/>
    <col min="648" max="648" width="11.1640625" bestFit="1" customWidth="1"/>
    <col min="649" max="649" width="9.83203125" bestFit="1" customWidth="1"/>
    <col min="650" max="650" width="7" bestFit="1" customWidth="1"/>
    <col min="651" max="651" width="16" bestFit="1" customWidth="1"/>
    <col min="652" max="652" width="11.1640625" bestFit="1" customWidth="1"/>
    <col min="653" max="653" width="16" bestFit="1" customWidth="1"/>
    <col min="654" max="654" width="11.1640625" bestFit="1" customWidth="1"/>
    <col min="655" max="655" width="11" bestFit="1" customWidth="1"/>
    <col min="656" max="656" width="9.83203125" bestFit="1" customWidth="1"/>
    <col min="657" max="657" width="7" bestFit="1" customWidth="1"/>
    <col min="658" max="658" width="16" bestFit="1" customWidth="1"/>
    <col min="659" max="659" width="11.1640625" bestFit="1" customWidth="1"/>
    <col min="660" max="660" width="16" bestFit="1" customWidth="1"/>
    <col min="661" max="661" width="11.1640625" bestFit="1" customWidth="1"/>
    <col min="662" max="662" width="16" bestFit="1" customWidth="1"/>
    <col min="663" max="663" width="11.1640625" bestFit="1" customWidth="1"/>
    <col min="664" max="664" width="16" bestFit="1" customWidth="1"/>
    <col min="665" max="665" width="11.1640625" bestFit="1" customWidth="1"/>
    <col min="666" max="666" width="16" bestFit="1" customWidth="1"/>
    <col min="667" max="667" width="11.1640625" bestFit="1" customWidth="1"/>
    <col min="668" max="668" width="16" bestFit="1" customWidth="1"/>
    <col min="669" max="669" width="11.1640625" bestFit="1" customWidth="1"/>
    <col min="670" max="670" width="16" bestFit="1" customWidth="1"/>
    <col min="671" max="671" width="11.1640625" bestFit="1" customWidth="1"/>
    <col min="672" max="672" width="4.6640625" bestFit="1" customWidth="1"/>
    <col min="673" max="673" width="6" bestFit="1" customWidth="1"/>
    <col min="674" max="674" width="9.33203125" bestFit="1" customWidth="1"/>
    <col min="675" max="675" width="5.6640625" bestFit="1" customWidth="1"/>
    <col min="676" max="676" width="11" bestFit="1" customWidth="1"/>
    <col min="677" max="677" width="9.83203125" bestFit="1" customWidth="1"/>
    <col min="678" max="678" width="7" bestFit="1" customWidth="1"/>
    <col min="679" max="679" width="16" bestFit="1" customWidth="1"/>
    <col min="680" max="680" width="11.1640625" bestFit="1" customWidth="1"/>
    <col min="681" max="681" width="16" bestFit="1" customWidth="1"/>
    <col min="682" max="682" width="11.1640625" bestFit="1" customWidth="1"/>
    <col min="683" max="683" width="16" bestFit="1" customWidth="1"/>
    <col min="684" max="684" width="11.1640625" bestFit="1" customWidth="1"/>
    <col min="685" max="685" width="16" bestFit="1" customWidth="1"/>
    <col min="686" max="686" width="11.1640625" bestFit="1" customWidth="1"/>
    <col min="687" max="687" width="5.6640625" bestFit="1" customWidth="1"/>
    <col min="688" max="688" width="11" bestFit="1" customWidth="1"/>
    <col min="689" max="689" width="7" bestFit="1" customWidth="1"/>
    <col min="690" max="690" width="16" bestFit="1" customWidth="1"/>
    <col min="691" max="691" width="11.1640625" bestFit="1" customWidth="1"/>
    <col min="692" max="692" width="16" bestFit="1" customWidth="1"/>
    <col min="693" max="693" width="11.1640625" bestFit="1" customWidth="1"/>
    <col min="694" max="694" width="7" bestFit="1" customWidth="1"/>
    <col min="695" max="695" width="16" bestFit="1" customWidth="1"/>
    <col min="696" max="696" width="11.1640625" bestFit="1" customWidth="1"/>
    <col min="697" max="697" width="16" bestFit="1" customWidth="1"/>
    <col min="698" max="698" width="11.1640625" bestFit="1" customWidth="1"/>
    <col min="699" max="699" width="11" bestFit="1" customWidth="1"/>
    <col min="700" max="700" width="9.1640625" bestFit="1" customWidth="1"/>
    <col min="701" max="701" width="7" bestFit="1" customWidth="1"/>
    <col min="702" max="702" width="16" bestFit="1" customWidth="1"/>
    <col min="703" max="703" width="11.1640625" bestFit="1" customWidth="1"/>
    <col min="704" max="704" width="16" bestFit="1" customWidth="1"/>
    <col min="705" max="705" width="11.1640625" bestFit="1" customWidth="1"/>
    <col min="706" max="706" width="16" bestFit="1" customWidth="1"/>
    <col min="707" max="707" width="11.1640625" bestFit="1" customWidth="1"/>
    <col min="708" max="708" width="16" bestFit="1" customWidth="1"/>
    <col min="709" max="709" width="11.1640625" bestFit="1" customWidth="1"/>
    <col min="710" max="710" width="4.6640625" bestFit="1" customWidth="1"/>
    <col min="711" max="711" width="6" bestFit="1" customWidth="1"/>
    <col min="712" max="712" width="5.6640625" bestFit="1" customWidth="1"/>
    <col min="713" max="713" width="11" bestFit="1" customWidth="1"/>
    <col min="714" max="714" width="9.1640625" bestFit="1" customWidth="1"/>
    <col min="715" max="715" width="7" bestFit="1" customWidth="1"/>
    <col min="716" max="716" width="16" bestFit="1" customWidth="1"/>
    <col min="717" max="717" width="11.1640625" bestFit="1" customWidth="1"/>
    <col min="718" max="718" width="16" bestFit="1" customWidth="1"/>
    <col min="719" max="719" width="11.1640625" bestFit="1" customWidth="1"/>
    <col min="720" max="720" width="5.6640625" bestFit="1" customWidth="1"/>
    <col min="721" max="721" width="16" bestFit="1" customWidth="1"/>
    <col min="722" max="722" width="11.1640625" bestFit="1" customWidth="1"/>
    <col min="723" max="723" width="16" bestFit="1" customWidth="1"/>
    <col min="724" max="724" width="11.1640625" bestFit="1" customWidth="1"/>
    <col min="725" max="725" width="4.6640625" bestFit="1" customWidth="1"/>
    <col min="726" max="726" width="6" bestFit="1" customWidth="1"/>
    <col min="727" max="727" width="9.33203125" bestFit="1" customWidth="1"/>
    <col min="728" max="728" width="5.6640625" bestFit="1" customWidth="1"/>
    <col min="729" max="729" width="11" bestFit="1" customWidth="1"/>
    <col min="730" max="730" width="9.1640625" bestFit="1" customWidth="1"/>
    <col min="731" max="731" width="9.83203125" bestFit="1" customWidth="1"/>
    <col min="732" max="732" width="7" bestFit="1" customWidth="1"/>
    <col min="733" max="733" width="16" bestFit="1" customWidth="1"/>
    <col min="734" max="734" width="11.1640625" bestFit="1" customWidth="1"/>
    <col min="735" max="735" width="7" bestFit="1" customWidth="1"/>
    <col min="736" max="736" width="16" bestFit="1" customWidth="1"/>
    <col min="737" max="737" width="11.1640625" bestFit="1" customWidth="1"/>
    <col min="738" max="738" width="5.6640625" bestFit="1" customWidth="1"/>
    <col min="739" max="739" width="11" bestFit="1" customWidth="1"/>
    <col min="740" max="740" width="9.1640625" bestFit="1" customWidth="1"/>
    <col min="741" max="741" width="9.83203125" bestFit="1" customWidth="1"/>
    <col min="742" max="742" width="16" bestFit="1" customWidth="1"/>
    <col min="743" max="743" width="11.1640625" bestFit="1" customWidth="1"/>
    <col min="744" max="744" width="16" bestFit="1" customWidth="1"/>
    <col min="745" max="745" width="11.1640625" bestFit="1" customWidth="1"/>
    <col min="746" max="746" width="16" bestFit="1" customWidth="1"/>
    <col min="747" max="747" width="11.1640625" bestFit="1" customWidth="1"/>
    <col min="748" max="748" width="7" bestFit="1" customWidth="1"/>
    <col min="749" max="749" width="16" bestFit="1" customWidth="1"/>
    <col min="750" max="750" width="11.1640625" bestFit="1" customWidth="1"/>
    <col min="751" max="751" width="16" bestFit="1" customWidth="1"/>
    <col min="752" max="752" width="11.1640625" bestFit="1" customWidth="1"/>
    <col min="753" max="753" width="11" bestFit="1" customWidth="1"/>
    <col min="754" max="754" width="9.1640625" bestFit="1" customWidth="1"/>
    <col min="755" max="755" width="16" bestFit="1" customWidth="1"/>
    <col min="756" max="756" width="11.1640625" bestFit="1" customWidth="1"/>
    <col min="757" max="757" width="16" bestFit="1" customWidth="1"/>
    <col min="758" max="758" width="11.1640625" bestFit="1" customWidth="1"/>
    <col min="759" max="759" width="16" bestFit="1" customWidth="1"/>
    <col min="760" max="760" width="11.1640625" bestFit="1" customWidth="1"/>
    <col min="761" max="761" width="9.1640625" bestFit="1" customWidth="1"/>
    <col min="762" max="762" width="9.83203125" bestFit="1" customWidth="1"/>
    <col min="763" max="763" width="16" bestFit="1" customWidth="1"/>
    <col min="764" max="764" width="11.1640625" bestFit="1" customWidth="1"/>
    <col min="765" max="765" width="16" bestFit="1" customWidth="1"/>
    <col min="766" max="766" width="11.1640625" bestFit="1" customWidth="1"/>
    <col min="767" max="767" width="4.6640625" bestFit="1" customWidth="1"/>
    <col min="768" max="768" width="6" bestFit="1" customWidth="1"/>
    <col min="769" max="769" width="5.6640625" bestFit="1" customWidth="1"/>
    <col min="770" max="770" width="11" bestFit="1" customWidth="1"/>
    <col min="771" max="771" width="7" bestFit="1" customWidth="1"/>
    <col min="772" max="772" width="16" bestFit="1" customWidth="1"/>
    <col min="773" max="773" width="11.1640625" bestFit="1" customWidth="1"/>
    <col min="774" max="774" width="6" bestFit="1" customWidth="1"/>
    <col min="775" max="775" width="5.6640625" bestFit="1" customWidth="1"/>
    <col min="776" max="776" width="11" bestFit="1" customWidth="1"/>
    <col min="777" max="777" width="16" bestFit="1" customWidth="1"/>
    <col min="778" max="778" width="11.1640625" bestFit="1" customWidth="1"/>
    <col min="779" max="779" width="16" bestFit="1" customWidth="1"/>
    <col min="780" max="780" width="11.1640625" bestFit="1" customWidth="1"/>
    <col min="781" max="781" width="16" bestFit="1" customWidth="1"/>
    <col min="782" max="782" width="11.1640625" bestFit="1" customWidth="1"/>
    <col min="783" max="783" width="11" bestFit="1" customWidth="1"/>
    <col min="784" max="784" width="7" bestFit="1" customWidth="1"/>
    <col min="785" max="785" width="16" bestFit="1" customWidth="1"/>
    <col min="786" max="786" width="11.1640625" bestFit="1" customWidth="1"/>
    <col min="787" max="787" width="16" bestFit="1" customWidth="1"/>
    <col min="788" max="788" width="11.1640625" bestFit="1" customWidth="1"/>
    <col min="789" max="789" width="16" bestFit="1" customWidth="1"/>
    <col min="790" max="790" width="11.1640625" bestFit="1" customWidth="1"/>
    <col min="791" max="791" width="16" bestFit="1" customWidth="1"/>
    <col min="792" max="792" width="11.1640625" bestFit="1" customWidth="1"/>
    <col min="793" max="793" width="4.6640625" bestFit="1" customWidth="1"/>
    <col min="794" max="794" width="6" bestFit="1" customWidth="1"/>
    <col min="795" max="795" width="5.6640625" bestFit="1" customWidth="1"/>
    <col min="796" max="796" width="11" bestFit="1" customWidth="1"/>
    <col min="797" max="797" width="9.1640625" bestFit="1" customWidth="1"/>
    <col min="798" max="798" width="9.83203125" bestFit="1" customWidth="1"/>
    <col min="799" max="799" width="7" bestFit="1" customWidth="1"/>
    <col min="800" max="800" width="16" bestFit="1" customWidth="1"/>
    <col min="801" max="801" width="11.1640625" bestFit="1" customWidth="1"/>
    <col min="802" max="802" width="9.1640625" bestFit="1" customWidth="1"/>
    <col min="803" max="803" width="7" bestFit="1" customWidth="1"/>
    <col min="804" max="804" width="16" bestFit="1" customWidth="1"/>
    <col min="805" max="805" width="11.1640625" bestFit="1" customWidth="1"/>
    <col min="806" max="806" width="4.6640625" bestFit="1" customWidth="1"/>
    <col min="807" max="807" width="5.6640625" bestFit="1" customWidth="1"/>
    <col min="808" max="808" width="11" bestFit="1" customWidth="1"/>
    <col min="809" max="809" width="9.83203125" bestFit="1" customWidth="1"/>
    <col min="810" max="810" width="7" bestFit="1" customWidth="1"/>
    <col min="811" max="811" width="16" bestFit="1" customWidth="1"/>
    <col min="812" max="812" width="11.1640625" bestFit="1" customWidth="1"/>
    <col min="813" max="813" width="16" bestFit="1" customWidth="1"/>
    <col min="814" max="814" width="11.1640625" bestFit="1" customWidth="1"/>
    <col min="815" max="815" width="16" bestFit="1" customWidth="1"/>
    <col min="816" max="816" width="11.1640625" bestFit="1" customWidth="1"/>
    <col min="817" max="817" width="16" bestFit="1" customWidth="1"/>
    <col min="818" max="818" width="11.1640625" bestFit="1" customWidth="1"/>
    <col min="819" max="819" width="11" bestFit="1" customWidth="1"/>
    <col min="820" max="820" width="7" bestFit="1" customWidth="1"/>
    <col min="821" max="821" width="16" bestFit="1" customWidth="1"/>
    <col min="822" max="822" width="11.1640625" bestFit="1" customWidth="1"/>
    <col min="823" max="823" width="4.6640625" bestFit="1" customWidth="1"/>
    <col min="824" max="824" width="11" bestFit="1" customWidth="1"/>
    <col min="825" max="825" width="16" bestFit="1" customWidth="1"/>
    <col min="826" max="826" width="11.1640625" bestFit="1" customWidth="1"/>
    <col min="827" max="827" width="16" bestFit="1" customWidth="1"/>
    <col min="828" max="828" width="11.1640625" bestFit="1" customWidth="1"/>
    <col min="829" max="829" width="11" bestFit="1" customWidth="1"/>
    <col min="830" max="830" width="16" bestFit="1" customWidth="1"/>
    <col min="831" max="831" width="11.1640625" bestFit="1" customWidth="1"/>
    <col min="832" max="832" width="4.6640625" bestFit="1" customWidth="1"/>
    <col min="833" max="833" width="6" bestFit="1" customWidth="1"/>
    <col min="834" max="834" width="5.6640625" bestFit="1" customWidth="1"/>
    <col min="835" max="835" width="11" bestFit="1" customWidth="1"/>
    <col min="836" max="836" width="9.1640625" bestFit="1" customWidth="1"/>
    <col min="837" max="837" width="9.83203125" bestFit="1" customWidth="1"/>
    <col min="838" max="838" width="7" bestFit="1" customWidth="1"/>
    <col min="839" max="839" width="16" bestFit="1" customWidth="1"/>
    <col min="840" max="840" width="11.1640625" bestFit="1" customWidth="1"/>
    <col min="841" max="841" width="11" bestFit="1" customWidth="1"/>
    <col min="842" max="842" width="7" bestFit="1" customWidth="1"/>
    <col min="843" max="843" width="16" bestFit="1" customWidth="1"/>
    <col min="844" max="844" width="11.1640625" bestFit="1" customWidth="1"/>
    <col min="845" max="845" width="7" bestFit="1" customWidth="1"/>
    <col min="846" max="846" width="16" bestFit="1" customWidth="1"/>
    <col min="847" max="847" width="11.1640625" bestFit="1" customWidth="1"/>
    <col min="848" max="848" width="5.6640625" bestFit="1" customWidth="1"/>
    <col min="849" max="849" width="9.83203125" bestFit="1" customWidth="1"/>
    <col min="850" max="850" width="16" bestFit="1" customWidth="1"/>
    <col min="851" max="851" width="11.1640625" bestFit="1" customWidth="1"/>
    <col min="852" max="852" width="16" bestFit="1" customWidth="1"/>
    <col min="853" max="853" width="11.1640625" bestFit="1" customWidth="1"/>
    <col min="854" max="854" width="16" bestFit="1" customWidth="1"/>
    <col min="855" max="855" width="11.1640625" bestFit="1" customWidth="1"/>
    <col min="856" max="856" width="4.6640625" bestFit="1" customWidth="1"/>
    <col min="857" max="857" width="6" bestFit="1" customWidth="1"/>
    <col min="858" max="858" width="11" bestFit="1" customWidth="1"/>
    <col min="859" max="859" width="7" bestFit="1" customWidth="1"/>
    <col min="860" max="860" width="16" bestFit="1" customWidth="1"/>
    <col min="861" max="861" width="11.1640625" bestFit="1" customWidth="1"/>
    <col min="862" max="862" width="16" bestFit="1" customWidth="1"/>
    <col min="863" max="863" width="11.1640625" bestFit="1" customWidth="1"/>
    <col min="864" max="864" width="16" bestFit="1" customWidth="1"/>
    <col min="865" max="865" width="11.1640625" bestFit="1" customWidth="1"/>
    <col min="866" max="866" width="16" bestFit="1" customWidth="1"/>
    <col min="867" max="867" width="11.1640625" bestFit="1" customWidth="1"/>
    <col min="868" max="868" width="4.6640625" bestFit="1" customWidth="1"/>
    <col min="869" max="869" width="6" bestFit="1" customWidth="1"/>
    <col min="870" max="870" width="5.6640625" bestFit="1" customWidth="1"/>
    <col min="871" max="871" width="11" bestFit="1" customWidth="1"/>
    <col min="872" max="872" width="9.1640625" bestFit="1" customWidth="1"/>
    <col min="873" max="873" width="9.83203125" bestFit="1" customWidth="1"/>
    <col min="874" max="874" width="7" bestFit="1" customWidth="1"/>
    <col min="875" max="875" width="16" bestFit="1" customWidth="1"/>
    <col min="876" max="876" width="11.1640625" bestFit="1" customWidth="1"/>
    <col min="877" max="877" width="16" bestFit="1" customWidth="1"/>
    <col min="878" max="878" width="11.1640625" bestFit="1" customWidth="1"/>
    <col min="879" max="879" width="16" bestFit="1" customWidth="1"/>
    <col min="880" max="880" width="11.1640625" bestFit="1" customWidth="1"/>
    <col min="881" max="881" width="16" bestFit="1" customWidth="1"/>
    <col min="882" max="882" width="11.1640625" bestFit="1" customWidth="1"/>
    <col min="883" max="883" width="16" bestFit="1" customWidth="1"/>
    <col min="884" max="884" width="11.1640625" bestFit="1" customWidth="1"/>
    <col min="885" max="885" width="9.83203125" bestFit="1" customWidth="1"/>
    <col min="886" max="886" width="16" bestFit="1" customWidth="1"/>
    <col min="887" max="887" width="11.1640625" bestFit="1" customWidth="1"/>
    <col min="888" max="888" width="16" bestFit="1" customWidth="1"/>
    <col min="889" max="889" width="11.1640625" bestFit="1" customWidth="1"/>
    <col min="890" max="890" width="4.6640625" bestFit="1" customWidth="1"/>
    <col min="891" max="891" width="6" bestFit="1" customWidth="1"/>
    <col min="892" max="892" width="5.6640625" bestFit="1" customWidth="1"/>
    <col min="893" max="893" width="11" bestFit="1" customWidth="1"/>
    <col min="894" max="894" width="9.83203125" bestFit="1" customWidth="1"/>
    <col min="895" max="895" width="7" bestFit="1" customWidth="1"/>
    <col min="896" max="896" width="16" bestFit="1" customWidth="1"/>
    <col min="897" max="897" width="11.1640625" bestFit="1" customWidth="1"/>
    <col min="898" max="898" width="16" bestFit="1" customWidth="1"/>
    <col min="899" max="899" width="11.1640625" bestFit="1" customWidth="1"/>
    <col min="900" max="900" width="16" bestFit="1" customWidth="1"/>
    <col min="901" max="901" width="11.1640625" bestFit="1" customWidth="1"/>
    <col min="902" max="902" width="16" bestFit="1" customWidth="1"/>
    <col min="903" max="903" width="11.1640625" bestFit="1" customWidth="1"/>
    <col min="904" max="904" width="16" bestFit="1" customWidth="1"/>
    <col min="905" max="905" width="11.1640625" bestFit="1" customWidth="1"/>
    <col min="906" max="906" width="9.1640625" bestFit="1" customWidth="1"/>
    <col min="907" max="907" width="16" bestFit="1" customWidth="1"/>
    <col min="908" max="908" width="11.1640625" bestFit="1" customWidth="1"/>
    <col min="909" max="909" width="9.83203125" bestFit="1" customWidth="1"/>
    <col min="910" max="910" width="16" bestFit="1" customWidth="1"/>
    <col min="911" max="911" width="11.1640625" bestFit="1" customWidth="1"/>
    <col min="912" max="912" width="16" bestFit="1" customWidth="1"/>
    <col min="913" max="913" width="11.1640625" bestFit="1" customWidth="1"/>
    <col min="914" max="914" width="4.6640625" bestFit="1" customWidth="1"/>
    <col min="915" max="915" width="6" bestFit="1" customWidth="1"/>
    <col min="916" max="916" width="9.33203125" bestFit="1" customWidth="1"/>
    <col min="917" max="917" width="11" bestFit="1" customWidth="1"/>
    <col min="918" max="918" width="9.1640625" bestFit="1" customWidth="1"/>
    <col min="919" max="919" width="9.83203125" bestFit="1" customWidth="1"/>
    <col min="920" max="920" width="7" bestFit="1" customWidth="1"/>
    <col min="921" max="921" width="16" bestFit="1" customWidth="1"/>
    <col min="922" max="922" width="11.1640625" bestFit="1" customWidth="1"/>
    <col min="923" max="923" width="9.83203125" bestFit="1" customWidth="1"/>
    <col min="924" max="924" width="16" bestFit="1" customWidth="1"/>
    <col min="925" max="925" width="11.1640625" bestFit="1" customWidth="1"/>
    <col min="926" max="926" width="16" bestFit="1" customWidth="1"/>
    <col min="927" max="927" width="11.1640625" bestFit="1" customWidth="1"/>
    <col min="928" max="928" width="16" bestFit="1" customWidth="1"/>
    <col min="929" max="929" width="11.1640625" bestFit="1" customWidth="1"/>
    <col min="930" max="930" width="16" bestFit="1" customWidth="1"/>
    <col min="931" max="931" width="11.1640625" bestFit="1" customWidth="1"/>
    <col min="932" max="932" width="16" bestFit="1" customWidth="1"/>
    <col min="933" max="933" width="11.1640625" bestFit="1" customWidth="1"/>
    <col min="934" max="934" width="4.6640625" bestFit="1" customWidth="1"/>
    <col min="935" max="935" width="6" bestFit="1" customWidth="1"/>
    <col min="936" max="936" width="5.6640625" bestFit="1" customWidth="1"/>
    <col min="937" max="937" width="11" bestFit="1" customWidth="1"/>
    <col min="938" max="938" width="9.83203125" bestFit="1" customWidth="1"/>
    <col min="939" max="939" width="7" bestFit="1" customWidth="1"/>
    <col min="940" max="940" width="16" bestFit="1" customWidth="1"/>
    <col min="941" max="941" width="11.1640625" bestFit="1" customWidth="1"/>
    <col min="942" max="942" width="16" bestFit="1" customWidth="1"/>
    <col min="943" max="943" width="11.1640625" bestFit="1" customWidth="1"/>
    <col min="944" max="944" width="9.83203125" bestFit="1" customWidth="1"/>
    <col min="945" max="945" width="16" bestFit="1" customWidth="1"/>
    <col min="946" max="946" width="11.1640625" bestFit="1" customWidth="1"/>
    <col min="947" max="947" width="16" bestFit="1" customWidth="1"/>
    <col min="948" max="948" width="11.1640625" bestFit="1" customWidth="1"/>
    <col min="949" max="949" width="16" bestFit="1" customWidth="1"/>
    <col min="950" max="950" width="11.1640625" bestFit="1" customWidth="1"/>
    <col min="951" max="951" width="16" bestFit="1" customWidth="1"/>
    <col min="952" max="952" width="11.1640625" bestFit="1" customWidth="1"/>
    <col min="953" max="953" width="4.6640625" bestFit="1" customWidth="1"/>
    <col min="954" max="954" width="6" bestFit="1" customWidth="1"/>
    <col min="955" max="955" width="5.6640625" bestFit="1" customWidth="1"/>
    <col min="956" max="956" width="11" bestFit="1" customWidth="1"/>
    <col min="957" max="957" width="9.1640625" bestFit="1" customWidth="1"/>
    <col min="958" max="958" width="9.83203125" bestFit="1" customWidth="1"/>
    <col min="959" max="959" width="7" bestFit="1" customWidth="1"/>
    <col min="960" max="960" width="16" bestFit="1" customWidth="1"/>
    <col min="961" max="961" width="11.1640625" bestFit="1" customWidth="1"/>
    <col min="962" max="962" width="16" bestFit="1" customWidth="1"/>
    <col min="963" max="963" width="11.1640625" bestFit="1" customWidth="1"/>
    <col min="964" max="964" width="11" bestFit="1" customWidth="1"/>
    <col min="965" max="965" width="16" bestFit="1" customWidth="1"/>
    <col min="966" max="966" width="11.1640625" bestFit="1" customWidth="1"/>
    <col min="967" max="967" width="16" bestFit="1" customWidth="1"/>
    <col min="968" max="968" width="11.1640625" bestFit="1" customWidth="1"/>
    <col min="969" max="969" width="16" bestFit="1" customWidth="1"/>
    <col min="970" max="970" width="11.1640625" bestFit="1" customWidth="1"/>
    <col min="971" max="971" width="16" bestFit="1" customWidth="1"/>
    <col min="972" max="972" width="11.1640625" bestFit="1" customWidth="1"/>
    <col min="973" max="973" width="16" bestFit="1" customWidth="1"/>
    <col min="974" max="974" width="11.1640625" bestFit="1" customWidth="1"/>
    <col min="975" max="975" width="16" bestFit="1" customWidth="1"/>
    <col min="976" max="976" width="11.1640625" bestFit="1" customWidth="1"/>
    <col min="977" max="977" width="4.6640625" bestFit="1" customWidth="1"/>
    <col min="978" max="978" width="6" bestFit="1" customWidth="1"/>
    <col min="979" max="979" width="9.83203125" bestFit="1" customWidth="1"/>
    <col min="980" max="980" width="7" bestFit="1" customWidth="1"/>
    <col min="981" max="981" width="16" bestFit="1" customWidth="1"/>
    <col min="982" max="982" width="11.1640625" bestFit="1" customWidth="1"/>
    <col min="983" max="983" width="5.6640625" bestFit="1" customWidth="1"/>
    <col min="984" max="984" width="9.83203125" bestFit="1" customWidth="1"/>
    <col min="985" max="985" width="7" bestFit="1" customWidth="1"/>
    <col min="986" max="986" width="16" bestFit="1" customWidth="1"/>
    <col min="987" max="987" width="11.1640625" bestFit="1" customWidth="1"/>
    <col min="988" max="988" width="16" bestFit="1" customWidth="1"/>
    <col min="989" max="989" width="11.1640625" bestFit="1" customWidth="1"/>
    <col min="990" max="990" width="6" bestFit="1" customWidth="1"/>
    <col min="991" max="991" width="16" bestFit="1" customWidth="1"/>
    <col min="992" max="992" width="11.1640625" bestFit="1" customWidth="1"/>
    <col min="993" max="993" width="5.6640625" bestFit="1" customWidth="1"/>
    <col min="994" max="994" width="9.83203125" bestFit="1" customWidth="1"/>
    <col min="995" max="995" width="7" bestFit="1" customWidth="1"/>
    <col min="996" max="996" width="16" bestFit="1" customWidth="1"/>
    <col min="997" max="997" width="11.1640625" bestFit="1" customWidth="1"/>
    <col min="998" max="998" width="16" bestFit="1" customWidth="1"/>
    <col min="999" max="999" width="11.1640625" bestFit="1" customWidth="1"/>
    <col min="1000" max="1000" width="16" bestFit="1" customWidth="1"/>
    <col min="1001" max="1001" width="11.1640625" bestFit="1" customWidth="1"/>
    <col min="1002" max="1002" width="16" bestFit="1" customWidth="1"/>
    <col min="1003" max="1003" width="11.1640625" bestFit="1" customWidth="1"/>
    <col min="1004" max="1004" width="4.6640625" bestFit="1" customWidth="1"/>
    <col min="1005" max="1005" width="6" bestFit="1" customWidth="1"/>
    <col min="1006" max="1006" width="9.83203125" bestFit="1" customWidth="1"/>
    <col min="1007" max="1007" width="7" bestFit="1" customWidth="1"/>
    <col min="1008" max="1008" width="16" bestFit="1" customWidth="1"/>
    <col min="1009" max="1009" width="11.1640625" bestFit="1" customWidth="1"/>
    <col min="1010" max="1010" width="16" bestFit="1" customWidth="1"/>
    <col min="1011" max="1011" width="11.1640625" bestFit="1" customWidth="1"/>
    <col min="1012" max="1012" width="4.6640625" bestFit="1" customWidth="1"/>
    <col min="1013" max="1013" width="6" bestFit="1" customWidth="1"/>
    <col min="1014" max="1014" width="9.83203125" bestFit="1" customWidth="1"/>
    <col min="1015" max="1015" width="7" bestFit="1" customWidth="1"/>
    <col min="1016" max="1016" width="16" bestFit="1" customWidth="1"/>
    <col min="1017" max="1017" width="11.1640625" bestFit="1" customWidth="1"/>
    <col min="1018" max="1018" width="4.6640625" bestFit="1" customWidth="1"/>
    <col min="1019" max="1019" width="9.33203125" bestFit="1" customWidth="1"/>
    <col min="1020" max="1020" width="9.83203125" bestFit="1" customWidth="1"/>
    <col min="1021" max="1021" width="16" bestFit="1" customWidth="1"/>
    <col min="1022" max="1022" width="11.1640625" bestFit="1" customWidth="1"/>
    <col min="1023" max="1023" width="16" bestFit="1" customWidth="1"/>
    <col min="1024" max="1024" width="11.1640625" bestFit="1" customWidth="1"/>
    <col min="1025" max="1025" width="16" bestFit="1" customWidth="1"/>
    <col min="1026" max="1026" width="11.1640625" bestFit="1" customWidth="1"/>
    <col min="1027" max="1027" width="16" bestFit="1" customWidth="1"/>
    <col min="1028" max="1028" width="11.1640625" bestFit="1" customWidth="1"/>
    <col min="1029" max="1029" width="6" bestFit="1" customWidth="1"/>
    <col min="1030" max="1030" width="7" bestFit="1" customWidth="1"/>
    <col min="1031" max="1031" width="16" bestFit="1" customWidth="1"/>
    <col min="1032" max="1032" width="11.1640625" bestFit="1" customWidth="1"/>
    <col min="1033" max="1033" width="16" bestFit="1" customWidth="1"/>
    <col min="1034" max="1034" width="11.1640625" bestFit="1" customWidth="1"/>
    <col min="1035" max="1035" width="9.83203125" bestFit="1" customWidth="1"/>
    <col min="1036" max="1036" width="16" bestFit="1" customWidth="1"/>
    <col min="1037" max="1037" width="11.1640625" bestFit="1" customWidth="1"/>
    <col min="1038" max="1038" width="16" bestFit="1" customWidth="1"/>
    <col min="1039" max="1039" width="11.1640625" bestFit="1" customWidth="1"/>
    <col min="1040" max="1040" width="16" bestFit="1" customWidth="1"/>
    <col min="1041" max="1041" width="12.1640625" bestFit="1" customWidth="1"/>
    <col min="1042" max="1042" width="4.6640625" bestFit="1" customWidth="1"/>
    <col min="1043" max="1043" width="6" bestFit="1" customWidth="1"/>
    <col min="1044" max="1044" width="9.33203125" bestFit="1" customWidth="1"/>
    <col min="1045" max="1045" width="5.6640625" bestFit="1" customWidth="1"/>
    <col min="1046" max="1046" width="11" bestFit="1" customWidth="1"/>
    <col min="1047" max="1047" width="9.1640625" bestFit="1" customWidth="1"/>
    <col min="1048" max="1048" width="9.83203125" bestFit="1" customWidth="1"/>
    <col min="1049" max="1049" width="7" bestFit="1" customWidth="1"/>
    <col min="1050" max="1050" width="17.1640625" bestFit="1" customWidth="1"/>
    <col min="1051" max="1051" width="12.1640625" bestFit="1" customWidth="1"/>
    <col min="1052" max="1052" width="17.1640625" bestFit="1" customWidth="1"/>
    <col min="1053" max="1053" width="12.1640625" bestFit="1" customWidth="1"/>
    <col min="1054" max="1054" width="4.6640625" bestFit="1" customWidth="1"/>
    <col min="1055" max="1055" width="9.83203125" bestFit="1" customWidth="1"/>
    <col min="1056" max="1056" width="7" bestFit="1" customWidth="1"/>
    <col min="1057" max="1057" width="17.1640625" bestFit="1" customWidth="1"/>
    <col min="1058" max="1058" width="12.1640625" bestFit="1" customWidth="1"/>
    <col min="1059" max="1059" width="17.1640625" bestFit="1" customWidth="1"/>
    <col min="1060" max="1060" width="12.1640625" bestFit="1" customWidth="1"/>
    <col min="1061" max="1061" width="17.1640625" bestFit="1" customWidth="1"/>
    <col min="1062" max="1062" width="12.1640625" bestFit="1" customWidth="1"/>
    <col min="1063" max="1063" width="17.1640625" bestFit="1" customWidth="1"/>
    <col min="1064" max="1064" width="12.1640625" bestFit="1" customWidth="1"/>
    <col min="1065" max="1065" width="17.1640625" bestFit="1" customWidth="1"/>
    <col min="1066" max="1066" width="12.1640625" bestFit="1" customWidth="1"/>
    <col min="1067" max="1067" width="5.6640625" bestFit="1" customWidth="1"/>
    <col min="1068" max="1068" width="9.83203125" bestFit="1" customWidth="1"/>
    <col min="1069" max="1069" width="7" bestFit="1" customWidth="1"/>
    <col min="1070" max="1070" width="17.1640625" bestFit="1" customWidth="1"/>
    <col min="1071" max="1071" width="12.1640625" bestFit="1" customWidth="1"/>
    <col min="1072" max="1072" width="17.1640625" bestFit="1" customWidth="1"/>
    <col min="1073" max="1073" width="12.1640625" bestFit="1" customWidth="1"/>
    <col min="1074" max="1074" width="9.83203125" bestFit="1" customWidth="1"/>
    <col min="1075" max="1075" width="17.1640625" bestFit="1" customWidth="1"/>
    <col min="1076" max="1076" width="12.1640625" bestFit="1" customWidth="1"/>
    <col min="1077" max="1077" width="17.1640625" bestFit="1" customWidth="1"/>
    <col min="1078" max="1078" width="12.1640625" bestFit="1" customWidth="1"/>
    <col min="1079" max="1079" width="17.1640625" bestFit="1" customWidth="1"/>
    <col min="1080" max="1080" width="12.1640625" bestFit="1" customWidth="1"/>
    <col min="1081" max="1081" width="4.6640625" bestFit="1" customWidth="1"/>
    <col min="1082" max="1082" width="6" bestFit="1" customWidth="1"/>
    <col min="1083" max="1083" width="9.83203125" bestFit="1" customWidth="1"/>
    <col min="1084" max="1084" width="7" bestFit="1" customWidth="1"/>
    <col min="1085" max="1085" width="17.1640625" bestFit="1" customWidth="1"/>
    <col min="1086" max="1086" width="12.1640625" bestFit="1" customWidth="1"/>
    <col min="1087" max="1087" width="9.83203125" bestFit="1" customWidth="1"/>
    <col min="1088" max="1088" width="17.1640625" bestFit="1" customWidth="1"/>
    <col min="1089" max="1089" width="12.1640625" bestFit="1" customWidth="1"/>
    <col min="1090" max="1090" width="17.1640625" bestFit="1" customWidth="1"/>
    <col min="1091" max="1091" width="12.1640625" bestFit="1" customWidth="1"/>
    <col min="1092" max="1092" width="7" bestFit="1" customWidth="1"/>
    <col min="1093" max="1093" width="17.1640625" bestFit="1" customWidth="1"/>
    <col min="1094" max="1094" width="12.1640625" bestFit="1" customWidth="1"/>
    <col min="1095" max="1095" width="17.1640625" bestFit="1" customWidth="1"/>
    <col min="1096" max="1096" width="12.1640625" bestFit="1" customWidth="1"/>
    <col min="1097" max="1097" width="4.6640625" bestFit="1" customWidth="1"/>
    <col min="1098" max="1098" width="9.83203125" bestFit="1" customWidth="1"/>
    <col min="1099" max="1099" width="17.1640625" bestFit="1" customWidth="1"/>
    <col min="1100" max="1100" width="12.1640625" bestFit="1" customWidth="1"/>
    <col min="1101" max="1101" width="7" bestFit="1" customWidth="1"/>
    <col min="1102" max="1102" width="17.1640625" bestFit="1" customWidth="1"/>
    <col min="1103" max="1103" width="12.1640625" bestFit="1" customWidth="1"/>
    <col min="1104" max="1104" width="17.1640625" bestFit="1" customWidth="1"/>
    <col min="1105" max="1105" width="12.1640625" bestFit="1" customWidth="1"/>
    <col min="1106" max="1106" width="17.1640625" bestFit="1" customWidth="1"/>
    <col min="1107" max="1107" width="12.1640625" bestFit="1" customWidth="1"/>
    <col min="1108" max="1108" width="9.83203125" bestFit="1" customWidth="1"/>
    <col min="1109" max="1109" width="7" bestFit="1" customWidth="1"/>
    <col min="1110" max="1110" width="17.1640625" bestFit="1" customWidth="1"/>
    <col min="1111" max="1111" width="12.1640625" bestFit="1" customWidth="1"/>
    <col min="1112" max="1112" width="17.1640625" bestFit="1" customWidth="1"/>
    <col min="1113" max="1113" width="12.1640625" bestFit="1" customWidth="1"/>
    <col min="1114" max="1114" width="17.1640625" bestFit="1" customWidth="1"/>
    <col min="1115" max="1115" width="12.1640625" bestFit="1" customWidth="1"/>
    <col min="1116" max="1116" width="5.6640625" bestFit="1" customWidth="1"/>
    <col min="1117" max="1117" width="9.83203125" bestFit="1" customWidth="1"/>
    <col min="1118" max="1118" width="17.1640625" bestFit="1" customWidth="1"/>
    <col min="1119" max="1119" width="12.1640625" bestFit="1" customWidth="1"/>
    <col min="1120" max="1120" width="17.1640625" bestFit="1" customWidth="1"/>
    <col min="1121" max="1121" width="12.1640625" bestFit="1" customWidth="1"/>
    <col min="1122" max="1122" width="17.1640625" bestFit="1" customWidth="1"/>
    <col min="1123" max="1123" width="12.1640625" bestFit="1" customWidth="1"/>
    <col min="1124" max="1124" width="17.1640625" bestFit="1" customWidth="1"/>
    <col min="1125" max="1125" width="12.1640625" bestFit="1" customWidth="1"/>
    <col min="1126" max="1126" width="17.1640625" bestFit="1" customWidth="1"/>
    <col min="1127" max="1127" width="12.1640625" bestFit="1" customWidth="1"/>
    <col min="1128" max="1128" width="17.1640625" bestFit="1" customWidth="1"/>
    <col min="1129" max="1129" width="12.1640625" bestFit="1" customWidth="1"/>
    <col min="1130" max="1130" width="17.1640625" bestFit="1" customWidth="1"/>
    <col min="1131" max="1131" width="12.1640625" bestFit="1" customWidth="1"/>
    <col min="1132" max="1132" width="7" bestFit="1" customWidth="1"/>
    <col min="1133" max="1133" width="17.1640625" bestFit="1" customWidth="1"/>
    <col min="1134" max="1134" width="12.1640625" bestFit="1" customWidth="1"/>
    <col min="1135" max="1135" width="6" bestFit="1" customWidth="1"/>
    <col min="1136" max="1136" width="5.6640625" bestFit="1" customWidth="1"/>
    <col min="1137" max="1137" width="9.1640625" bestFit="1" customWidth="1"/>
    <col min="1138" max="1138" width="9.83203125" bestFit="1" customWidth="1"/>
    <col min="1139" max="1139" width="7" bestFit="1" customWidth="1"/>
    <col min="1140" max="1140" width="17.1640625" bestFit="1" customWidth="1"/>
    <col min="1141" max="1141" width="12.1640625" bestFit="1" customWidth="1"/>
    <col min="1142" max="1142" width="17.1640625" bestFit="1" customWidth="1"/>
    <col min="1143" max="1143" width="12.1640625" bestFit="1" customWidth="1"/>
    <col min="1144" max="1144" width="17.1640625" bestFit="1" customWidth="1"/>
    <col min="1145" max="1145" width="12.1640625" bestFit="1" customWidth="1"/>
    <col min="1146" max="1146" width="17.1640625" bestFit="1" customWidth="1"/>
    <col min="1147" max="1147" width="13.6640625" bestFit="1" customWidth="1"/>
    <col min="1148" max="1148" width="9.83203125" bestFit="1" customWidth="1"/>
    <col min="1149" max="1149" width="7" bestFit="1" customWidth="1"/>
    <col min="1150" max="1150" width="18.6640625" bestFit="1" customWidth="1"/>
    <col min="1151" max="1151" width="13.6640625" bestFit="1" customWidth="1"/>
    <col min="1152" max="1152" width="18.6640625" bestFit="1" customWidth="1"/>
    <col min="1153" max="1153" width="13.6640625" bestFit="1" customWidth="1"/>
    <col min="1154" max="1154" width="18.6640625" bestFit="1" customWidth="1"/>
    <col min="1155" max="1155" width="13.6640625" bestFit="1" customWidth="1"/>
    <col min="1156" max="1156" width="7" bestFit="1" customWidth="1"/>
    <col min="1157" max="1157" width="18.6640625" bestFit="1" customWidth="1"/>
    <col min="1158" max="1158" width="13.6640625" bestFit="1" customWidth="1"/>
    <col min="1159" max="1159" width="7" bestFit="1" customWidth="1"/>
    <col min="1160" max="1160" width="18.6640625" bestFit="1" customWidth="1"/>
    <col min="1161" max="1161" width="13.6640625" bestFit="1" customWidth="1"/>
    <col min="1162" max="1162" width="18.6640625" bestFit="1" customWidth="1"/>
    <col min="1163" max="1163" width="13.6640625" bestFit="1" customWidth="1"/>
    <col min="1164" max="1164" width="18.6640625" bestFit="1" customWidth="1"/>
    <col min="1165" max="1165" width="13.6640625" bestFit="1" customWidth="1"/>
    <col min="1166" max="1166" width="18.6640625" bestFit="1" customWidth="1"/>
    <col min="1167" max="1167" width="13.6640625" bestFit="1" customWidth="1"/>
    <col min="1168" max="1168" width="18.6640625" bestFit="1" customWidth="1"/>
    <col min="1169" max="1169" width="14.6640625" bestFit="1" customWidth="1"/>
    <col min="1170" max="1170" width="19.6640625" bestFit="1" customWidth="1"/>
    <col min="1171" max="1171" width="14.6640625" bestFit="1" customWidth="1"/>
    <col min="1172" max="1172" width="19.6640625" bestFit="1" customWidth="1"/>
    <col min="1173" max="1173" width="15.6640625" bestFit="1" customWidth="1"/>
    <col min="1174" max="1174" width="20.6640625" bestFit="1" customWidth="1"/>
    <col min="1175" max="1175" width="11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8360</v>
      </c>
      <c r="B3" s="14" t="s">
        <v>8361</v>
      </c>
    </row>
    <row r="4" spans="1:6" x14ac:dyDescent="0.2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5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">
      <c r="A6" s="15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">
      <c r="A7" s="15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">
      <c r="A8" s="15" t="s">
        <v>8329</v>
      </c>
      <c r="B8" s="13">
        <v>23</v>
      </c>
      <c r="C8" s="13"/>
      <c r="D8" s="13"/>
      <c r="E8" s="13"/>
      <c r="F8" s="13">
        <v>23</v>
      </c>
    </row>
    <row r="9" spans="1:6" x14ac:dyDescent="0.2">
      <c r="A9" s="15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">
      <c r="A10" s="15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">
      <c r="A11" s="15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">
      <c r="A12" s="15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">
      <c r="A13" s="15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">
      <c r="A14" s="15" t="s">
        <v>8362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2ACBF-D1C6-2647-BF34-A8647115042B}">
  <sheetPr codeName="Sheet9"/>
  <dimension ref="A1:F47"/>
  <sheetViews>
    <sheetView workbookViewId="0">
      <selection activeCell="P3" sqref="P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8222</v>
      </c>
      <c r="B1" t="s">
        <v>8364</v>
      </c>
    </row>
    <row r="2" spans="1:6" x14ac:dyDescent="0.2">
      <c r="A2" s="14" t="s">
        <v>8358</v>
      </c>
      <c r="B2" t="s">
        <v>8364</v>
      </c>
    </row>
    <row r="4" spans="1:6" x14ac:dyDescent="0.2">
      <c r="A4" s="14" t="s">
        <v>8360</v>
      </c>
      <c r="B4" s="14" t="s">
        <v>8361</v>
      </c>
    </row>
    <row r="5" spans="1:6" x14ac:dyDescent="0.2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5" t="s">
        <v>8314</v>
      </c>
      <c r="B6" s="13"/>
      <c r="C6" s="13">
        <v>100</v>
      </c>
      <c r="D6" s="13"/>
      <c r="E6" s="13"/>
      <c r="F6" s="13">
        <v>100</v>
      </c>
    </row>
    <row r="7" spans="1:6" x14ac:dyDescent="0.2">
      <c r="A7" s="15" t="s">
        <v>8342</v>
      </c>
      <c r="B7" s="13">
        <v>20</v>
      </c>
      <c r="C7" s="13"/>
      <c r="D7" s="13"/>
      <c r="E7" s="13"/>
      <c r="F7" s="13">
        <v>20</v>
      </c>
    </row>
    <row r="8" spans="1:6" x14ac:dyDescent="0.2">
      <c r="A8" s="15" t="s">
        <v>8330</v>
      </c>
      <c r="B8" s="13">
        <v>24</v>
      </c>
      <c r="C8" s="13"/>
      <c r="D8" s="13"/>
      <c r="E8" s="13"/>
      <c r="F8" s="13">
        <v>24</v>
      </c>
    </row>
    <row r="9" spans="1:6" x14ac:dyDescent="0.2">
      <c r="A9" s="15" t="s">
        <v>8356</v>
      </c>
      <c r="B9" s="13"/>
      <c r="C9" s="13">
        <v>40</v>
      </c>
      <c r="D9" s="13"/>
      <c r="E9" s="13"/>
      <c r="F9" s="13">
        <v>40</v>
      </c>
    </row>
    <row r="10" spans="1:6" x14ac:dyDescent="0.2">
      <c r="A10" s="15" t="s">
        <v>8352</v>
      </c>
      <c r="B10" s="13"/>
      <c r="C10" s="13"/>
      <c r="D10" s="13"/>
      <c r="E10" s="13">
        <v>40</v>
      </c>
      <c r="F10" s="13">
        <v>40</v>
      </c>
    </row>
    <row r="11" spans="1:6" x14ac:dyDescent="0.2">
      <c r="A11" s="15" t="s">
        <v>8313</v>
      </c>
      <c r="B11" s="13"/>
      <c r="C11" s="13"/>
      <c r="D11" s="13"/>
      <c r="E11" s="13">
        <v>180</v>
      </c>
      <c r="F11" s="13">
        <v>180</v>
      </c>
    </row>
    <row r="12" spans="1:6" x14ac:dyDescent="0.2">
      <c r="A12" s="15" t="s">
        <v>8312</v>
      </c>
      <c r="B12" s="13"/>
      <c r="C12" s="13">
        <v>80</v>
      </c>
      <c r="D12" s="13"/>
      <c r="E12" s="13"/>
      <c r="F12" s="13">
        <v>80</v>
      </c>
    </row>
    <row r="13" spans="1:6" x14ac:dyDescent="0.2">
      <c r="A13" s="15" t="s">
        <v>8328</v>
      </c>
      <c r="B13" s="13"/>
      <c r="C13" s="13"/>
      <c r="D13" s="13"/>
      <c r="E13" s="13">
        <v>40</v>
      </c>
      <c r="F13" s="13">
        <v>40</v>
      </c>
    </row>
    <row r="14" spans="1:6" x14ac:dyDescent="0.2">
      <c r="A14" s="15" t="s">
        <v>8345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">
      <c r="A15" s="15" t="s">
        <v>8322</v>
      </c>
      <c r="B15" s="13"/>
      <c r="C15" s="13">
        <v>40</v>
      </c>
      <c r="D15" s="13"/>
      <c r="E15" s="13"/>
      <c r="F15" s="13">
        <v>40</v>
      </c>
    </row>
    <row r="16" spans="1:6" x14ac:dyDescent="0.2">
      <c r="A16" s="15" t="s">
        <v>8335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">
      <c r="A17" s="15" t="s">
        <v>8346</v>
      </c>
      <c r="B17" s="13"/>
      <c r="C17" s="13">
        <v>20</v>
      </c>
      <c r="D17" s="13"/>
      <c r="E17" s="13"/>
      <c r="F17" s="13">
        <v>20</v>
      </c>
    </row>
    <row r="18" spans="1:6" x14ac:dyDescent="0.2">
      <c r="A18" s="15" t="s">
        <v>8347</v>
      </c>
      <c r="B18" s="13"/>
      <c r="C18" s="13"/>
      <c r="D18" s="13"/>
      <c r="E18" s="13">
        <v>140</v>
      </c>
      <c r="F18" s="13">
        <v>140</v>
      </c>
    </row>
    <row r="19" spans="1:6" x14ac:dyDescent="0.2">
      <c r="A19" s="15" t="s">
        <v>8327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">
      <c r="A20" s="15" t="s">
        <v>8326</v>
      </c>
      <c r="B20" s="13"/>
      <c r="C20" s="13">
        <v>60</v>
      </c>
      <c r="D20" s="13"/>
      <c r="E20" s="13"/>
      <c r="F20" s="13">
        <v>60</v>
      </c>
    </row>
    <row r="21" spans="1:6" x14ac:dyDescent="0.2">
      <c r="A21" s="15" t="s">
        <v>8354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">
      <c r="A22" s="15" t="s">
        <v>8325</v>
      </c>
      <c r="B22" s="13"/>
      <c r="C22" s="13"/>
      <c r="D22" s="13"/>
      <c r="E22" s="13">
        <v>20</v>
      </c>
      <c r="F22" s="13">
        <v>20</v>
      </c>
    </row>
    <row r="23" spans="1:6" x14ac:dyDescent="0.2">
      <c r="A23" s="15" t="s">
        <v>8333</v>
      </c>
      <c r="B23" s="13"/>
      <c r="C23" s="13">
        <v>40</v>
      </c>
      <c r="D23" s="13"/>
      <c r="E23" s="13"/>
      <c r="F23" s="13">
        <v>40</v>
      </c>
    </row>
    <row r="24" spans="1:6" x14ac:dyDescent="0.2">
      <c r="A24" s="15" t="s">
        <v>8357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">
      <c r="A25" s="15" t="s">
        <v>8341</v>
      </c>
      <c r="B25" s="13"/>
      <c r="C25" s="13">
        <v>20</v>
      </c>
      <c r="D25" s="13"/>
      <c r="E25" s="13"/>
      <c r="F25" s="13">
        <v>20</v>
      </c>
    </row>
    <row r="26" spans="1:6" x14ac:dyDescent="0.2">
      <c r="A26" s="15" t="s">
        <v>8321</v>
      </c>
      <c r="B26" s="13"/>
      <c r="C26" s="13"/>
      <c r="D26" s="13"/>
      <c r="E26" s="13">
        <v>60</v>
      </c>
      <c r="F26" s="13">
        <v>60</v>
      </c>
    </row>
    <row r="27" spans="1:6" x14ac:dyDescent="0.2">
      <c r="A27" s="15" t="s">
        <v>8348</v>
      </c>
      <c r="B27" s="13"/>
      <c r="C27" s="13">
        <v>20</v>
      </c>
      <c r="D27" s="13"/>
      <c r="E27" s="13"/>
      <c r="F27" s="13">
        <v>20</v>
      </c>
    </row>
    <row r="28" spans="1:6" x14ac:dyDescent="0.2">
      <c r="A28" s="15" t="s">
        <v>8337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">
      <c r="A29" s="15" t="s">
        <v>8343</v>
      </c>
      <c r="B29" s="13"/>
      <c r="C29" s="13">
        <v>20</v>
      </c>
      <c r="D29" s="13"/>
      <c r="E29" s="13"/>
      <c r="F29" s="13">
        <v>20</v>
      </c>
    </row>
    <row r="30" spans="1:6" x14ac:dyDescent="0.2">
      <c r="A30" s="15" t="s">
        <v>8316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">
      <c r="A31" s="15" t="s">
        <v>8344</v>
      </c>
      <c r="B31" s="13"/>
      <c r="C31" s="13"/>
      <c r="D31" s="13"/>
      <c r="E31" s="13">
        <v>40</v>
      </c>
      <c r="F31" s="13">
        <v>40</v>
      </c>
    </row>
    <row r="32" spans="1:6" x14ac:dyDescent="0.2">
      <c r="A32" s="15" t="s">
        <v>8340</v>
      </c>
      <c r="B32" s="13"/>
      <c r="C32" s="13"/>
      <c r="D32" s="13"/>
      <c r="E32" s="13">
        <v>20</v>
      </c>
      <c r="F32" s="13">
        <v>20</v>
      </c>
    </row>
    <row r="33" spans="1:6" x14ac:dyDescent="0.2">
      <c r="A33" s="15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2">
      <c r="A34" s="15" t="s">
        <v>8324</v>
      </c>
      <c r="B34" s="13"/>
      <c r="C34" s="13"/>
      <c r="D34" s="13"/>
      <c r="E34" s="13">
        <v>260</v>
      </c>
      <c r="F34" s="13">
        <v>260</v>
      </c>
    </row>
    <row r="35" spans="1:6" x14ac:dyDescent="0.2">
      <c r="A35" s="15" t="s">
        <v>8311</v>
      </c>
      <c r="B35" s="13">
        <v>40</v>
      </c>
      <c r="C35" s="13"/>
      <c r="D35" s="13"/>
      <c r="E35" s="13"/>
      <c r="F35" s="13">
        <v>40</v>
      </c>
    </row>
    <row r="36" spans="1:6" x14ac:dyDescent="0.2">
      <c r="A36" s="15" t="s">
        <v>8310</v>
      </c>
      <c r="B36" s="13"/>
      <c r="C36" s="13"/>
      <c r="D36" s="13"/>
      <c r="E36" s="13">
        <v>60</v>
      </c>
      <c r="F36" s="13">
        <v>60</v>
      </c>
    </row>
    <row r="37" spans="1:6" x14ac:dyDescent="0.2">
      <c r="A37" s="15" t="s">
        <v>8350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">
      <c r="A38" s="15" t="s">
        <v>8353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">
      <c r="A39" s="15" t="s">
        <v>8355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">
      <c r="A40" s="15" t="s">
        <v>8349</v>
      </c>
      <c r="B40" s="13"/>
      <c r="C40" s="13"/>
      <c r="D40" s="13"/>
      <c r="E40" s="13">
        <v>80</v>
      </c>
      <c r="F40" s="13">
        <v>80</v>
      </c>
    </row>
    <row r="41" spans="1:6" x14ac:dyDescent="0.2">
      <c r="A41" s="15" t="s">
        <v>8309</v>
      </c>
      <c r="B41" s="13"/>
      <c r="C41" s="13"/>
      <c r="D41" s="13"/>
      <c r="E41" s="13">
        <v>60</v>
      </c>
      <c r="F41" s="13">
        <v>60</v>
      </c>
    </row>
    <row r="42" spans="1:6" x14ac:dyDescent="0.2">
      <c r="A42" s="15" t="s">
        <v>8339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">
      <c r="A43" s="15" t="s">
        <v>8332</v>
      </c>
      <c r="B43" s="13"/>
      <c r="C43" s="13">
        <v>100</v>
      </c>
      <c r="D43" s="13"/>
      <c r="E43" s="13"/>
      <c r="F43" s="13">
        <v>100</v>
      </c>
    </row>
    <row r="44" spans="1:6" x14ac:dyDescent="0.2">
      <c r="A44" s="15" t="s">
        <v>8319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">
      <c r="A45" s="15" t="s">
        <v>8318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">
      <c r="A46" s="15" t="s">
        <v>8338</v>
      </c>
      <c r="B46" s="13">
        <v>20</v>
      </c>
      <c r="C46" s="13"/>
      <c r="D46" s="13"/>
      <c r="E46" s="13"/>
      <c r="F46" s="13">
        <v>20</v>
      </c>
    </row>
    <row r="47" spans="1:6" x14ac:dyDescent="0.2">
      <c r="A47" s="15" t="s">
        <v>8362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81C91-4E81-7F42-8CA6-A120CF2956CF}">
  <sheetPr codeName="Sheet10"/>
  <dimension ref="A1:F18"/>
  <sheetViews>
    <sheetView workbookViewId="0">
      <selection activeCell="F4" sqref="F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8358</v>
      </c>
      <c r="B1" t="s">
        <v>8364</v>
      </c>
    </row>
    <row r="2" spans="1:6" x14ac:dyDescent="0.2">
      <c r="A2" s="14" t="s">
        <v>8379</v>
      </c>
      <c r="B2" t="s">
        <v>8364</v>
      </c>
    </row>
    <row r="4" spans="1:6" x14ac:dyDescent="0.2">
      <c r="A4" s="14" t="s">
        <v>8360</v>
      </c>
      <c r="B4" s="14" t="s">
        <v>8361</v>
      </c>
    </row>
    <row r="5" spans="1:6" x14ac:dyDescent="0.2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7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">
      <c r="A7" s="17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">
      <c r="A8" s="17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">
      <c r="A9" s="17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">
      <c r="A10" s="17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">
      <c r="A11" s="17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">
      <c r="A12" s="17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">
      <c r="A13" s="17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">
      <c r="A14" s="17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">
      <c r="A15" s="17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">
      <c r="A16" s="17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">
      <c r="A17" s="17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">
      <c r="A18" s="17" t="s">
        <v>8362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Descriptive Statistics</vt:lpstr>
      <vt:lpstr>Edinburgh Research</vt:lpstr>
      <vt:lpstr>Category Statistics</vt:lpstr>
      <vt:lpstr>subcategory statistics</vt:lpstr>
      <vt:lpstr>Outcomes based on launch date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jorge_joya@outlook.com</cp:lastModifiedBy>
  <dcterms:created xsi:type="dcterms:W3CDTF">2017-04-20T15:17:24Z</dcterms:created>
  <dcterms:modified xsi:type="dcterms:W3CDTF">2022-01-03T18:48:33Z</dcterms:modified>
</cp:coreProperties>
</file>