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360" yWindow="12" windowWidth="11280" windowHeight="6480" activeTab="1"/>
  </bookViews>
  <sheets>
    <sheet name="Base Case Assumptions" sheetId="3" r:id="rId1"/>
    <sheet name="Cash Flow Model" sheetId="1" r:id="rId2"/>
    <sheet name="Tornado Sensitivity Diag" sheetId="4" r:id="rId3"/>
    <sheet name="Sheet1" sheetId="5" r:id="rId4"/>
  </sheets>
  <definedNames>
    <definedName name="solver_adj" localSheetId="1" hidden="1">'Cash Flow Model'!$B$21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'Cash Flow Model'!$D$25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0</definedName>
  </definedNames>
  <calcPr calcId="125725"/>
</workbook>
</file>

<file path=xl/calcChain.xml><?xml version="1.0" encoding="utf-8"?>
<calcChain xmlns="http://schemas.openxmlformats.org/spreadsheetml/2006/main">
  <c r="G13" i="1"/>
  <c r="K14"/>
  <c r="B18"/>
  <c r="B23" s="1"/>
  <c r="B54"/>
  <c r="B53"/>
  <c r="B50"/>
  <c r="B51"/>
  <c r="I49"/>
  <c r="I56"/>
  <c r="H49"/>
  <c r="H56"/>
  <c r="G49"/>
  <c r="G56"/>
  <c r="C49"/>
  <c r="C56"/>
  <c r="D49"/>
  <c r="D56"/>
  <c r="E49"/>
  <c r="E56"/>
  <c r="F56"/>
  <c r="H12"/>
  <c r="I12"/>
  <c r="J12" s="1"/>
  <c r="B22"/>
  <c r="F7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G7"/>
  <c r="H7"/>
  <c r="I7"/>
  <c r="J7"/>
  <c r="K7"/>
  <c r="L7"/>
  <c r="M7"/>
  <c r="N7"/>
  <c r="O7"/>
  <c r="P7"/>
  <c r="Q7"/>
  <c r="R7"/>
  <c r="S7"/>
  <c r="T7"/>
  <c r="U7"/>
  <c r="C18"/>
  <c r="C23" s="1"/>
  <c r="H15"/>
  <c r="H13" s="1"/>
  <c r="D18"/>
  <c r="D23" s="1"/>
  <c r="H10"/>
  <c r="G10"/>
  <c r="J10" l="1"/>
  <c r="K12"/>
  <c r="L12" s="1"/>
  <c r="M12" s="1"/>
  <c r="N12" s="1"/>
  <c r="O12" s="1"/>
  <c r="P12" s="1"/>
  <c r="Q12" s="1"/>
  <c r="I10"/>
  <c r="L14"/>
  <c r="F18"/>
  <c r="F23" s="1"/>
  <c r="G18"/>
  <c r="G23" s="1"/>
  <c r="H18"/>
  <c r="H23" s="1"/>
  <c r="I15"/>
  <c r="B24"/>
  <c r="C24" s="1"/>
  <c r="D24" s="1"/>
  <c r="E18"/>
  <c r="E23" s="1"/>
  <c r="K10" l="1"/>
  <c r="M11"/>
  <c r="N11" s="1"/>
  <c r="N10" s="1"/>
  <c r="L10"/>
  <c r="I13"/>
  <c r="I18" s="1"/>
  <c r="I23" s="1"/>
  <c r="J15"/>
  <c r="E24"/>
  <c r="F24" s="1"/>
  <c r="G24" s="1"/>
  <c r="H24" s="1"/>
  <c r="O11" l="1"/>
  <c r="M14"/>
  <c r="N14"/>
  <c r="M10"/>
  <c r="I24"/>
  <c r="K15"/>
  <c r="J13"/>
  <c r="J18" s="1"/>
  <c r="J23" s="1"/>
  <c r="J24" l="1"/>
  <c r="O14"/>
  <c r="O10"/>
  <c r="P11"/>
  <c r="K13"/>
  <c r="K18" s="1"/>
  <c r="K23" s="1"/>
  <c r="L15"/>
  <c r="K24" l="1"/>
  <c r="P14"/>
  <c r="Q11"/>
  <c r="P10"/>
  <c r="L13"/>
  <c r="L18" s="1"/>
  <c r="L23" s="1"/>
  <c r="M15"/>
  <c r="L24" l="1"/>
  <c r="Q10"/>
  <c r="Q14"/>
  <c r="N15"/>
  <c r="M13"/>
  <c r="M18" s="1"/>
  <c r="M23" s="1"/>
  <c r="M24" l="1"/>
  <c r="O15"/>
  <c r="N13"/>
  <c r="N18" s="1"/>
  <c r="N23" s="1"/>
  <c r="N24" l="1"/>
  <c r="P15"/>
  <c r="O13"/>
  <c r="O18" s="1"/>
  <c r="O23" s="1"/>
  <c r="O24" l="1"/>
  <c r="Q15"/>
  <c r="P13"/>
  <c r="P18" s="1"/>
  <c r="P23" s="1"/>
  <c r="P24" l="1"/>
  <c r="Q13"/>
  <c r="Q18" s="1"/>
  <c r="Q23" s="1"/>
  <c r="Q24" l="1"/>
  <c r="R18"/>
  <c r="R23" s="1"/>
  <c r="R24" l="1"/>
  <c r="S18"/>
  <c r="S23" s="1"/>
  <c r="S24" l="1"/>
  <c r="U18"/>
  <c r="U23" s="1"/>
  <c r="T18"/>
  <c r="T23" s="1"/>
  <c r="D25" l="1"/>
  <c r="B49" s="1"/>
  <c r="T24"/>
  <c r="U24" s="1"/>
</calcChain>
</file>

<file path=xl/sharedStrings.xml><?xml version="1.0" encoding="utf-8"?>
<sst xmlns="http://schemas.openxmlformats.org/spreadsheetml/2006/main" count="88" uniqueCount="67">
  <si>
    <t>Year 1</t>
  </si>
  <si>
    <t>Year 2</t>
  </si>
  <si>
    <t>Year 3</t>
  </si>
  <si>
    <t>Year 4</t>
  </si>
  <si>
    <t>($ values in thousands)</t>
  </si>
  <si>
    <t>First Quarter</t>
  </si>
  <si>
    <t>Q2</t>
  </si>
  <si>
    <t>Q3</t>
  </si>
  <si>
    <t>Q4</t>
  </si>
  <si>
    <t>Q1</t>
  </si>
  <si>
    <t>DEVELOPMENT COST</t>
  </si>
  <si>
    <t>MARKETING &amp; SUPPORT COST</t>
  </si>
  <si>
    <t>PRODUCTION COST</t>
  </si>
  <si>
    <t xml:space="preserve">            Quantity Produced</t>
  </si>
  <si>
    <t xml:space="preserve">            Unit production costs</t>
  </si>
  <si>
    <t>Sales Revenue</t>
  </si>
  <si>
    <t xml:space="preserve">            Quantity Sold</t>
  </si>
  <si>
    <t xml:space="preserve">            Price</t>
  </si>
  <si>
    <t>PERIOD CASH FLOW</t>
  </si>
  <si>
    <t>Quarters from Q1</t>
  </si>
  <si>
    <t>ANNUAL DISCOUNT RATE %</t>
  </si>
  <si>
    <t>Quarterly discount rate</t>
  </si>
  <si>
    <t>PERIOD PRESENT VALUE IN Q1</t>
  </si>
  <si>
    <t>PROJECT NET PRESENT VALUE</t>
  </si>
  <si>
    <t>Price</t>
  </si>
  <si>
    <t>Base Case Financial Model</t>
  </si>
  <si>
    <t>Base Case</t>
  </si>
  <si>
    <t>Internal Rate of Return (IRR)</t>
  </si>
  <si>
    <t>Use Solver To Solve For IRR (find discount rate to set NPV=0)</t>
  </si>
  <si>
    <t>What if Tables</t>
  </si>
  <si>
    <t>Base Case Financial Model Estimates</t>
  </si>
  <si>
    <t>Low</t>
  </si>
  <si>
    <t>High</t>
  </si>
  <si>
    <t>Total Development Costs (People Time, Design, Prototypes, Testing, Materials, etc.)</t>
  </si>
  <si>
    <t>Number of Quarters to Develop</t>
  </si>
  <si>
    <t>Total Production Ramp-Up Costs (Equipment, Tooling, People Time)</t>
  </si>
  <si>
    <t>Number of Quarters to Ramp Up Production</t>
  </si>
  <si>
    <t>Marketing &amp; Support Costs Per Year (People Time, Ads, Travel, Trade Shows, Office Support</t>
  </si>
  <si>
    <t>Number of Units Made Per Year</t>
  </si>
  <si>
    <t>Unit Cost Per Unit Sold (in Dollars, from Bill of Materials)</t>
  </si>
  <si>
    <t>Number of Units Sold Per Year</t>
  </si>
  <si>
    <t>Unit Price Received Per Unit (in Dollars)</t>
  </si>
  <si>
    <t>Discount Rate in Percent Per Year (Rate of Return Required to Adjust For Investment Risk)</t>
  </si>
  <si>
    <t>Estimate</t>
  </si>
  <si>
    <t>Number of Quarters Product Will Sell</t>
  </si>
  <si>
    <t>Influence on Profits</t>
  </si>
  <si>
    <t>Certainty in Estimate</t>
  </si>
  <si>
    <t>Year 5</t>
  </si>
  <si>
    <t>Not linked to model.</t>
  </si>
  <si>
    <t>These Cells Linked to Model on Next Worksheet</t>
  </si>
  <si>
    <t>Boxes with Borders linked to Assumption Sheet on Previous Worksheet</t>
  </si>
  <si>
    <t>MODIFY BOXES WITH BORDERS TO YOUR BASE CASE NUMBERS</t>
  </si>
  <si>
    <t>Modify freely to suit your case, especially boxes in yellow.</t>
  </si>
  <si>
    <t>Modify Model (e.g. equations, line items, timing) As Needed for Your Case</t>
  </si>
  <si>
    <t>Parameters:</t>
  </si>
  <si>
    <t>Output Differences:</t>
  </si>
  <si>
    <t>Output D25 with low value from Q10:Q12 for parameter in B10:B12</t>
  </si>
  <si>
    <t>Output D25 with high value from R10:R12 for parameter in B10:B12</t>
  </si>
  <si>
    <t>Tornado Diagram</t>
  </si>
  <si>
    <t>1) Number of Units Made Per Year</t>
  </si>
  <si>
    <t>2) Unit Cost Per Unit Sold (in Dollars, from Bill of Materials)</t>
  </si>
  <si>
    <t>3) Marketing &amp; Support Costs Per Year (People Time, Ads, Travel, Trade Shows, Office Support</t>
  </si>
  <si>
    <t>NPV versus Quantity Produced/Quarter</t>
  </si>
  <si>
    <t>NPV vs Sales Price</t>
  </si>
  <si>
    <t>NPV by Volume &amp; Price</t>
  </si>
  <si>
    <t>Cumulative Cash flow</t>
  </si>
  <si>
    <t>TESTING &amp; RAMP UP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</si>
</sst>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164" formatCode="0.0%"/>
    <numFmt numFmtId="165" formatCode="&quot;$&quot;#,##0"/>
    <numFmt numFmtId="166" formatCode="&quot;$&quot;#,##0.00"/>
  </numFmts>
  <fonts count="13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6"/>
      <color indexed="10"/>
      <name val="Arial"/>
      <family val="2"/>
    </font>
    <font>
      <sz val="9"/>
      <name val="Garamond"/>
      <family val="1"/>
    </font>
    <font>
      <b/>
      <sz val="9"/>
      <color indexed="10"/>
      <name val="Garamond"/>
      <family val="1"/>
    </font>
    <font>
      <sz val="14"/>
      <name val="Garamond"/>
      <family val="1"/>
    </font>
    <font>
      <b/>
      <u/>
      <sz val="10"/>
      <color indexed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9"/>
      <color indexed="10"/>
      <name val="Garamond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" fillId="0" borderId="1" xfId="0" applyFont="1" applyBorder="1"/>
    <xf numFmtId="10" fontId="1" fillId="0" borderId="0" xfId="0" applyNumberFormat="1" applyFont="1"/>
    <xf numFmtId="10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65" fontId="5" fillId="0" borderId="0" xfId="0" applyNumberFormat="1" applyFont="1"/>
    <xf numFmtId="2" fontId="4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/>
    <xf numFmtId="1" fontId="0" fillId="0" borderId="0" xfId="0" applyNumberFormat="1"/>
    <xf numFmtId="2" fontId="4" fillId="0" borderId="2" xfId="0" applyNumberFormat="1" applyFont="1" applyBorder="1"/>
    <xf numFmtId="0" fontId="4" fillId="0" borderId="2" xfId="0" applyFont="1" applyBorder="1"/>
    <xf numFmtId="166" fontId="0" fillId="0" borderId="0" xfId="0" applyNumberFormat="1" applyFill="1"/>
    <xf numFmtId="0" fontId="0" fillId="0" borderId="0" xfId="0" applyFill="1"/>
    <xf numFmtId="0" fontId="1" fillId="0" borderId="3" xfId="0" applyFont="1" applyBorder="1"/>
    <xf numFmtId="164" fontId="1" fillId="0" borderId="3" xfId="0" applyNumberFormat="1" applyFont="1" applyBorder="1"/>
    <xf numFmtId="165" fontId="4" fillId="0" borderId="4" xfId="0" applyNumberFormat="1" applyFont="1" applyBorder="1" applyAlignment="1">
      <alignment shrinkToFit="1"/>
    </xf>
    <xf numFmtId="165" fontId="4" fillId="0" borderId="5" xfId="0" applyNumberFormat="1" applyFont="1" applyBorder="1" applyAlignment="1">
      <alignment shrinkToFit="1"/>
    </xf>
    <xf numFmtId="165" fontId="4" fillId="0" borderId="6" xfId="0" applyNumberFormat="1" applyFont="1" applyBorder="1" applyAlignment="1">
      <alignment shrinkToFit="1"/>
    </xf>
    <xf numFmtId="165" fontId="4" fillId="0" borderId="0" xfId="0" applyNumberFormat="1" applyFont="1" applyBorder="1" applyAlignment="1">
      <alignment shrinkToFi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4" fillId="0" borderId="2" xfId="0" applyNumberFormat="1" applyFont="1" applyBorder="1" applyAlignment="1">
      <alignment shrinkToFit="1"/>
    </xf>
    <xf numFmtId="0" fontId="1" fillId="2" borderId="0" xfId="0" applyFont="1" applyFill="1"/>
    <xf numFmtId="0" fontId="1" fillId="2" borderId="3" xfId="0" applyFont="1" applyFill="1" applyBorder="1"/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5" fontId="8" fillId="0" borderId="0" xfId="0" applyNumberFormat="1" applyFont="1"/>
    <xf numFmtId="166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9" fillId="0" borderId="9" xfId="0" applyFont="1" applyBorder="1" applyAlignment="1">
      <alignment horizontal="center" vertical="center" shrinkToFit="1"/>
    </xf>
    <xf numFmtId="164" fontId="0" fillId="0" borderId="0" xfId="0" applyNumberFormat="1"/>
    <xf numFmtId="0" fontId="1" fillId="0" borderId="3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7" fontId="0" fillId="0" borderId="0" xfId="0" applyNumberFormat="1"/>
    <xf numFmtId="0" fontId="0" fillId="0" borderId="20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2" fillId="0" borderId="0" xfId="0" applyFont="1"/>
    <xf numFmtId="3" fontId="0" fillId="0" borderId="20" xfId="0" applyNumberFormat="1" applyFill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 applyFill="1"/>
    <xf numFmtId="2" fontId="0" fillId="0" borderId="0" xfId="0" applyNumberFormat="1" applyFill="1" applyBorder="1"/>
    <xf numFmtId="0" fontId="2" fillId="0" borderId="1" xfId="0" applyFont="1" applyBorder="1"/>
    <xf numFmtId="1" fontId="1" fillId="0" borderId="1" xfId="0" applyNumberFormat="1" applyFont="1" applyBorder="1"/>
    <xf numFmtId="3" fontId="0" fillId="0" borderId="9" xfId="0" applyNumberFormat="1" applyBorder="1" applyAlignment="1">
      <alignment horizontal="center"/>
    </xf>
    <xf numFmtId="165" fontId="5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/>
    <xf numFmtId="0" fontId="0" fillId="0" borderId="0" xfId="0" applyBorder="1"/>
    <xf numFmtId="2" fontId="4" fillId="0" borderId="0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right"/>
    </xf>
    <xf numFmtId="0" fontId="11" fillId="0" borderId="0" xfId="0" applyFont="1" applyBorder="1"/>
    <xf numFmtId="0" fontId="4" fillId="0" borderId="0" xfId="0" applyFont="1" applyBorder="1" applyAlignment="1">
      <alignment horizontal="right"/>
    </xf>
    <xf numFmtId="1" fontId="0" fillId="0" borderId="0" xfId="0" applyNumberFormat="1" applyBorder="1"/>
    <xf numFmtId="165" fontId="0" fillId="0" borderId="0" xfId="0" applyNumberFormat="1" applyBorder="1"/>
    <xf numFmtId="7" fontId="0" fillId="0" borderId="0" xfId="0" applyNumberFormat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Project NPV by Volume &amp; Price</a:t>
            </a:r>
          </a:p>
        </c:rich>
      </c:tx>
      <c:layout>
        <c:manualLayout>
          <c:xMode val="edge"/>
          <c:yMode val="edge"/>
          <c:x val="0.18292718729307775"/>
          <c:y val="1.344093038093995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8683786867067148"/>
          <c:y val="0.14722524325343314"/>
          <c:w val="0.54065147963406635"/>
          <c:h val="0.64247480488387565"/>
        </c:manualLayout>
      </c:layout>
      <c:scatterChart>
        <c:scatterStyle val="lineMarker"/>
        <c:ser>
          <c:idx val="0"/>
          <c:order val="0"/>
          <c:tx>
            <c:strRef>
              <c:f>'Cash Flow Model'!$B$50</c:f>
              <c:strCache>
                <c:ptCount val="1"/>
                <c:pt idx="0">
                  <c:v>2500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Model'!$C$50:$I$50</c:f>
              <c:numCache>
                <c:formatCode>"$"#,##0</c:formatCode>
                <c:ptCount val="7"/>
                <c:pt idx="0">
                  <c:v>-334.25569342235201</c:v>
                </c:pt>
                <c:pt idx="1">
                  <c:v>-325.63628990392118</c:v>
                </c:pt>
                <c:pt idx="2">
                  <c:v>-317.01688638549041</c:v>
                </c:pt>
                <c:pt idx="3">
                  <c:v>-308.39748286705964</c:v>
                </c:pt>
                <c:pt idx="4">
                  <c:v>-299.77807934862886</c:v>
                </c:pt>
                <c:pt idx="5">
                  <c:v>-291.15867583019815</c:v>
                </c:pt>
                <c:pt idx="6">
                  <c:v>-282.53927231176732</c:v>
                </c:pt>
              </c:numCache>
            </c:numRef>
          </c:yVal>
        </c:ser>
        <c:ser>
          <c:idx val="1"/>
          <c:order val="1"/>
          <c:tx>
            <c:strRef>
              <c:f>'Cash Flow Model'!$B$51</c:f>
              <c:strCache>
                <c:ptCount val="1"/>
                <c:pt idx="0">
                  <c:v>3750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Model'!$C$51:$I$51</c:f>
              <c:numCache>
                <c:formatCode>"$"#,##0</c:formatCode>
                <c:ptCount val="7"/>
                <c:pt idx="0">
                  <c:v>-334.25569342235201</c:v>
                </c:pt>
                <c:pt idx="1">
                  <c:v>-325.63628990392118</c:v>
                </c:pt>
                <c:pt idx="2">
                  <c:v>-317.01688638549041</c:v>
                </c:pt>
                <c:pt idx="3">
                  <c:v>-308.39748286705964</c:v>
                </c:pt>
                <c:pt idx="4">
                  <c:v>-299.77807934862886</c:v>
                </c:pt>
                <c:pt idx="5">
                  <c:v>-291.15867583019815</c:v>
                </c:pt>
                <c:pt idx="6">
                  <c:v>-282.53927231176732</c:v>
                </c:pt>
              </c:numCache>
            </c:numRef>
          </c:yVal>
        </c:ser>
        <c:ser>
          <c:idx val="2"/>
          <c:order val="2"/>
          <c:tx>
            <c:strRef>
              <c:f>'Cash Flow Model'!$B$52</c:f>
              <c:strCache>
                <c:ptCount val="1"/>
                <c:pt idx="0">
                  <c:v>5000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Model'!$C$52:$I$52</c:f>
              <c:numCache>
                <c:formatCode>"$"#,##0</c:formatCode>
                <c:ptCount val="7"/>
                <c:pt idx="0">
                  <c:v>-334.25569342235201</c:v>
                </c:pt>
                <c:pt idx="1">
                  <c:v>-325.63628990392118</c:v>
                </c:pt>
                <c:pt idx="2">
                  <c:v>-317.01688638549041</c:v>
                </c:pt>
                <c:pt idx="3">
                  <c:v>-308.39748286705964</c:v>
                </c:pt>
                <c:pt idx="4">
                  <c:v>-299.77807934862886</c:v>
                </c:pt>
                <c:pt idx="5">
                  <c:v>-291.15867583019815</c:v>
                </c:pt>
                <c:pt idx="6">
                  <c:v>-282.53927231176732</c:v>
                </c:pt>
              </c:numCache>
            </c:numRef>
          </c:yVal>
        </c:ser>
        <c:ser>
          <c:idx val="3"/>
          <c:order val="3"/>
          <c:tx>
            <c:strRef>
              <c:f>'Cash Flow Model'!$B$53</c:f>
              <c:strCache>
                <c:ptCount val="1"/>
                <c:pt idx="0">
                  <c:v>6250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Model'!$C$53:$I$53</c:f>
              <c:numCache>
                <c:formatCode>"$"#,##0</c:formatCode>
                <c:ptCount val="7"/>
                <c:pt idx="0">
                  <c:v>-334.25569342235201</c:v>
                </c:pt>
                <c:pt idx="1">
                  <c:v>-325.63628990392118</c:v>
                </c:pt>
                <c:pt idx="2">
                  <c:v>-317.01688638549041</c:v>
                </c:pt>
                <c:pt idx="3">
                  <c:v>-308.39748286705964</c:v>
                </c:pt>
                <c:pt idx="4">
                  <c:v>-299.77807934862886</c:v>
                </c:pt>
                <c:pt idx="5">
                  <c:v>-291.15867583019815</c:v>
                </c:pt>
                <c:pt idx="6">
                  <c:v>-282.53927231176732</c:v>
                </c:pt>
              </c:numCache>
            </c:numRef>
          </c:yVal>
        </c:ser>
        <c:ser>
          <c:idx val="4"/>
          <c:order val="4"/>
          <c:tx>
            <c:strRef>
              <c:f>'Cash Flow Model'!$B$54</c:f>
              <c:strCache>
                <c:ptCount val="1"/>
                <c:pt idx="0">
                  <c:v>7500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'Cash Flow Model'!$C$49:$I$49</c:f>
              <c:numCache>
                <c:formatCode>0.00</c:formatCode>
                <c:ptCount val="7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</c:numCache>
            </c:numRef>
          </c:xVal>
          <c:yVal>
            <c:numRef>
              <c:f>'Cash Flow Model'!$C$54:$I$54</c:f>
              <c:numCache>
                <c:formatCode>"$"#,##0</c:formatCode>
                <c:ptCount val="7"/>
                <c:pt idx="0">
                  <c:v>-334.25569342235201</c:v>
                </c:pt>
                <c:pt idx="1">
                  <c:v>-325.63628990392118</c:v>
                </c:pt>
                <c:pt idx="2">
                  <c:v>-317.01688638549041</c:v>
                </c:pt>
                <c:pt idx="3">
                  <c:v>-308.39748286705964</c:v>
                </c:pt>
                <c:pt idx="4">
                  <c:v>-299.77807934862886</c:v>
                </c:pt>
                <c:pt idx="5">
                  <c:v>-291.15867583019815</c:v>
                </c:pt>
                <c:pt idx="6">
                  <c:v>-282.53927231176732</c:v>
                </c:pt>
              </c:numCache>
            </c:numRef>
          </c:yVal>
        </c:ser>
        <c:dLbls/>
        <c:axId val="99487104"/>
        <c:axId val="99501952"/>
      </c:scatterChart>
      <c:valAx>
        <c:axId val="99487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($thousands)</a:t>
                </a:r>
              </a:p>
            </c:rich>
          </c:tx>
          <c:layout>
            <c:manualLayout>
              <c:xMode val="edge"/>
              <c:yMode val="edge"/>
              <c:x val="0.34144556398535292"/>
              <c:y val="0.82279085280085873"/>
            </c:manualLayout>
          </c:layout>
          <c:spPr>
            <a:noFill/>
            <a:ln w="25400">
              <a:noFill/>
            </a:ln>
          </c:spPr>
        </c:title>
        <c:numFmt formatCode="\$#,##0.0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501952"/>
        <c:crosses val="autoZero"/>
        <c:crossBetween val="midCat"/>
      </c:valAx>
      <c:valAx>
        <c:axId val="995019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Project NPV ($thousands)</a:t>
                </a:r>
              </a:p>
            </c:rich>
          </c:tx>
          <c:layout>
            <c:manualLayout>
              <c:xMode val="edge"/>
              <c:yMode val="edge"/>
              <c:x val="4.6268099466290111E-2"/>
              <c:y val="0.15633241977349521"/>
            </c:manualLayout>
          </c:layout>
          <c:spPr>
            <a:noFill/>
            <a:ln w="25400">
              <a:noFill/>
            </a:ln>
          </c:spPr>
        </c:title>
        <c:numFmt formatCode="\$#,##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4871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4756272487215667"/>
          <c:y val="0.38978582097127362"/>
          <c:w val="0.13617914781928897"/>
          <c:h val="0.2849471440379344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0215406747625955E-2"/>
          <c:y val="7.4548702245552628E-2"/>
          <c:w val="0.77175699976278478"/>
          <c:h val="0.89719889180519108"/>
        </c:manualLayout>
      </c:layout>
      <c:lineChart>
        <c:grouping val="standard"/>
        <c:ser>
          <c:idx val="0"/>
          <c:order val="0"/>
          <c:val>
            <c:numRef>
              <c:f>'Cash Flow Model'!$B$24:$U$24</c:f>
              <c:numCache>
                <c:formatCode>0</c:formatCode>
                <c:ptCount val="20"/>
                <c:pt idx="0" formatCode="General">
                  <c:v>-23</c:v>
                </c:pt>
                <c:pt idx="1">
                  <c:v>-45.439024390243901</c:v>
                </c:pt>
                <c:pt idx="2">
                  <c:v>-73.99345627602618</c:v>
                </c:pt>
                <c:pt idx="3">
                  <c:v>-101.85143860361865</c:v>
                </c:pt>
                <c:pt idx="4">
                  <c:v>-142.61921761960764</c:v>
                </c:pt>
                <c:pt idx="5">
                  <c:v>-177.97338912398834</c:v>
                </c:pt>
                <c:pt idx="6">
                  <c:v>-186.59635778359339</c:v>
                </c:pt>
                <c:pt idx="7">
                  <c:v>-144.53309602942244</c:v>
                </c:pt>
                <c:pt idx="8">
                  <c:v>-95.288301780636928</c:v>
                </c:pt>
                <c:pt idx="9">
                  <c:v>-47.24460007450471</c:v>
                </c:pt>
                <c:pt idx="10">
                  <c:v>-0.37269597096108242</c:v>
                </c:pt>
                <c:pt idx="11">
                  <c:v>45.355990959325382</c:v>
                </c:pt>
                <c:pt idx="12">
                  <c:v>89.969344062043888</c:v>
                </c:pt>
                <c:pt idx="13">
                  <c:v>133.49456660128146</c:v>
                </c:pt>
                <c:pt idx="14">
                  <c:v>175.9581983468791</c:v>
                </c:pt>
                <c:pt idx="15">
                  <c:v>217.38613175721824</c:v>
                </c:pt>
                <c:pt idx="16">
                  <c:v>217.38613175721824</c:v>
                </c:pt>
                <c:pt idx="17">
                  <c:v>217.38613175721824</c:v>
                </c:pt>
                <c:pt idx="18">
                  <c:v>217.38613175721824</c:v>
                </c:pt>
                <c:pt idx="19">
                  <c:v>217.38613175721824</c:v>
                </c:pt>
              </c:numCache>
            </c:numRef>
          </c:val>
        </c:ser>
        <c:dLbls/>
        <c:marker val="1"/>
        <c:axId val="100130816"/>
        <c:axId val="101983744"/>
      </c:lineChart>
      <c:catAx>
        <c:axId val="100130816"/>
        <c:scaling>
          <c:orientation val="minMax"/>
        </c:scaling>
        <c:axPos val="b"/>
        <c:numFmt formatCode="General" sourceLinked="1"/>
        <c:tickLblPos val="nextTo"/>
        <c:crossAx val="101983744"/>
        <c:crosses val="autoZero"/>
        <c:auto val="1"/>
        <c:lblAlgn val="ctr"/>
        <c:lblOffset val="100"/>
      </c:catAx>
      <c:valAx>
        <c:axId val="101983744"/>
        <c:scaling>
          <c:orientation val="minMax"/>
        </c:scaling>
        <c:axPos val="l"/>
        <c:majorGridlines/>
        <c:numFmt formatCode="General" sourceLinked="1"/>
        <c:tickLblPos val="nextTo"/>
        <c:crossAx val="1001308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val>
            <c:numRef>
              <c:f>'Cash Flow Model'!$B$18:$U$18</c:f>
              <c:numCache>
                <c:formatCode>General</c:formatCode>
                <c:ptCount val="20"/>
                <c:pt idx="0">
                  <c:v>-23</c:v>
                </c:pt>
                <c:pt idx="1">
                  <c:v>-23</c:v>
                </c:pt>
                <c:pt idx="2">
                  <c:v>-30</c:v>
                </c:pt>
                <c:pt idx="3">
                  <c:v>-30</c:v>
                </c:pt>
                <c:pt idx="4">
                  <c:v>-45</c:v>
                </c:pt>
                <c:pt idx="5">
                  <c:v>-40</c:v>
                </c:pt>
                <c:pt idx="6">
                  <c:v>-10</c:v>
                </c:pt>
                <c:pt idx="7">
                  <c:v>50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v>Discounted Periodic Cash</c:v>
          </c:tx>
          <c:val>
            <c:numRef>
              <c:f>'Cash Flow Model'!$B$23:$U$23</c:f>
              <c:numCache>
                <c:formatCode>0</c:formatCode>
                <c:ptCount val="20"/>
                <c:pt idx="0" formatCode="General">
                  <c:v>-23</c:v>
                </c:pt>
                <c:pt idx="1">
                  <c:v>-22.439024390243905</c:v>
                </c:pt>
                <c:pt idx="2">
                  <c:v>-28.554431885782275</c:v>
                </c:pt>
                <c:pt idx="3">
                  <c:v>-27.857982327592463</c:v>
                </c:pt>
                <c:pt idx="4">
                  <c:v>-40.767779015988978</c:v>
                </c:pt>
                <c:pt idx="5">
                  <c:v>-35.354171504380687</c:v>
                </c:pt>
                <c:pt idx="6">
                  <c:v>-8.6229686596050463</c:v>
                </c:pt>
                <c:pt idx="7">
                  <c:v>42.063261754170952</c:v>
                </c:pt>
                <c:pt idx="8">
                  <c:v>49.24479424878551</c:v>
                </c:pt>
                <c:pt idx="9">
                  <c:v>48.043701706132218</c:v>
                </c:pt>
                <c:pt idx="10">
                  <c:v>46.871904103543628</c:v>
                </c:pt>
                <c:pt idx="11">
                  <c:v>45.728686930286464</c:v>
                </c:pt>
                <c:pt idx="12">
                  <c:v>44.613353102718506</c:v>
                </c:pt>
                <c:pt idx="13">
                  <c:v>43.525222539237568</c:v>
                </c:pt>
                <c:pt idx="14">
                  <c:v>42.463631745597631</c:v>
                </c:pt>
                <c:pt idx="15">
                  <c:v>41.427933410339143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/>
        <c:overlap val="100"/>
        <c:axId val="99509376"/>
        <c:axId val="99510912"/>
      </c:barChart>
      <c:catAx>
        <c:axId val="99509376"/>
        <c:scaling>
          <c:orientation val="minMax"/>
        </c:scaling>
        <c:axPos val="b"/>
        <c:numFmt formatCode="General" sourceLinked="1"/>
        <c:tickLblPos val="nextTo"/>
        <c:crossAx val="99510912"/>
        <c:crosses val="autoZero"/>
        <c:auto val="1"/>
        <c:lblAlgn val="ctr"/>
        <c:lblOffset val="100"/>
      </c:catAx>
      <c:valAx>
        <c:axId val="99510912"/>
        <c:scaling>
          <c:orientation val="minMax"/>
        </c:scaling>
        <c:axPos val="l"/>
        <c:majorGridlines/>
        <c:numFmt formatCode="General" sourceLinked="1"/>
        <c:tickLblPos val="nextTo"/>
        <c:crossAx val="99509376"/>
        <c:crosses val="autoZero"/>
        <c:crossBetween val="between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27803479018563981"/>
          <c:y val="2.7777825069163663E-2"/>
        </c:manualLayout>
      </c:layout>
    </c:title>
    <c:plotArea>
      <c:layout>
        <c:manualLayout>
          <c:layoutTarget val="inner"/>
          <c:xMode val="edge"/>
          <c:yMode val="edge"/>
          <c:x val="0.15486351706036749"/>
          <c:y val="0.18554425488480611"/>
          <c:w val="0.82569203849518835"/>
          <c:h val="0.75379593175853044"/>
        </c:manualLayout>
      </c:layout>
      <c:lineChart>
        <c:grouping val="standard"/>
        <c:ser>
          <c:idx val="0"/>
          <c:order val="0"/>
          <c:tx>
            <c:strRef>
              <c:f>'Cash Flow Model'!$A$48</c:f>
              <c:strCache>
                <c:ptCount val="1"/>
                <c:pt idx="0">
                  <c:v>NPV vs Sales Price</c:v>
                </c:pt>
              </c:strCache>
            </c:strRef>
          </c:tx>
          <c:dLbls>
            <c:showVal val="1"/>
          </c:dLbls>
          <c:cat>
            <c:numRef>
              <c:f>'Cash Flow Model'!$C$56:$J$56</c:f>
              <c:numCache>
                <c:formatCode>"$"#,##0</c:formatCode>
                <c:ptCount val="8"/>
                <c:pt idx="0">
                  <c:v>200</c:v>
                </c:pt>
                <c:pt idx="1">
                  <c:v>400</c:v>
                </c:pt>
                <c:pt idx="2">
                  <c:v>600.00000000000011</c:v>
                </c:pt>
                <c:pt idx="3">
                  <c:v>800</c:v>
                </c:pt>
                <c:pt idx="4">
                  <c:v>1000</c:v>
                </c:pt>
                <c:pt idx="5">
                  <c:v>1200.0000000000002</c:v>
                </c:pt>
                <c:pt idx="6">
                  <c:v>1400.0000000000002</c:v>
                </c:pt>
              </c:numCache>
            </c:numRef>
          </c:cat>
          <c:val>
            <c:numRef>
              <c:f>'Cash Flow Model'!$C$52:$I$52</c:f>
              <c:numCache>
                <c:formatCode>"$"#,##0</c:formatCode>
                <c:ptCount val="7"/>
                <c:pt idx="0">
                  <c:v>-334.25569342235201</c:v>
                </c:pt>
                <c:pt idx="1">
                  <c:v>-325.63628990392118</c:v>
                </c:pt>
                <c:pt idx="2">
                  <c:v>-317.01688638549041</c:v>
                </c:pt>
                <c:pt idx="3">
                  <c:v>-308.39748286705964</c:v>
                </c:pt>
                <c:pt idx="4">
                  <c:v>-299.77807934862886</c:v>
                </c:pt>
                <c:pt idx="5">
                  <c:v>-291.15867583019815</c:v>
                </c:pt>
                <c:pt idx="6">
                  <c:v>-282.53927231176732</c:v>
                </c:pt>
              </c:numCache>
            </c:numRef>
          </c:val>
        </c:ser>
        <c:dLbls/>
        <c:marker val="1"/>
        <c:axId val="99542912"/>
        <c:axId val="99544448"/>
      </c:lineChart>
      <c:catAx>
        <c:axId val="99542912"/>
        <c:scaling>
          <c:orientation val="minMax"/>
        </c:scaling>
        <c:axPos val="b"/>
        <c:numFmt formatCode="&quot;$&quot;#,##0" sourceLinked="1"/>
        <c:tickLblPos val="nextTo"/>
        <c:crossAx val="99544448"/>
        <c:crosses val="autoZero"/>
        <c:auto val="1"/>
        <c:lblAlgn val="ctr"/>
        <c:lblOffset val="100"/>
      </c:catAx>
      <c:valAx>
        <c:axId val="99544448"/>
        <c:scaling>
          <c:orientation val="minMax"/>
        </c:scaling>
        <c:axPos val="l"/>
        <c:majorGridlines/>
        <c:numFmt formatCode="&quot;$&quot;#,##0" sourceLinked="1"/>
        <c:tickLblPos val="nextTo"/>
        <c:crossAx val="99542912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'Cash Flow Model'!$A$49</c:f>
              <c:strCache>
                <c:ptCount val="1"/>
                <c:pt idx="0">
                  <c:v>NPV versus Quantity Produced/Quarter</c:v>
                </c:pt>
              </c:strCache>
            </c:strRef>
          </c:tx>
          <c:dLbls>
            <c:showVal val="1"/>
          </c:dLbls>
          <c:cat>
            <c:numRef>
              <c:f>'Cash Flow Model'!$B$50:$B$54</c:f>
              <c:numCache>
                <c:formatCode>General</c:formatCode>
                <c:ptCount val="5"/>
                <c:pt idx="0">
                  <c:v>2500</c:v>
                </c:pt>
                <c:pt idx="1">
                  <c:v>3750</c:v>
                </c:pt>
                <c:pt idx="2">
                  <c:v>5000</c:v>
                </c:pt>
                <c:pt idx="3">
                  <c:v>6250</c:v>
                </c:pt>
                <c:pt idx="4">
                  <c:v>7500</c:v>
                </c:pt>
              </c:numCache>
            </c:numRef>
          </c:cat>
          <c:val>
            <c:numRef>
              <c:f>'Cash Flow Model'!$F$50:$F$54</c:f>
              <c:numCache>
                <c:formatCode>"$"#,##0</c:formatCode>
                <c:ptCount val="5"/>
                <c:pt idx="0">
                  <c:v>-308.39748286705964</c:v>
                </c:pt>
                <c:pt idx="1">
                  <c:v>-308.39748286705964</c:v>
                </c:pt>
                <c:pt idx="2">
                  <c:v>-308.39748286705964</c:v>
                </c:pt>
                <c:pt idx="3">
                  <c:v>-308.39748286705964</c:v>
                </c:pt>
                <c:pt idx="4">
                  <c:v>-308.39748286705964</c:v>
                </c:pt>
              </c:numCache>
            </c:numRef>
          </c:val>
        </c:ser>
        <c:dLbls/>
        <c:marker val="1"/>
        <c:axId val="99769344"/>
        <c:axId val="99775232"/>
      </c:lineChart>
      <c:catAx>
        <c:axId val="99769344"/>
        <c:scaling>
          <c:orientation val="minMax"/>
        </c:scaling>
        <c:axPos val="b"/>
        <c:numFmt formatCode="General" sourceLinked="1"/>
        <c:tickLblPos val="nextTo"/>
        <c:crossAx val="99775232"/>
        <c:crosses val="autoZero"/>
        <c:auto val="1"/>
        <c:lblAlgn val="ctr"/>
        <c:lblOffset val="100"/>
      </c:catAx>
      <c:valAx>
        <c:axId val="99775232"/>
        <c:scaling>
          <c:orientation val="minMax"/>
        </c:scaling>
        <c:axPos val="l"/>
        <c:majorGridlines/>
        <c:numFmt formatCode="&quot;$&quot;#,##0" sourceLinked="1"/>
        <c:tickLblPos val="nextTo"/>
        <c:crossAx val="99769344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Tornado Diagram</a:t>
            </a:r>
          </a:p>
        </c:rich>
      </c:tx>
      <c:layout>
        <c:manualLayout>
          <c:xMode val="edge"/>
          <c:yMode val="edge"/>
          <c:x val="0.42286345308983042"/>
          <c:y val="1.957587878650917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5971143174250833"/>
          <c:y val="0.10440456769983686"/>
          <c:w val="0.68923418423973359"/>
          <c:h val="0.82871125611745522"/>
        </c:manualLayout>
      </c:layout>
      <c:barChart>
        <c:barDir val="bar"/>
        <c:grouping val="clustered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Lbls>
            <c:showVal val="1"/>
          </c:dLbls>
          <c:cat>
            <c:strRef>
              <c:f>'Base Case Assumptions'!$T$11:$T$13</c:f>
              <c:strCache>
                <c:ptCount val="3"/>
                <c:pt idx="0">
                  <c:v>1) Number of Units Made Per Year</c:v>
                </c:pt>
                <c:pt idx="1">
                  <c:v>2) Unit Cost Per Unit Sold (in Dollars, from Bill of Materials)</c:v>
                </c:pt>
                <c:pt idx="2">
                  <c:v>3) Marketing &amp; Support Costs Per Year (People Time, Ads, Travel, Trade Shows, Office Support</c:v>
                </c:pt>
              </c:strCache>
            </c:strRef>
          </c:cat>
          <c:val>
            <c:numRef>
              <c:f>'Base Case Assumptions'!$U$11:$U$13</c:f>
              <c:numCache>
                <c:formatCode>"$"#,##0.00_);\("$"#,##0.00\)</c:formatCode>
                <c:ptCount val="3"/>
                <c:pt idx="0">
                  <c:v>2945.79</c:v>
                </c:pt>
                <c:pt idx="1">
                  <c:v>12226.14</c:v>
                </c:pt>
                <c:pt idx="2">
                  <c:v>9290.6200000000008</c:v>
                </c:pt>
              </c:numCache>
            </c:numRef>
          </c:val>
        </c:ser>
        <c:ser>
          <c:idx val="1"/>
          <c:order val="1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Lbls>
            <c:showVal val="1"/>
          </c:dLbls>
          <c:cat>
            <c:strRef>
              <c:f>'Base Case Assumptions'!$T$11:$T$13</c:f>
              <c:strCache>
                <c:ptCount val="3"/>
                <c:pt idx="0">
                  <c:v>1) Number of Units Made Per Year</c:v>
                </c:pt>
                <c:pt idx="1">
                  <c:v>2) Unit Cost Per Unit Sold (in Dollars, from Bill of Materials)</c:v>
                </c:pt>
                <c:pt idx="2">
                  <c:v>3) Marketing &amp; Support Costs Per Year (People Time, Ads, Travel, Trade Shows, Office Support</c:v>
                </c:pt>
              </c:strCache>
            </c:strRef>
          </c:cat>
          <c:val>
            <c:numRef>
              <c:f>'Base Case Assumptions'!$V$11:$V$13</c:f>
              <c:numCache>
                <c:formatCode>"$"#,##0.00_);\("$"#,##0.00\)</c:formatCode>
                <c:ptCount val="3"/>
                <c:pt idx="0">
                  <c:v>22902.57</c:v>
                </c:pt>
                <c:pt idx="1">
                  <c:v>3643.83</c:v>
                </c:pt>
                <c:pt idx="2">
                  <c:v>5223.71</c:v>
                </c:pt>
              </c:numCache>
            </c:numRef>
          </c:val>
        </c:ser>
        <c:dLbls/>
        <c:gapWidth val="100"/>
        <c:overlap val="100"/>
        <c:axId val="100038144"/>
        <c:axId val="100039680"/>
      </c:barChart>
      <c:catAx>
        <c:axId val="100038144"/>
        <c:scaling>
          <c:orientation val="maxMin"/>
        </c:scaling>
        <c:axPos val="l"/>
        <c:numFmt formatCode="General" sourceLinked="1"/>
        <c:maj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039680"/>
        <c:crossesAt val="7934.9811"/>
        <c:auto val="1"/>
        <c:lblAlgn val="ctr"/>
        <c:lblOffset val="100"/>
        <c:tickLblSkip val="1"/>
        <c:tickMarkSkip val="1"/>
      </c:catAx>
      <c:valAx>
        <c:axId val="100039680"/>
        <c:scaling>
          <c:orientation val="minMax"/>
        </c:scaling>
        <c:axPos val="b"/>
        <c:numFmt formatCode="&quot;$&quot;#,##0.00_);\(&quot;$&quot;#,##0.00\)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038144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67</xdr:row>
      <xdr:rowOff>152400</xdr:rowOff>
    </xdr:from>
    <xdr:to>
      <xdr:col>23</xdr:col>
      <xdr:colOff>133350</xdr:colOff>
      <xdr:row>89</xdr:row>
      <xdr:rowOff>38100</xdr:rowOff>
    </xdr:to>
    <xdr:graphicFrame macro="">
      <xdr:nvGraphicFramePr>
        <xdr:cNvPr id="110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261349</xdr:colOff>
      <xdr:row>49</xdr:row>
      <xdr:rowOff>0</xdr:rowOff>
    </xdr:from>
    <xdr:ext cx="763928" cy="474553"/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1081749" y="8305800"/>
          <a:ext cx="763928" cy="4745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Quantity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Sold/Quarter</a:t>
          </a:r>
        </a:p>
        <a:p>
          <a:pPr algn="ctr" rtl="0">
            <a:defRPr sz="1000"/>
          </a:pPr>
          <a:endParaRPr lang="en-US"/>
        </a:p>
      </xdr:txBody>
    </xdr:sp>
    <xdr:clientData/>
  </xdr:oneCellAnchor>
  <xdr:twoCellAnchor>
    <xdr:from>
      <xdr:col>11</xdr:col>
      <xdr:colOff>142875</xdr:colOff>
      <xdr:row>27</xdr:row>
      <xdr:rowOff>19050</xdr:rowOff>
    </xdr:from>
    <xdr:to>
      <xdr:col>24</xdr:col>
      <xdr:colOff>533400</xdr:colOff>
      <xdr:row>43</xdr:row>
      <xdr:rowOff>123825</xdr:rowOff>
    </xdr:to>
    <xdr:graphicFrame macro="">
      <xdr:nvGraphicFramePr>
        <xdr:cNvPr id="11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27</xdr:row>
      <xdr:rowOff>104775</xdr:rowOff>
    </xdr:from>
    <xdr:to>
      <xdr:col>10</xdr:col>
      <xdr:colOff>171450</xdr:colOff>
      <xdr:row>44</xdr:row>
      <xdr:rowOff>47625</xdr:rowOff>
    </xdr:to>
    <xdr:graphicFrame macro="">
      <xdr:nvGraphicFramePr>
        <xdr:cNvPr id="110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304800</xdr:colOff>
      <xdr:row>45</xdr:row>
      <xdr:rowOff>85725</xdr:rowOff>
    </xdr:from>
    <xdr:to>
      <xdr:col>20</xdr:col>
      <xdr:colOff>238125</xdr:colOff>
      <xdr:row>66</xdr:row>
      <xdr:rowOff>57150</xdr:rowOff>
    </xdr:to>
    <xdr:graphicFrame macro="">
      <xdr:nvGraphicFramePr>
        <xdr:cNvPr id="110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304800</xdr:colOff>
      <xdr:row>59</xdr:row>
      <xdr:rowOff>9525</xdr:rowOff>
    </xdr:from>
    <xdr:to>
      <xdr:col>8</xdr:col>
      <xdr:colOff>390525</xdr:colOff>
      <xdr:row>81</xdr:row>
      <xdr:rowOff>28575</xdr:rowOff>
    </xdr:to>
    <xdr:graphicFrame macro="">
      <xdr:nvGraphicFramePr>
        <xdr:cNvPr id="110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323850</xdr:colOff>
      <xdr:row>37</xdr:row>
      <xdr:rowOff>104775</xdr:rowOff>
    </xdr:from>
    <xdr:to>
      <xdr:col>15</xdr:col>
      <xdr:colOff>171450</xdr:colOff>
      <xdr:row>40</xdr:row>
      <xdr:rowOff>104775</xdr:rowOff>
    </xdr:to>
    <xdr:sp macro="" textlink="">
      <xdr:nvSpPr>
        <xdr:cNvPr id="1110" name="Down Arrow 4"/>
        <xdr:cNvSpPr>
          <a:spLocks noChangeArrowheads="1"/>
        </xdr:cNvSpPr>
      </xdr:nvSpPr>
      <xdr:spPr bwMode="auto">
        <a:xfrm rot="10800000">
          <a:off x="9001125" y="6324600"/>
          <a:ext cx="276225" cy="51435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0.27988</cdr:x>
      <cdr:y>0.70139</cdr:y>
    </cdr:from>
    <cdr:to>
      <cdr:x>0.36152</cdr:x>
      <cdr:y>0.79861</cdr:y>
    </cdr:to>
    <cdr:sp macro="" textlink="">
      <cdr:nvSpPr>
        <cdr:cNvPr id="2" name="Down Arrow 1"/>
        <cdr:cNvSpPr/>
      </cdr:nvSpPr>
      <cdr:spPr bwMode="auto">
        <a:xfrm xmlns:a="http://schemas.openxmlformats.org/drawingml/2006/main" rot="5400000">
          <a:off x="1962150" y="1790700"/>
          <a:ext cx="266700" cy="533400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FFFF"/>
        </a:solidFill>
        <a:ln xmlns:a="http://schemas.openxmlformats.org/drawingml/2006/main"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  <a:extLst xmlns:a="http://schemas.openxmlformats.org/drawingml/2006/main"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0.56262</cdr:x>
      <cdr:y>0.14634</cdr:y>
    </cdr:from>
    <cdr:to>
      <cdr:x>0.65316</cdr:x>
      <cdr:y>0.27107</cdr:y>
    </cdr:to>
    <cdr:sp macro="" textlink="">
      <cdr:nvSpPr>
        <cdr:cNvPr id="3" name="Down Arrow 2"/>
        <cdr:cNvSpPr/>
      </cdr:nvSpPr>
      <cdr:spPr bwMode="auto">
        <a:xfrm xmlns:a="http://schemas.openxmlformats.org/drawingml/2006/main" rot="5400000">
          <a:off x="3800963" y="276685"/>
          <a:ext cx="342165" cy="591650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FFFF"/>
        </a:solidFill>
        <a:ln xmlns:a="http://schemas.openxmlformats.org/drawingml/2006/main"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  <a:extLst xmlns:a="http://schemas.openxmlformats.org/drawingml/2006/main"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0.64638</cdr:x>
      <cdr:y>0.03326</cdr:y>
    </cdr:from>
    <cdr:to>
      <cdr:x>0.69577</cdr:x>
      <cdr:y>0.23715</cdr:y>
    </cdr:to>
    <cdr:sp macro="" textlink="">
      <cdr:nvSpPr>
        <cdr:cNvPr id="4" name="Right Arrow 3"/>
        <cdr:cNvSpPr/>
      </cdr:nvSpPr>
      <cdr:spPr bwMode="auto">
        <a:xfrm xmlns:a="http://schemas.openxmlformats.org/drawingml/2006/main" rot="16200000">
          <a:off x="4105276" y="209549"/>
          <a:ext cx="559308" cy="3227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FFFFFF"/>
        </a:solidFill>
        <a:ln xmlns:a="http://schemas.openxmlformats.org/drawingml/2006/main"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 xmlns:a="http://schemas.openxmlformats.org/drawingml/2006/main"/>
        <a:extLst xmlns:a="http://schemas.openxmlformats.org/drawingml/2006/main"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upright="1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6507" cy="58410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>
      <selection activeCell="N31" sqref="N31"/>
    </sheetView>
  </sheetViews>
  <sheetFormatPr defaultRowHeight="13.2"/>
  <cols>
    <col min="1" max="1" width="36.88671875" customWidth="1"/>
    <col min="2" max="2" width="12.44140625" customWidth="1"/>
    <col min="4" max="14" width="3.88671875" style="28" customWidth="1"/>
    <col min="19" max="19" width="3" customWidth="1"/>
    <col min="20" max="20" width="52.44140625" customWidth="1"/>
    <col min="21" max="21" width="15" customWidth="1"/>
    <col min="22" max="22" width="13.6640625" customWidth="1"/>
    <col min="23" max="23" width="10.88671875" customWidth="1"/>
  </cols>
  <sheetData>
    <row r="1" spans="1:23">
      <c r="A1" s="53" t="s">
        <v>49</v>
      </c>
    </row>
    <row r="2" spans="1:23">
      <c r="A2" s="53" t="s">
        <v>53</v>
      </c>
    </row>
    <row r="3" spans="1:23" ht="21.75" customHeight="1" thickBot="1">
      <c r="B3" s="28"/>
    </row>
    <row r="4" spans="1:23">
      <c r="A4" s="55" t="s">
        <v>30</v>
      </c>
      <c r="B4" s="33" t="s">
        <v>26</v>
      </c>
      <c r="D4" s="87" t="s">
        <v>46</v>
      </c>
      <c r="E4" s="87"/>
      <c r="F4" s="87"/>
      <c r="G4" s="87"/>
      <c r="H4" s="87"/>
      <c r="I4" s="34"/>
      <c r="J4" s="87" t="s">
        <v>45</v>
      </c>
      <c r="K4" s="87"/>
      <c r="L4" s="87"/>
      <c r="M4" s="87"/>
      <c r="N4" s="87"/>
    </row>
    <row r="5" spans="1:23" ht="13.8" thickBot="1">
      <c r="A5" s="32"/>
      <c r="B5" s="35" t="s">
        <v>43</v>
      </c>
      <c r="D5" s="42" t="s">
        <v>31</v>
      </c>
      <c r="E5" s="43"/>
      <c r="F5" s="43"/>
      <c r="G5" s="43"/>
      <c r="H5" s="44" t="s">
        <v>32</v>
      </c>
      <c r="I5" s="34"/>
      <c r="J5" s="42" t="s">
        <v>31</v>
      </c>
      <c r="K5" s="43"/>
      <c r="L5" s="43"/>
      <c r="M5" s="43"/>
      <c r="N5" s="44" t="s">
        <v>32</v>
      </c>
      <c r="Q5" s="57" t="s">
        <v>31</v>
      </c>
      <c r="R5" s="57" t="s">
        <v>32</v>
      </c>
      <c r="S5" s="62"/>
    </row>
    <row r="6" spans="1:23" ht="25.5" customHeight="1">
      <c r="A6" s="32" t="s">
        <v>33</v>
      </c>
      <c r="B6" s="41">
        <v>1000000</v>
      </c>
      <c r="D6" s="46">
        <v>1</v>
      </c>
      <c r="E6" s="34">
        <v>2</v>
      </c>
      <c r="F6" s="34">
        <v>3</v>
      </c>
      <c r="G6" s="34">
        <v>4</v>
      </c>
      <c r="H6" s="45">
        <v>5</v>
      </c>
      <c r="J6" s="46">
        <v>1</v>
      </c>
      <c r="K6" s="34">
        <v>2</v>
      </c>
      <c r="L6" s="34">
        <v>3</v>
      </c>
      <c r="M6" s="34">
        <v>4</v>
      </c>
      <c r="N6" s="45">
        <v>5</v>
      </c>
      <c r="Q6" s="60">
        <v>500000</v>
      </c>
      <c r="R6" s="60">
        <v>1500000</v>
      </c>
      <c r="S6" s="63"/>
      <c r="U6" s="88" t="s">
        <v>56</v>
      </c>
      <c r="V6" s="88" t="s">
        <v>57</v>
      </c>
      <c r="W6" s="88" t="s">
        <v>55</v>
      </c>
    </row>
    <row r="7" spans="1:23" ht="25.5" customHeight="1">
      <c r="A7" s="32" t="s">
        <v>34</v>
      </c>
      <c r="B7" s="36">
        <v>4</v>
      </c>
      <c r="D7" s="46">
        <v>1</v>
      </c>
      <c r="E7" s="34">
        <v>2</v>
      </c>
      <c r="F7" s="34">
        <v>3</v>
      </c>
      <c r="G7" s="34">
        <v>4</v>
      </c>
      <c r="H7" s="45">
        <v>5</v>
      </c>
      <c r="J7" s="46">
        <v>1</v>
      </c>
      <c r="K7" s="34">
        <v>2</v>
      </c>
      <c r="L7" s="34">
        <v>3</v>
      </c>
      <c r="M7" s="34">
        <v>4</v>
      </c>
      <c r="N7" s="45">
        <v>5</v>
      </c>
      <c r="Q7" s="60">
        <v>3</v>
      </c>
      <c r="R7" s="60">
        <v>5</v>
      </c>
      <c r="S7" s="63"/>
      <c r="T7" s="56"/>
      <c r="U7" s="88"/>
      <c r="V7" s="88"/>
      <c r="W7" s="88"/>
    </row>
    <row r="8" spans="1:23" ht="25.5" customHeight="1">
      <c r="A8" s="32" t="s">
        <v>35</v>
      </c>
      <c r="B8" s="40">
        <v>500000</v>
      </c>
      <c r="D8" s="46">
        <v>1</v>
      </c>
      <c r="E8" s="34">
        <v>2</v>
      </c>
      <c r="F8" s="34">
        <v>3</v>
      </c>
      <c r="G8" s="34">
        <v>4</v>
      </c>
      <c r="H8" s="45">
        <v>5</v>
      </c>
      <c r="J8" s="46">
        <v>1</v>
      </c>
      <c r="K8" s="34">
        <v>2</v>
      </c>
      <c r="L8" s="34">
        <v>3</v>
      </c>
      <c r="M8" s="34">
        <v>4</v>
      </c>
      <c r="N8" s="45">
        <v>5</v>
      </c>
      <c r="Q8" s="60">
        <v>750000</v>
      </c>
      <c r="R8" s="60">
        <v>250000</v>
      </c>
      <c r="S8" s="63"/>
      <c r="U8" s="88"/>
      <c r="V8" s="88"/>
      <c r="W8" s="88"/>
    </row>
    <row r="9" spans="1:23" ht="25.5" customHeight="1">
      <c r="A9" s="32" t="s">
        <v>36</v>
      </c>
      <c r="B9" s="50">
        <v>2</v>
      </c>
      <c r="D9" s="46">
        <v>1</v>
      </c>
      <c r="E9" s="34">
        <v>2</v>
      </c>
      <c r="F9" s="34">
        <v>3</v>
      </c>
      <c r="G9" s="34">
        <v>4</v>
      </c>
      <c r="H9" s="45">
        <v>5</v>
      </c>
      <c r="J9" s="46">
        <v>1</v>
      </c>
      <c r="K9" s="34">
        <v>2</v>
      </c>
      <c r="L9" s="34">
        <v>3</v>
      </c>
      <c r="M9" s="34">
        <v>4</v>
      </c>
      <c r="N9" s="45">
        <v>5</v>
      </c>
      <c r="Q9" s="60">
        <v>1</v>
      </c>
      <c r="R9" s="60">
        <v>3</v>
      </c>
      <c r="S9" s="63"/>
      <c r="T9" t="s">
        <v>58</v>
      </c>
      <c r="U9" s="88"/>
      <c r="V9" s="88"/>
      <c r="W9" s="88"/>
    </row>
    <row r="10" spans="1:23" ht="25.5" customHeight="1">
      <c r="A10" s="32" t="s">
        <v>37</v>
      </c>
      <c r="B10" s="40">
        <v>1000000</v>
      </c>
      <c r="D10" s="46">
        <v>1</v>
      </c>
      <c r="E10" s="34">
        <v>2</v>
      </c>
      <c r="F10" s="34">
        <v>3</v>
      </c>
      <c r="G10" s="34">
        <v>4</v>
      </c>
      <c r="H10" s="45">
        <v>5</v>
      </c>
      <c r="J10" s="46">
        <v>1</v>
      </c>
      <c r="K10" s="34">
        <v>2</v>
      </c>
      <c r="L10" s="34">
        <v>3</v>
      </c>
      <c r="M10" s="34">
        <v>4</v>
      </c>
      <c r="N10" s="45">
        <v>5</v>
      </c>
      <c r="Q10" s="60">
        <v>500000</v>
      </c>
      <c r="R10" s="60">
        <v>2000000</v>
      </c>
      <c r="S10" s="63"/>
      <c r="T10" t="s">
        <v>54</v>
      </c>
      <c r="U10" s="88"/>
      <c r="V10" s="88"/>
      <c r="W10" s="88"/>
    </row>
    <row r="11" spans="1:23" ht="25.5" customHeight="1">
      <c r="A11" s="32" t="s">
        <v>38</v>
      </c>
      <c r="B11" s="72">
        <v>20000</v>
      </c>
      <c r="D11" s="46">
        <v>1</v>
      </c>
      <c r="E11" s="34">
        <v>2</v>
      </c>
      <c r="F11" s="34">
        <v>3</v>
      </c>
      <c r="G11" s="34">
        <v>4</v>
      </c>
      <c r="H11" s="45">
        <v>5</v>
      </c>
      <c r="J11" s="46">
        <v>1</v>
      </c>
      <c r="K11" s="34">
        <v>2</v>
      </c>
      <c r="L11" s="34">
        <v>3</v>
      </c>
      <c r="M11" s="34">
        <v>4</v>
      </c>
      <c r="N11" s="45">
        <v>5</v>
      </c>
      <c r="Q11" s="60">
        <v>10000</v>
      </c>
      <c r="R11" s="60">
        <v>50000</v>
      </c>
      <c r="S11" s="63"/>
      <c r="T11" s="59" t="s">
        <v>59</v>
      </c>
      <c r="U11" s="84">
        <v>2945.79</v>
      </c>
      <c r="V11" s="84">
        <v>22902.57</v>
      </c>
      <c r="W11" s="84">
        <v>19956.78</v>
      </c>
    </row>
    <row r="12" spans="1:23" ht="25.5" customHeight="1">
      <c r="A12" s="32" t="s">
        <v>39</v>
      </c>
      <c r="B12" s="39">
        <v>400</v>
      </c>
      <c r="D12" s="46">
        <v>1</v>
      </c>
      <c r="E12" s="34">
        <v>2</v>
      </c>
      <c r="F12" s="34">
        <v>3</v>
      </c>
      <c r="G12" s="34">
        <v>4</v>
      </c>
      <c r="H12" s="45">
        <v>5</v>
      </c>
      <c r="J12" s="46">
        <v>1</v>
      </c>
      <c r="K12" s="34">
        <v>2</v>
      </c>
      <c r="L12" s="34">
        <v>3</v>
      </c>
      <c r="M12" s="34">
        <v>4</v>
      </c>
      <c r="N12" s="45">
        <v>5</v>
      </c>
      <c r="Q12" s="60">
        <v>300</v>
      </c>
      <c r="R12" s="60">
        <v>500</v>
      </c>
      <c r="S12" s="63"/>
      <c r="T12" s="59" t="s">
        <v>60</v>
      </c>
      <c r="U12" s="84">
        <v>12226.14</v>
      </c>
      <c r="V12" s="84">
        <v>3643.83</v>
      </c>
      <c r="W12" s="84">
        <v>8582.31</v>
      </c>
    </row>
    <row r="13" spans="1:23" ht="25.5" customHeight="1">
      <c r="A13" s="32" t="s">
        <v>44</v>
      </c>
      <c r="B13" s="50" t="s">
        <v>48</v>
      </c>
      <c r="D13" s="46"/>
      <c r="E13" s="34"/>
      <c r="F13" s="34"/>
      <c r="G13" s="34"/>
      <c r="H13" s="45"/>
      <c r="J13" s="46"/>
      <c r="K13" s="34"/>
      <c r="L13" s="34"/>
      <c r="M13" s="34"/>
      <c r="N13" s="45"/>
      <c r="Q13" s="61"/>
      <c r="R13" s="61"/>
      <c r="S13" s="64"/>
      <c r="T13" s="85" t="s">
        <v>61</v>
      </c>
      <c r="U13" s="84">
        <v>9290.6200000000008</v>
      </c>
      <c r="V13" s="84">
        <v>5223.71</v>
      </c>
      <c r="W13" s="84">
        <v>4066.91</v>
      </c>
    </row>
    <row r="14" spans="1:23" ht="25.5" customHeight="1">
      <c r="A14" s="32" t="s">
        <v>40</v>
      </c>
      <c r="B14" s="72">
        <v>20000</v>
      </c>
      <c r="D14" s="46">
        <v>1</v>
      </c>
      <c r="E14" s="34">
        <v>2</v>
      </c>
      <c r="F14" s="34">
        <v>3</v>
      </c>
      <c r="G14" s="34">
        <v>4</v>
      </c>
      <c r="H14" s="45">
        <v>5</v>
      </c>
      <c r="J14" s="46">
        <v>1</v>
      </c>
      <c r="K14" s="34">
        <v>2</v>
      </c>
      <c r="L14" s="34">
        <v>3</v>
      </c>
      <c r="M14" s="34">
        <v>4</v>
      </c>
      <c r="N14" s="45">
        <v>5</v>
      </c>
      <c r="Q14" s="60">
        <v>10000</v>
      </c>
      <c r="R14" s="60">
        <v>35000</v>
      </c>
      <c r="S14" s="63"/>
      <c r="T14" s="86"/>
    </row>
    <row r="15" spans="1:23" ht="25.5" customHeight="1">
      <c r="A15" s="32" t="s">
        <v>41</v>
      </c>
      <c r="B15" s="39">
        <v>800</v>
      </c>
      <c r="D15" s="46">
        <v>1</v>
      </c>
      <c r="E15" s="34">
        <v>2</v>
      </c>
      <c r="F15" s="34">
        <v>3</v>
      </c>
      <c r="G15" s="34">
        <v>4</v>
      </c>
      <c r="H15" s="45">
        <v>5</v>
      </c>
      <c r="J15" s="46">
        <v>1</v>
      </c>
      <c r="K15" s="34">
        <v>2</v>
      </c>
      <c r="L15" s="34">
        <v>3</v>
      </c>
      <c r="M15" s="34">
        <v>4</v>
      </c>
      <c r="N15" s="45">
        <v>5</v>
      </c>
      <c r="Q15" s="60">
        <v>600</v>
      </c>
      <c r="R15" s="60">
        <v>1000</v>
      </c>
      <c r="S15" s="63"/>
    </row>
    <row r="16" spans="1:23" ht="25.5" customHeight="1" thickBot="1">
      <c r="A16" s="32" t="s">
        <v>42</v>
      </c>
      <c r="B16" s="37">
        <v>0.15</v>
      </c>
      <c r="D16" s="47">
        <v>1</v>
      </c>
      <c r="E16" s="48">
        <v>2</v>
      </c>
      <c r="F16" s="48">
        <v>3</v>
      </c>
      <c r="G16" s="48">
        <v>4</v>
      </c>
      <c r="H16" s="49">
        <v>5</v>
      </c>
      <c r="J16" s="47">
        <v>1</v>
      </c>
      <c r="K16" s="48">
        <v>2</v>
      </c>
      <c r="L16" s="48">
        <v>3</v>
      </c>
      <c r="M16" s="48">
        <v>4</v>
      </c>
      <c r="N16" s="49">
        <v>5</v>
      </c>
      <c r="Q16" s="58">
        <v>0.1</v>
      </c>
      <c r="R16" s="58">
        <v>0.25</v>
      </c>
      <c r="S16" s="65"/>
    </row>
  </sheetData>
  <mergeCells count="6">
    <mergeCell ref="W6:W10"/>
    <mergeCell ref="T13:T14"/>
    <mergeCell ref="D4:H4"/>
    <mergeCell ref="J4:N4"/>
    <mergeCell ref="U6:U10"/>
    <mergeCell ref="V6:V10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selection activeCell="C21" sqref="C21"/>
    </sheetView>
  </sheetViews>
  <sheetFormatPr defaultRowHeight="13.2"/>
  <cols>
    <col min="1" max="1" width="29.33203125" customWidth="1"/>
    <col min="2" max="2" width="11.6640625" customWidth="1"/>
    <col min="3" max="3" width="9.33203125" customWidth="1"/>
    <col min="4" max="4" width="9.88671875" customWidth="1"/>
    <col min="5" max="5" width="8.109375" customWidth="1"/>
    <col min="6" max="6" width="7.6640625" customWidth="1"/>
    <col min="7" max="7" width="6.5546875" customWidth="1"/>
    <col min="8" max="8" width="7.5546875" customWidth="1"/>
    <col min="9" max="9" width="7" customWidth="1"/>
    <col min="10" max="10" width="6.44140625" customWidth="1"/>
    <col min="11" max="12" width="6.88671875" customWidth="1"/>
    <col min="13" max="21" width="6.44140625" customWidth="1"/>
  </cols>
  <sheetData>
    <row r="1" spans="1:21">
      <c r="A1" s="53" t="s">
        <v>50</v>
      </c>
    </row>
    <row r="3" spans="1:21">
      <c r="A3" s="15" t="s">
        <v>25</v>
      </c>
    </row>
    <row r="4" spans="1:21" s="3" customFormat="1">
      <c r="B4" s="3" t="s">
        <v>0</v>
      </c>
      <c r="F4" s="3" t="s">
        <v>1</v>
      </c>
      <c r="J4" s="3" t="s">
        <v>2</v>
      </c>
      <c r="N4" s="3" t="s">
        <v>3</v>
      </c>
      <c r="R4" s="3" t="s">
        <v>47</v>
      </c>
    </row>
    <row r="5" spans="1:21" s="4" customForma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6</v>
      </c>
      <c r="P5" s="4" t="s">
        <v>7</v>
      </c>
      <c r="Q5" s="4" t="s">
        <v>8</v>
      </c>
      <c r="R5" s="4" t="s">
        <v>9</v>
      </c>
      <c r="S5" s="4" t="s">
        <v>6</v>
      </c>
      <c r="T5" s="4" t="s">
        <v>7</v>
      </c>
      <c r="U5" s="4" t="s">
        <v>8</v>
      </c>
    </row>
    <row r="6" spans="1:21" ht="13.8" thickBot="1"/>
    <row r="7" spans="1:21" ht="13.8" thickBot="1">
      <c r="A7" s="30" t="s">
        <v>10</v>
      </c>
      <c r="B7" s="21">
        <v>-23</v>
      </c>
      <c r="C7" s="3">
        <v>-23</v>
      </c>
      <c r="D7" s="3">
        <v>0</v>
      </c>
      <c r="E7" s="3">
        <v>0</v>
      </c>
      <c r="F7" s="3">
        <f>IF('Base Case Assumptions'!$B$7&gt;4, B7, )</f>
        <v>0</v>
      </c>
      <c r="G7" s="3">
        <f>IF('Base Case Assumptions'!$B$7&gt;5, B7, )</f>
        <v>0</v>
      </c>
      <c r="H7" s="3">
        <f>IF('Base Case Assumptions'!$B$7&gt;6, B7, )</f>
        <v>0</v>
      </c>
      <c r="I7" s="3">
        <f>IF('Base Case Assumptions'!$B$7&gt;7, B7, )</f>
        <v>0</v>
      </c>
      <c r="J7" s="3">
        <f>IF('Base Case Assumptions'!$B$7&gt;8, B7, )</f>
        <v>0</v>
      </c>
      <c r="K7" s="3">
        <f>IF('Base Case Assumptions'!$B$7&gt;9, B7, )</f>
        <v>0</v>
      </c>
      <c r="L7" s="3">
        <f>IF('Base Case Assumptions'!$B$7&gt;10, C7, )</f>
        <v>0</v>
      </c>
      <c r="M7" s="3">
        <f>IF('Base Case Assumptions'!$B$7&gt;11, D7, )</f>
        <v>0</v>
      </c>
      <c r="N7" s="3">
        <f>IF('Base Case Assumptions'!$B$7&gt;12, E7, )</f>
        <v>0</v>
      </c>
      <c r="O7" s="3">
        <f>IF('Base Case Assumptions'!$B$7&gt;13, F7, )</f>
        <v>0</v>
      </c>
      <c r="P7" s="3">
        <f>IF('Base Case Assumptions'!$B$7&gt;14, G7, )</f>
        <v>0</v>
      </c>
      <c r="Q7" s="3">
        <f>IF('Base Case Assumptions'!$B$7&gt;15, H7, )</f>
        <v>0</v>
      </c>
      <c r="R7" s="3">
        <f>IF('Base Case Assumptions'!$B$7&gt;12, I7, )</f>
        <v>0</v>
      </c>
      <c r="S7" s="3">
        <f>IF('Base Case Assumptions'!$B$7&gt;13, J7, )</f>
        <v>0</v>
      </c>
      <c r="T7" s="3">
        <f>IF('Base Case Assumptions'!$B$7&gt;14, K7, )</f>
        <v>0</v>
      </c>
      <c r="U7" s="3">
        <f>IF('Base Case Assumptions'!$B$7&gt;15, L7, )</f>
        <v>0</v>
      </c>
    </row>
    <row r="8" spans="1:21" ht="13.8" thickBot="1">
      <c r="A8" s="30" t="s">
        <v>66</v>
      </c>
      <c r="B8" s="3"/>
      <c r="C8" s="3"/>
      <c r="D8" s="3">
        <v>-30</v>
      </c>
      <c r="E8" s="31">
        <v>-30</v>
      </c>
      <c r="F8" s="30">
        <v>-30</v>
      </c>
      <c r="G8" s="3">
        <v>-90</v>
      </c>
      <c r="H8" s="3">
        <v>-60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.8" thickBot="1">
      <c r="A9" s="30" t="s">
        <v>11</v>
      </c>
      <c r="B9" s="3"/>
      <c r="C9" s="3"/>
      <c r="D9" s="3"/>
      <c r="E9" s="3"/>
      <c r="F9" s="21">
        <v>-15</v>
      </c>
      <c r="G9" s="3">
        <v>-15</v>
      </c>
      <c r="H9" s="3">
        <v>-15</v>
      </c>
      <c r="I9" s="3">
        <v>-15</v>
      </c>
      <c r="J9" s="3">
        <v>-5</v>
      </c>
      <c r="K9" s="3">
        <v>-5</v>
      </c>
      <c r="L9" s="3">
        <v>-5</v>
      </c>
      <c r="M9" s="3">
        <v>-5</v>
      </c>
      <c r="N9" s="3">
        <v>-5</v>
      </c>
      <c r="O9" s="3">
        <v>-5</v>
      </c>
      <c r="P9" s="3">
        <v>-5</v>
      </c>
      <c r="Q9" s="3">
        <v>-5</v>
      </c>
      <c r="R9" s="3"/>
      <c r="S9" s="3"/>
      <c r="T9" s="3"/>
      <c r="U9" s="3"/>
    </row>
    <row r="10" spans="1:21" ht="13.8" thickBot="1">
      <c r="A10" s="30" t="s">
        <v>12</v>
      </c>
      <c r="B10" s="3"/>
      <c r="C10" s="3"/>
      <c r="D10" s="3"/>
      <c r="E10" s="3"/>
      <c r="F10" s="3"/>
      <c r="G10" s="3">
        <f t="shared" ref="G10:Q10" si="0">G11*G12</f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/>
      <c r="S10" s="3"/>
      <c r="T10" s="3"/>
      <c r="U10" s="3"/>
    </row>
    <row r="11" spans="1:21" ht="13.8" thickBot="1">
      <c r="A11" s="30" t="s">
        <v>13</v>
      </c>
      <c r="B11" s="3"/>
      <c r="C11" s="89" t="s">
        <v>52</v>
      </c>
      <c r="D11" s="90"/>
      <c r="E11" s="3"/>
      <c r="F11" s="3"/>
      <c r="G11" s="30">
        <v>5</v>
      </c>
      <c r="H11" s="30">
        <v>5</v>
      </c>
      <c r="I11" s="30">
        <v>5</v>
      </c>
      <c r="J11" s="52">
        <v>5</v>
      </c>
      <c r="K11" s="3">
        <v>5</v>
      </c>
      <c r="L11" s="3">
        <v>5</v>
      </c>
      <c r="M11" s="3">
        <f t="shared" ref="K11:Q11" si="1">L11</f>
        <v>5</v>
      </c>
      <c r="N11" s="3">
        <f t="shared" si="1"/>
        <v>5</v>
      </c>
      <c r="O11" s="3">
        <f t="shared" si="1"/>
        <v>5</v>
      </c>
      <c r="P11" s="3">
        <f t="shared" si="1"/>
        <v>5</v>
      </c>
      <c r="Q11" s="3">
        <f t="shared" si="1"/>
        <v>5</v>
      </c>
      <c r="R11" s="3"/>
      <c r="S11" s="3"/>
      <c r="T11" s="3"/>
      <c r="U11" s="3"/>
    </row>
    <row r="12" spans="1:21" ht="13.8" thickBot="1">
      <c r="A12" s="30" t="s">
        <v>14</v>
      </c>
      <c r="B12" s="3"/>
      <c r="C12" s="90"/>
      <c r="D12" s="90"/>
      <c r="E12" s="3"/>
      <c r="F12" s="3"/>
      <c r="G12" s="21">
        <v>0</v>
      </c>
      <c r="H12" s="3">
        <f t="shared" ref="H12:Q12" si="2">G12</f>
        <v>0</v>
      </c>
      <c r="I12" s="3">
        <f t="shared" si="2"/>
        <v>0</v>
      </c>
      <c r="J12" s="3">
        <f t="shared" si="2"/>
        <v>0</v>
      </c>
      <c r="K12" s="3">
        <f t="shared" si="2"/>
        <v>0</v>
      </c>
      <c r="L12" s="3">
        <f t="shared" si="2"/>
        <v>0</v>
      </c>
      <c r="M12" s="3">
        <f t="shared" si="2"/>
        <v>0</v>
      </c>
      <c r="N12" s="3">
        <f t="shared" si="2"/>
        <v>0</v>
      </c>
      <c r="O12" s="3">
        <f t="shared" si="2"/>
        <v>0</v>
      </c>
      <c r="P12" s="3">
        <f t="shared" si="2"/>
        <v>0</v>
      </c>
      <c r="Q12" s="3">
        <f t="shared" si="2"/>
        <v>0</v>
      </c>
      <c r="R12" s="3"/>
      <c r="S12" s="3"/>
      <c r="T12" s="3"/>
      <c r="U12" s="3"/>
    </row>
    <row r="13" spans="1:21" ht="13.8" thickBot="1">
      <c r="A13" s="30" t="s">
        <v>15</v>
      </c>
      <c r="B13" s="3"/>
      <c r="C13" s="90"/>
      <c r="D13" s="90"/>
      <c r="E13" s="3"/>
      <c r="F13" s="3"/>
      <c r="G13" s="3">
        <f t="shared" ref="G13:Q13" si="3">G14*G15</f>
        <v>65</v>
      </c>
      <c r="H13" s="3">
        <f t="shared" si="3"/>
        <v>65</v>
      </c>
      <c r="I13" s="3">
        <f t="shared" si="3"/>
        <v>65</v>
      </c>
      <c r="J13" s="3">
        <f t="shared" si="3"/>
        <v>65</v>
      </c>
      <c r="K13" s="3">
        <f t="shared" si="3"/>
        <v>65</v>
      </c>
      <c r="L13" s="3">
        <f t="shared" si="3"/>
        <v>65</v>
      </c>
      <c r="M13" s="3">
        <f t="shared" si="3"/>
        <v>65</v>
      </c>
      <c r="N13" s="3">
        <f t="shared" si="3"/>
        <v>65</v>
      </c>
      <c r="O13" s="3">
        <f t="shared" si="3"/>
        <v>65</v>
      </c>
      <c r="P13" s="3">
        <f t="shared" si="3"/>
        <v>65</v>
      </c>
      <c r="Q13" s="3">
        <f t="shared" si="3"/>
        <v>65</v>
      </c>
      <c r="R13" s="3"/>
      <c r="S13" s="3"/>
      <c r="T13" s="3"/>
      <c r="U13" s="3"/>
    </row>
    <row r="14" spans="1:21" ht="13.8" thickBot="1">
      <c r="A14" s="30" t="s">
        <v>16</v>
      </c>
      <c r="B14" s="3"/>
      <c r="C14" s="91"/>
      <c r="D14" s="91"/>
      <c r="E14" s="3"/>
      <c r="F14" s="3"/>
      <c r="G14" s="30">
        <v>5</v>
      </c>
      <c r="H14" s="30">
        <v>5</v>
      </c>
      <c r="I14" s="30">
        <v>5</v>
      </c>
      <c r="J14" s="21">
        <v>5</v>
      </c>
      <c r="K14" s="3">
        <f t="shared" ref="K14:Q14" si="4">K11</f>
        <v>5</v>
      </c>
      <c r="L14" s="3">
        <f t="shared" si="4"/>
        <v>5</v>
      </c>
      <c r="M14" s="3">
        <f t="shared" si="4"/>
        <v>5</v>
      </c>
      <c r="N14" s="3">
        <f t="shared" si="4"/>
        <v>5</v>
      </c>
      <c r="O14" s="3">
        <f t="shared" si="4"/>
        <v>5</v>
      </c>
      <c r="P14" s="3">
        <f t="shared" si="4"/>
        <v>5</v>
      </c>
      <c r="Q14" s="3">
        <f t="shared" si="4"/>
        <v>5</v>
      </c>
      <c r="R14" s="3"/>
      <c r="S14" s="3"/>
      <c r="T14" s="3"/>
      <c r="U14" s="3"/>
    </row>
    <row r="15" spans="1:21" ht="13.8" thickBot="1">
      <c r="A15" s="30" t="s">
        <v>17</v>
      </c>
      <c r="B15" s="3"/>
      <c r="C15" s="91"/>
      <c r="D15" s="91"/>
      <c r="E15" s="3"/>
      <c r="F15" s="3"/>
      <c r="G15" s="21">
        <v>13</v>
      </c>
      <c r="H15" s="3">
        <f t="shared" ref="H15:Q15" si="5">G15</f>
        <v>13</v>
      </c>
      <c r="I15" s="3">
        <f t="shared" si="5"/>
        <v>13</v>
      </c>
      <c r="J15" s="3">
        <f t="shared" si="5"/>
        <v>13</v>
      </c>
      <c r="K15" s="3">
        <f t="shared" si="5"/>
        <v>13</v>
      </c>
      <c r="L15" s="3">
        <f t="shared" si="5"/>
        <v>13</v>
      </c>
      <c r="M15" s="3">
        <f t="shared" si="5"/>
        <v>13</v>
      </c>
      <c r="N15" s="3">
        <f t="shared" si="5"/>
        <v>13</v>
      </c>
      <c r="O15" s="3">
        <f t="shared" si="5"/>
        <v>13</v>
      </c>
      <c r="P15" s="3">
        <f t="shared" si="5"/>
        <v>13</v>
      </c>
      <c r="Q15" s="3">
        <f t="shared" si="5"/>
        <v>13</v>
      </c>
      <c r="R15" s="3"/>
      <c r="S15" s="3"/>
      <c r="T15" s="3"/>
      <c r="U15" s="3"/>
    </row>
    <row r="16" spans="1:21">
      <c r="A16" s="3"/>
      <c r="B16" s="3"/>
      <c r="C16" s="91"/>
      <c r="D16" s="9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 t="s">
        <v>18</v>
      </c>
      <c r="B18" s="3">
        <f t="shared" ref="B18:Q18" si="6">B7+B8+B9+B10+B13</f>
        <v>-23</v>
      </c>
      <c r="C18" s="3">
        <f t="shared" si="6"/>
        <v>-23</v>
      </c>
      <c r="D18" s="3">
        <f t="shared" si="6"/>
        <v>-30</v>
      </c>
      <c r="E18" s="3">
        <f t="shared" si="6"/>
        <v>-30</v>
      </c>
      <c r="F18" s="3">
        <f t="shared" si="6"/>
        <v>-45</v>
      </c>
      <c r="G18" s="3">
        <f t="shared" si="6"/>
        <v>-40</v>
      </c>
      <c r="H18" s="3">
        <f t="shared" si="6"/>
        <v>-10</v>
      </c>
      <c r="I18" s="3">
        <f t="shared" si="6"/>
        <v>50</v>
      </c>
      <c r="J18" s="3">
        <f t="shared" si="6"/>
        <v>60</v>
      </c>
      <c r="K18" s="3">
        <f t="shared" si="6"/>
        <v>60</v>
      </c>
      <c r="L18" s="3">
        <f t="shared" si="6"/>
        <v>60</v>
      </c>
      <c r="M18" s="3">
        <f t="shared" si="6"/>
        <v>60</v>
      </c>
      <c r="N18" s="3">
        <f t="shared" si="6"/>
        <v>60</v>
      </c>
      <c r="O18" s="3">
        <f t="shared" si="6"/>
        <v>60</v>
      </c>
      <c r="P18" s="3">
        <f t="shared" si="6"/>
        <v>60</v>
      </c>
      <c r="Q18" s="3">
        <f t="shared" si="6"/>
        <v>60</v>
      </c>
      <c r="R18" s="3">
        <f>R7+R8+R9+R10+R13</f>
        <v>0</v>
      </c>
      <c r="S18" s="3">
        <f>S7+S8+S9+S10+S13</f>
        <v>0</v>
      </c>
      <c r="T18" s="3">
        <f>T7+T8+T9+T10+T13</f>
        <v>0</v>
      </c>
      <c r="U18" s="3">
        <f>U7+U8+U9+U10+U13</f>
        <v>0</v>
      </c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3.8" thickBot="1">
      <c r="A20" s="3" t="s">
        <v>19</v>
      </c>
      <c r="B20" s="3">
        <v>0</v>
      </c>
      <c r="C20" s="3">
        <f t="shared" ref="C20:Q20" si="7">B20+1</f>
        <v>1</v>
      </c>
      <c r="D20" s="3">
        <f t="shared" si="7"/>
        <v>2</v>
      </c>
      <c r="E20" s="3">
        <f t="shared" si="7"/>
        <v>3</v>
      </c>
      <c r="F20" s="3">
        <f t="shared" si="7"/>
        <v>4</v>
      </c>
      <c r="G20" s="3">
        <f t="shared" si="7"/>
        <v>5</v>
      </c>
      <c r="H20" s="3">
        <f t="shared" si="7"/>
        <v>6</v>
      </c>
      <c r="I20" s="3">
        <f t="shared" si="7"/>
        <v>7</v>
      </c>
      <c r="J20" s="3">
        <f t="shared" si="7"/>
        <v>8</v>
      </c>
      <c r="K20" s="3">
        <f t="shared" si="7"/>
        <v>9</v>
      </c>
      <c r="L20" s="3">
        <f t="shared" si="7"/>
        <v>10</v>
      </c>
      <c r="M20" s="3">
        <f t="shared" si="7"/>
        <v>11</v>
      </c>
      <c r="N20" s="3">
        <f t="shared" si="7"/>
        <v>12</v>
      </c>
      <c r="O20" s="3">
        <f t="shared" si="7"/>
        <v>13</v>
      </c>
      <c r="P20" s="3">
        <f t="shared" si="7"/>
        <v>14</v>
      </c>
      <c r="Q20" s="3">
        <f t="shared" si="7"/>
        <v>15</v>
      </c>
      <c r="R20" s="3">
        <f>Q20+1</f>
        <v>16</v>
      </c>
      <c r="S20" s="3">
        <f>R20+1</f>
        <v>17</v>
      </c>
      <c r="T20" s="3">
        <f>S20+1</f>
        <v>18</v>
      </c>
      <c r="U20" s="3">
        <f>T20+1</f>
        <v>19</v>
      </c>
    </row>
    <row r="21" spans="1:21" ht="13.8" thickBot="1">
      <c r="A21" s="3" t="s">
        <v>20</v>
      </c>
      <c r="B21" s="22">
        <v>0.1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 t="s">
        <v>21</v>
      </c>
      <c r="B22" s="7">
        <f>B21/4</f>
        <v>2.5000000000000001E-2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 t="s">
        <v>22</v>
      </c>
      <c r="B23" s="3">
        <f>B18</f>
        <v>-23</v>
      </c>
      <c r="C23" s="5">
        <f>C18/(1+$B$22)^C20</f>
        <v>-22.439024390243905</v>
      </c>
      <c r="D23" s="5">
        <f>D18/(1+$B$22)^D20</f>
        <v>-28.554431885782275</v>
      </c>
      <c r="E23" s="5">
        <f t="shared" ref="C23:Q23" si="8">E18/(1+$B$22)^E20</f>
        <v>-27.857982327592463</v>
      </c>
      <c r="F23" s="5">
        <f t="shared" si="8"/>
        <v>-40.767779015988978</v>
      </c>
      <c r="G23" s="5">
        <f t="shared" si="8"/>
        <v>-35.354171504380687</v>
      </c>
      <c r="H23" s="5">
        <f t="shared" si="8"/>
        <v>-8.6229686596050463</v>
      </c>
      <c r="I23" s="5">
        <f t="shared" si="8"/>
        <v>42.063261754170952</v>
      </c>
      <c r="J23" s="5">
        <f t="shared" si="8"/>
        <v>49.24479424878551</v>
      </c>
      <c r="K23" s="5">
        <f t="shared" si="8"/>
        <v>48.043701706132218</v>
      </c>
      <c r="L23" s="5">
        <f t="shared" si="8"/>
        <v>46.871904103543628</v>
      </c>
      <c r="M23" s="5">
        <f t="shared" si="8"/>
        <v>45.728686930286464</v>
      </c>
      <c r="N23" s="5">
        <f t="shared" si="8"/>
        <v>44.613353102718506</v>
      </c>
      <c r="O23" s="5">
        <f t="shared" si="8"/>
        <v>43.525222539237568</v>
      </c>
      <c r="P23" s="5">
        <f t="shared" si="8"/>
        <v>42.463631745597631</v>
      </c>
      <c r="Q23" s="5">
        <f t="shared" si="8"/>
        <v>41.427933410339143</v>
      </c>
      <c r="R23" s="5">
        <f>R18/(1+$B$22)^R20</f>
        <v>0</v>
      </c>
      <c r="S23" s="5">
        <f>S18/(1+$B$22)^S20</f>
        <v>0</v>
      </c>
      <c r="T23" s="5">
        <f>T18/(1+$B$22)^T20</f>
        <v>0</v>
      </c>
      <c r="U23" s="5">
        <f>U18/(1+$B$22)^U20</f>
        <v>0</v>
      </c>
    </row>
    <row r="24" spans="1:21" s="2" customFormat="1" ht="13.8" thickBot="1">
      <c r="A24" s="70" t="s">
        <v>65</v>
      </c>
      <c r="B24" s="6">
        <f>B23</f>
        <v>-23</v>
      </c>
      <c r="C24" s="71">
        <f>B24+C23</f>
        <v>-45.439024390243901</v>
      </c>
      <c r="D24" s="71">
        <f t="shared" ref="D24:U24" si="9">C24+D23</f>
        <v>-73.99345627602618</v>
      </c>
      <c r="E24" s="71">
        <f t="shared" si="9"/>
        <v>-101.85143860361865</v>
      </c>
      <c r="F24" s="71">
        <f t="shared" si="9"/>
        <v>-142.61921761960764</v>
      </c>
      <c r="G24" s="71">
        <f t="shared" si="9"/>
        <v>-177.97338912398834</v>
      </c>
      <c r="H24" s="71">
        <f t="shared" si="9"/>
        <v>-186.59635778359339</v>
      </c>
      <c r="I24" s="71">
        <f t="shared" si="9"/>
        <v>-144.53309602942244</v>
      </c>
      <c r="J24" s="71">
        <f t="shared" si="9"/>
        <v>-95.288301780636928</v>
      </c>
      <c r="K24" s="71">
        <f t="shared" si="9"/>
        <v>-47.24460007450471</v>
      </c>
      <c r="L24" s="71">
        <f t="shared" si="9"/>
        <v>-0.37269597096108242</v>
      </c>
      <c r="M24" s="71">
        <f t="shared" si="9"/>
        <v>45.355990959325382</v>
      </c>
      <c r="N24" s="71">
        <f t="shared" si="9"/>
        <v>89.969344062043888</v>
      </c>
      <c r="O24" s="71">
        <f t="shared" si="9"/>
        <v>133.49456660128146</v>
      </c>
      <c r="P24" s="71">
        <f t="shared" si="9"/>
        <v>175.9581983468791</v>
      </c>
      <c r="Q24" s="71">
        <f t="shared" si="9"/>
        <v>217.38613175721824</v>
      </c>
      <c r="R24" s="71">
        <f t="shared" si="9"/>
        <v>217.38613175721824</v>
      </c>
      <c r="S24" s="71">
        <f t="shared" si="9"/>
        <v>217.38613175721824</v>
      </c>
      <c r="T24" s="71">
        <f t="shared" si="9"/>
        <v>217.38613175721824</v>
      </c>
      <c r="U24" s="71">
        <f t="shared" si="9"/>
        <v>217.38613175721824</v>
      </c>
    </row>
    <row r="25" spans="1:21" ht="21">
      <c r="A25" s="1" t="s">
        <v>23</v>
      </c>
      <c r="D25" s="38">
        <f>SUM($B23:$U23)</f>
        <v>217.38613175721824</v>
      </c>
    </row>
    <row r="26" spans="1:21">
      <c r="C26" s="9" t="s">
        <v>27</v>
      </c>
      <c r="D26" s="51">
        <v>0.57699999999999996</v>
      </c>
      <c r="E26" s="19" t="s">
        <v>28</v>
      </c>
      <c r="F26" s="19"/>
      <c r="G26" s="19"/>
      <c r="H26" s="20"/>
    </row>
    <row r="27" spans="1:21">
      <c r="C27" s="9"/>
      <c r="D27" s="51"/>
      <c r="E27" s="19"/>
      <c r="F27" s="19"/>
      <c r="G27" s="19"/>
      <c r="H27" s="20"/>
    </row>
    <row r="28" spans="1:21">
      <c r="C28" s="9"/>
      <c r="D28" s="51"/>
      <c r="E28" s="19"/>
      <c r="F28" s="19"/>
      <c r="G28" s="19"/>
      <c r="H28" s="20"/>
    </row>
    <row r="29" spans="1:21">
      <c r="C29" s="9"/>
      <c r="D29" s="51"/>
      <c r="E29" s="19"/>
      <c r="F29" s="19"/>
      <c r="G29" s="19"/>
      <c r="H29" s="20"/>
    </row>
    <row r="30" spans="1:21">
      <c r="B30" s="66"/>
      <c r="C30" s="67"/>
      <c r="D30" s="66"/>
      <c r="E30" s="69"/>
      <c r="F30" s="68"/>
      <c r="G30" s="68"/>
      <c r="H30" s="68"/>
    </row>
    <row r="31" spans="1:21">
      <c r="C31" s="9"/>
      <c r="D31" s="51"/>
      <c r="E31" s="19"/>
      <c r="F31" s="19"/>
      <c r="G31" s="19"/>
      <c r="H31" s="20"/>
    </row>
    <row r="32" spans="1:21">
      <c r="C32" s="9"/>
      <c r="D32" s="51"/>
      <c r="E32" s="19"/>
      <c r="F32" s="19"/>
      <c r="G32" s="19"/>
      <c r="H32" s="20"/>
    </row>
    <row r="33" spans="1:9">
      <c r="C33" s="9"/>
      <c r="D33" s="51"/>
      <c r="E33" s="19"/>
      <c r="F33" s="19"/>
      <c r="G33" s="19"/>
      <c r="H33" s="20"/>
    </row>
    <row r="34" spans="1:9">
      <c r="C34" s="9"/>
      <c r="D34" s="51"/>
      <c r="E34" s="19"/>
      <c r="F34" s="19"/>
      <c r="G34" s="19"/>
      <c r="H34" s="20"/>
    </row>
    <row r="35" spans="1:9">
      <c r="C35" s="9"/>
      <c r="D35" s="51"/>
      <c r="E35" s="19"/>
      <c r="F35" s="19"/>
      <c r="G35" s="19"/>
      <c r="H35" s="20"/>
    </row>
    <row r="36" spans="1:9">
      <c r="C36" s="9"/>
      <c r="D36" s="51"/>
      <c r="E36" s="19"/>
      <c r="F36" s="19"/>
      <c r="G36" s="19"/>
      <c r="H36" s="20"/>
    </row>
    <row r="37" spans="1:9" ht="13.5" customHeight="1">
      <c r="C37" s="9"/>
      <c r="D37" s="51"/>
      <c r="E37" s="19"/>
      <c r="F37" s="19"/>
      <c r="G37" s="19"/>
      <c r="H37" s="20"/>
    </row>
    <row r="38" spans="1:9" ht="13.5" customHeight="1">
      <c r="C38" s="9"/>
      <c r="D38" s="51"/>
      <c r="E38" s="19"/>
      <c r="F38" s="19"/>
      <c r="G38" s="19"/>
      <c r="H38" s="20"/>
    </row>
    <row r="39" spans="1:9" ht="13.5" customHeight="1">
      <c r="C39" s="9"/>
      <c r="D39" s="51"/>
      <c r="E39" s="19"/>
      <c r="F39" s="19"/>
      <c r="G39" s="19"/>
      <c r="H39" s="20"/>
    </row>
    <row r="40" spans="1:9" ht="13.5" customHeight="1">
      <c r="C40" s="9"/>
      <c r="D40" s="51"/>
      <c r="E40" s="19"/>
      <c r="F40" s="19"/>
      <c r="G40" s="19"/>
      <c r="H40" s="20"/>
    </row>
    <row r="41" spans="1:9" ht="13.5" customHeight="1">
      <c r="C41" s="9"/>
      <c r="D41" s="51"/>
      <c r="E41" s="19"/>
      <c r="F41" s="19"/>
      <c r="G41" s="19"/>
      <c r="H41" s="20"/>
    </row>
    <row r="42" spans="1:9">
      <c r="C42" s="9"/>
      <c r="D42" s="51"/>
      <c r="E42" s="19"/>
      <c r="F42" s="19"/>
      <c r="G42" s="19"/>
      <c r="H42" s="20"/>
    </row>
    <row r="43" spans="1:9">
      <c r="C43" s="9"/>
      <c r="D43" s="51"/>
      <c r="E43" s="19"/>
      <c r="F43" s="19"/>
      <c r="G43" s="19"/>
      <c r="H43" s="20"/>
    </row>
    <row r="44" spans="1:9">
      <c r="C44" s="9"/>
      <c r="D44" s="8"/>
      <c r="E44" s="19"/>
      <c r="F44" s="19"/>
      <c r="G44" s="19"/>
      <c r="H44" s="20"/>
    </row>
    <row r="45" spans="1:9">
      <c r="C45" s="9"/>
      <c r="D45" s="8"/>
      <c r="E45" s="19"/>
      <c r="F45" s="19"/>
      <c r="G45" s="19"/>
      <c r="H45" s="20"/>
    </row>
    <row r="47" spans="1:9" ht="18">
      <c r="A47" s="14" t="s">
        <v>29</v>
      </c>
      <c r="B47" s="11"/>
      <c r="C47" s="54" t="s">
        <v>51</v>
      </c>
      <c r="D47" s="54"/>
      <c r="E47" s="54"/>
      <c r="F47" s="54"/>
      <c r="G47" s="54"/>
      <c r="H47" s="54"/>
      <c r="I47" s="54"/>
    </row>
    <row r="48" spans="1:9" ht="13.8" thickBot="1">
      <c r="A48" s="10" t="s">
        <v>63</v>
      </c>
      <c r="B48" s="11"/>
      <c r="C48" s="11" t="s">
        <v>24</v>
      </c>
      <c r="D48" s="11"/>
      <c r="E48" s="11"/>
      <c r="F48" s="11" t="s">
        <v>26</v>
      </c>
      <c r="G48" s="11"/>
      <c r="H48" s="11"/>
      <c r="I48" s="11"/>
    </row>
    <row r="49" spans="1:9" ht="14.4" thickTop="1" thickBot="1">
      <c r="A49" s="10" t="s">
        <v>62</v>
      </c>
      <c r="B49" s="12">
        <f>D25</f>
        <v>217.38613175721824</v>
      </c>
      <c r="C49" s="13">
        <f>F49*0.25</f>
        <v>0.2</v>
      </c>
      <c r="D49" s="13">
        <f>F49*0.5</f>
        <v>0.4</v>
      </c>
      <c r="E49" s="13">
        <f>F49*0.75</f>
        <v>0.60000000000000009</v>
      </c>
      <c r="F49" s="17">
        <v>0.8</v>
      </c>
      <c r="G49" s="13">
        <f>F49*1.25</f>
        <v>1</v>
      </c>
      <c r="H49" s="13">
        <f>F49*1.5</f>
        <v>1.2000000000000002</v>
      </c>
      <c r="I49" s="13">
        <f>F49*1.75</f>
        <v>1.4000000000000001</v>
      </c>
    </row>
    <row r="50" spans="1:9" ht="13.8" thickTop="1">
      <c r="A50" s="10" t="s">
        <v>64</v>
      </c>
      <c r="B50" s="11">
        <f>B52*0.5</f>
        <v>2500</v>
      </c>
      <c r="C50" s="23">
        <f t="dataTable" ref="C50:I54" dt2D="1" dtr="0" r1="G15" r2="J11"/>
        <v>-334.25569342235201</v>
      </c>
      <c r="D50" s="24">
        <v>-325.63628990392118</v>
      </c>
      <c r="E50" s="24">
        <v>-317.01688638549041</v>
      </c>
      <c r="F50" s="26">
        <v>-308.39748286705964</v>
      </c>
      <c r="G50" s="24">
        <v>-299.77807934862886</v>
      </c>
      <c r="H50" s="24">
        <v>-291.15867583019815</v>
      </c>
      <c r="I50" s="24">
        <v>-282.53927231176732</v>
      </c>
    </row>
    <row r="51" spans="1:9" ht="13.8" thickBot="1">
      <c r="A51" s="11"/>
      <c r="B51" s="11">
        <f>B52*0.75</f>
        <v>3750</v>
      </c>
      <c r="C51" s="25">
        <v>-334.25569342235201</v>
      </c>
      <c r="D51" s="26">
        <v>-325.63628990392118</v>
      </c>
      <c r="E51" s="26">
        <v>-317.01688638549041</v>
      </c>
      <c r="F51" s="26">
        <v>-308.39748286705964</v>
      </c>
      <c r="G51" s="26">
        <v>-299.77807934862886</v>
      </c>
      <c r="H51" s="26">
        <v>-291.15867583019815</v>
      </c>
      <c r="I51" s="26">
        <v>-282.53927231176732</v>
      </c>
    </row>
    <row r="52" spans="1:9" ht="14.4" thickTop="1" thickBot="1">
      <c r="A52" s="10" t="s">
        <v>26</v>
      </c>
      <c r="B52" s="18">
        <v>5000</v>
      </c>
      <c r="C52" s="26">
        <v>-334.25569342235201</v>
      </c>
      <c r="D52" s="26">
        <v>-325.63628990392118</v>
      </c>
      <c r="E52" s="26">
        <v>-317.01688638549041</v>
      </c>
      <c r="F52" s="29">
        <v>-308.39748286705964</v>
      </c>
      <c r="G52" s="26">
        <v>-299.77807934862886</v>
      </c>
      <c r="H52" s="26">
        <v>-291.15867583019815</v>
      </c>
      <c r="I52" s="26">
        <v>-282.53927231176732</v>
      </c>
    </row>
    <row r="53" spans="1:9" ht="13.8" thickTop="1">
      <c r="A53" s="11"/>
      <c r="B53" s="11">
        <f>B52*1.25</f>
        <v>6250</v>
      </c>
      <c r="C53" s="25">
        <v>-334.25569342235201</v>
      </c>
      <c r="D53" s="26">
        <v>-325.63628990392118</v>
      </c>
      <c r="E53" s="26">
        <v>-317.01688638549041</v>
      </c>
      <c r="F53" s="26">
        <v>-308.39748286705964</v>
      </c>
      <c r="G53" s="26">
        <v>-299.77807934862886</v>
      </c>
      <c r="H53" s="26">
        <v>-291.15867583019815</v>
      </c>
      <c r="I53" s="26">
        <v>-282.53927231176732</v>
      </c>
    </row>
    <row r="54" spans="1:9">
      <c r="A54" s="10"/>
      <c r="B54" s="11">
        <f>B52*1.5</f>
        <v>7500</v>
      </c>
      <c r="C54" s="25">
        <v>-334.25569342235201</v>
      </c>
      <c r="D54" s="26">
        <v>-325.63628990392118</v>
      </c>
      <c r="E54" s="26">
        <v>-317.01688638549041</v>
      </c>
      <c r="F54" s="26">
        <v>-308.39748286705964</v>
      </c>
      <c r="G54" s="26">
        <v>-299.77807934862886</v>
      </c>
      <c r="H54" s="26">
        <v>-291.15867583019815</v>
      </c>
      <c r="I54" s="26">
        <v>-282.53927231176732</v>
      </c>
    </row>
    <row r="55" spans="1:9">
      <c r="A55" s="16"/>
    </row>
    <row r="56" spans="1:9">
      <c r="C56" s="78">
        <f>C49*1000</f>
        <v>200</v>
      </c>
      <c r="D56" s="78">
        <f t="shared" ref="D56:I56" si="10">D49*1000</f>
        <v>400</v>
      </c>
      <c r="E56" s="78">
        <f t="shared" si="10"/>
        <v>600.00000000000011</v>
      </c>
      <c r="F56" s="78">
        <f t="shared" si="10"/>
        <v>800</v>
      </c>
      <c r="G56" s="78">
        <f t="shared" si="10"/>
        <v>1000</v>
      </c>
      <c r="H56" s="78">
        <f t="shared" si="10"/>
        <v>1200.0000000000002</v>
      </c>
      <c r="I56" s="78">
        <f t="shared" si="10"/>
        <v>1400.0000000000002</v>
      </c>
    </row>
    <row r="68" spans="1:9">
      <c r="A68" s="10"/>
      <c r="B68" s="11"/>
      <c r="C68" s="11"/>
      <c r="D68" s="11"/>
      <c r="E68" s="11"/>
      <c r="F68" s="11"/>
      <c r="G68" s="11"/>
      <c r="H68" s="11"/>
      <c r="I68" s="11"/>
    </row>
    <row r="69" spans="1:9">
      <c r="A69" s="12"/>
      <c r="B69" s="73"/>
      <c r="C69" s="74"/>
      <c r="D69" s="74"/>
      <c r="E69" s="74"/>
      <c r="F69" s="74"/>
      <c r="G69" s="74"/>
      <c r="H69" s="74"/>
      <c r="I69" s="74"/>
    </row>
    <row r="70" spans="1:9">
      <c r="A70" s="10"/>
      <c r="B70" s="75"/>
      <c r="C70" s="26"/>
      <c r="D70" s="26"/>
      <c r="E70" s="26"/>
      <c r="F70" s="26"/>
      <c r="G70" s="26"/>
      <c r="H70" s="26"/>
      <c r="I70" s="26"/>
    </row>
    <row r="71" spans="1:9">
      <c r="A71" s="11"/>
      <c r="B71" s="75"/>
      <c r="C71" s="26"/>
      <c r="D71" s="26"/>
      <c r="E71" s="26"/>
      <c r="F71" s="26"/>
      <c r="G71" s="26"/>
      <c r="H71" s="26"/>
      <c r="I71" s="26"/>
    </row>
    <row r="72" spans="1:9">
      <c r="A72" s="11"/>
      <c r="B72" s="75"/>
      <c r="C72" s="26"/>
      <c r="D72" s="26"/>
      <c r="E72" s="26"/>
      <c r="F72" s="26"/>
      <c r="G72" s="26"/>
      <c r="H72" s="26"/>
      <c r="I72" s="26"/>
    </row>
    <row r="73" spans="1:9">
      <c r="A73" s="11"/>
      <c r="B73" s="75"/>
      <c r="C73" s="26"/>
      <c r="D73" s="26"/>
      <c r="E73" s="26"/>
      <c r="F73" s="26"/>
      <c r="G73" s="26"/>
      <c r="H73" s="26"/>
      <c r="I73" s="26"/>
    </row>
    <row r="74" spans="1:9">
      <c r="A74" s="27"/>
      <c r="B74" s="75"/>
      <c r="C74" s="26"/>
      <c r="D74" s="26"/>
      <c r="E74" s="26"/>
      <c r="F74" s="26"/>
      <c r="G74" s="26"/>
      <c r="H74" s="26"/>
      <c r="I74" s="26"/>
    </row>
    <row r="75" spans="1:9">
      <c r="A75" s="28"/>
    </row>
    <row r="84" spans="1:10">
      <c r="B84" s="76"/>
      <c r="C84" s="75"/>
      <c r="D84" s="76"/>
      <c r="E84" s="76"/>
      <c r="F84" s="76"/>
      <c r="G84" s="76"/>
      <c r="H84" s="76"/>
      <c r="I84" s="76"/>
      <c r="J84" s="76"/>
    </row>
    <row r="85" spans="1:10">
      <c r="B85" s="73"/>
      <c r="C85" s="77"/>
      <c r="D85" s="77"/>
      <c r="E85" s="77"/>
      <c r="F85" s="77"/>
      <c r="G85" s="77"/>
      <c r="H85" s="77"/>
      <c r="I85" s="77"/>
      <c r="J85" s="76"/>
    </row>
    <row r="86" spans="1:10">
      <c r="B86" s="75"/>
      <c r="C86" s="26"/>
      <c r="D86" s="26"/>
      <c r="E86" s="26"/>
      <c r="F86" s="26"/>
      <c r="G86" s="26"/>
      <c r="H86" s="26"/>
      <c r="I86" s="26"/>
      <c r="J86" s="76"/>
    </row>
    <row r="87" spans="1:10">
      <c r="B87" s="75"/>
      <c r="C87" s="26"/>
      <c r="D87" s="26"/>
      <c r="E87" s="26"/>
      <c r="F87" s="26"/>
      <c r="G87" s="26"/>
      <c r="H87" s="26"/>
      <c r="I87" s="26"/>
      <c r="J87" s="76"/>
    </row>
    <row r="88" spans="1:10">
      <c r="A88" s="10"/>
      <c r="B88" s="75"/>
      <c r="C88" s="26"/>
      <c r="D88" s="26"/>
      <c r="E88" s="26"/>
      <c r="F88" s="26"/>
      <c r="G88" s="26"/>
      <c r="H88" s="26"/>
      <c r="I88" s="26"/>
      <c r="J88" s="76"/>
    </row>
    <row r="89" spans="1:10">
      <c r="B89" s="75"/>
      <c r="C89" s="26"/>
      <c r="D89" s="26"/>
      <c r="E89" s="26"/>
      <c r="F89" s="26"/>
      <c r="G89" s="26"/>
      <c r="H89" s="26"/>
      <c r="I89" s="26"/>
      <c r="J89" s="76"/>
    </row>
    <row r="90" spans="1:10">
      <c r="A90" s="27"/>
      <c r="B90" s="75"/>
      <c r="C90" s="26"/>
      <c r="D90" s="26"/>
      <c r="E90" s="26"/>
      <c r="F90" s="26"/>
      <c r="G90" s="26"/>
      <c r="H90" s="26"/>
      <c r="I90" s="26"/>
      <c r="J90" s="76"/>
    </row>
    <row r="91" spans="1:10">
      <c r="A91" s="28"/>
    </row>
    <row r="92" spans="1:10">
      <c r="A92" s="76"/>
      <c r="B92" s="76"/>
      <c r="C92" s="76"/>
      <c r="D92" s="76"/>
      <c r="E92" s="76"/>
      <c r="F92" s="76"/>
      <c r="G92" s="76"/>
      <c r="H92" s="76"/>
      <c r="I92" s="76"/>
      <c r="J92" s="76"/>
    </row>
    <row r="93" spans="1:10">
      <c r="A93" s="76"/>
      <c r="B93" s="76"/>
      <c r="C93" s="76"/>
      <c r="D93" s="76"/>
      <c r="E93" s="76"/>
      <c r="F93" s="76"/>
      <c r="G93" s="76"/>
      <c r="H93" s="76"/>
      <c r="I93" s="76"/>
      <c r="J93" s="76"/>
    </row>
    <row r="94" spans="1:10" ht="18">
      <c r="A94" s="79"/>
      <c r="B94" s="75"/>
      <c r="C94" s="80"/>
      <c r="D94" s="80"/>
      <c r="E94" s="80"/>
      <c r="F94" s="80"/>
      <c r="G94" s="80"/>
      <c r="H94" s="80"/>
      <c r="I94" s="80"/>
      <c r="J94" s="76"/>
    </row>
    <row r="95" spans="1:10">
      <c r="A95" s="81"/>
      <c r="B95" s="75"/>
      <c r="C95" s="75"/>
      <c r="D95" s="75"/>
      <c r="E95" s="75"/>
      <c r="F95" s="75"/>
      <c r="G95" s="75"/>
      <c r="H95" s="75"/>
      <c r="I95" s="75"/>
      <c r="J95" s="76"/>
    </row>
    <row r="96" spans="1:10">
      <c r="A96" s="81"/>
      <c r="B96" s="73"/>
      <c r="C96" s="77"/>
      <c r="D96" s="77"/>
      <c r="E96" s="77"/>
      <c r="F96" s="77"/>
      <c r="G96" s="77"/>
      <c r="H96" s="77"/>
      <c r="I96" s="77"/>
      <c r="J96" s="76"/>
    </row>
    <row r="97" spans="1:10">
      <c r="A97" s="81"/>
      <c r="B97" s="75"/>
      <c r="C97" s="26"/>
      <c r="D97" s="26"/>
      <c r="E97" s="26"/>
      <c r="F97" s="26"/>
      <c r="G97" s="26"/>
      <c r="H97" s="26"/>
      <c r="I97" s="26"/>
      <c r="J97" s="76"/>
    </row>
    <row r="98" spans="1:10">
      <c r="A98" s="75"/>
      <c r="B98" s="75"/>
      <c r="C98" s="26"/>
      <c r="D98" s="26"/>
      <c r="E98" s="26"/>
      <c r="F98" s="26"/>
      <c r="G98" s="26"/>
      <c r="H98" s="26"/>
      <c r="I98" s="26"/>
      <c r="J98" s="76"/>
    </row>
    <row r="99" spans="1:10">
      <c r="A99" s="81"/>
      <c r="B99" s="75"/>
      <c r="C99" s="26"/>
      <c r="D99" s="26"/>
      <c r="E99" s="26"/>
      <c r="F99" s="26"/>
      <c r="G99" s="26"/>
      <c r="H99" s="26"/>
      <c r="I99" s="26"/>
      <c r="J99" s="76"/>
    </row>
    <row r="100" spans="1:10">
      <c r="A100" s="75"/>
      <c r="B100" s="75"/>
      <c r="C100" s="26"/>
      <c r="D100" s="26"/>
      <c r="E100" s="26"/>
      <c r="F100" s="26"/>
      <c r="G100" s="26"/>
      <c r="H100" s="26"/>
      <c r="I100" s="26"/>
      <c r="J100" s="76"/>
    </row>
    <row r="101" spans="1:10">
      <c r="A101" s="81"/>
      <c r="B101" s="75"/>
      <c r="C101" s="26"/>
      <c r="D101" s="26"/>
      <c r="E101" s="26"/>
      <c r="F101" s="26"/>
      <c r="G101" s="26"/>
      <c r="H101" s="26"/>
      <c r="I101" s="26"/>
      <c r="J101" s="76"/>
    </row>
    <row r="102" spans="1:10">
      <c r="A102" s="82"/>
      <c r="B102" s="76"/>
      <c r="C102" s="76"/>
      <c r="D102" s="76"/>
      <c r="E102" s="76"/>
      <c r="F102" s="76"/>
      <c r="G102" s="76"/>
      <c r="H102" s="76"/>
      <c r="I102" s="76"/>
      <c r="J102" s="76"/>
    </row>
    <row r="103" spans="1:10">
      <c r="A103" s="76"/>
      <c r="B103" s="76"/>
      <c r="C103" s="83"/>
      <c r="D103" s="83"/>
      <c r="E103" s="83"/>
      <c r="F103" s="83"/>
      <c r="G103" s="83"/>
      <c r="H103" s="83"/>
      <c r="I103" s="83"/>
      <c r="J103" s="76"/>
    </row>
    <row r="104" spans="1:10">
      <c r="A104" s="76"/>
      <c r="B104" s="76"/>
      <c r="C104" s="76"/>
      <c r="D104" s="76"/>
      <c r="E104" s="76"/>
      <c r="F104" s="76"/>
      <c r="G104" s="76"/>
      <c r="H104" s="76"/>
      <c r="I104" s="76"/>
      <c r="J104" s="76"/>
    </row>
    <row r="105" spans="1:10">
      <c r="A105" s="76"/>
      <c r="B105" s="76"/>
      <c r="C105" s="76"/>
      <c r="D105" s="76"/>
      <c r="E105" s="76"/>
      <c r="F105" s="76"/>
      <c r="G105" s="76"/>
      <c r="H105" s="76"/>
      <c r="I105" s="76"/>
      <c r="J105" s="76"/>
    </row>
    <row r="106" spans="1:10">
      <c r="A106" s="76"/>
      <c r="B106" s="76"/>
      <c r="C106" s="76"/>
      <c r="D106" s="76"/>
      <c r="E106" s="76"/>
      <c r="F106" s="76"/>
      <c r="G106" s="76"/>
      <c r="H106" s="76"/>
      <c r="I106" s="76"/>
      <c r="J106" s="76"/>
    </row>
  </sheetData>
  <mergeCells count="1">
    <mergeCell ref="C11:D16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Base Case Assumptions</vt:lpstr>
      <vt:lpstr>Cash Flow Model</vt:lpstr>
      <vt:lpstr>Sheet1</vt:lpstr>
      <vt:lpstr>Tornado Sensitivity Diag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Brian</cp:lastModifiedBy>
  <cp:lastPrinted>2003-04-01T13:32:03Z</cp:lastPrinted>
  <dcterms:created xsi:type="dcterms:W3CDTF">1997-04-15T03:24:39Z</dcterms:created>
  <dcterms:modified xsi:type="dcterms:W3CDTF">2016-11-02T18:35:53Z</dcterms:modified>
</cp:coreProperties>
</file>