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 SCRIPTS\Support Files\"/>
    </mc:Choice>
  </mc:AlternateContent>
  <xr:revisionPtr revIDLastSave="0" documentId="13_ncr:1_{985FA945-8160-4832-9CEF-33279A7CF877}" xr6:coauthVersionLast="47" xr6:coauthVersionMax="47" xr10:uidLastSave="{00000000-0000-0000-0000-000000000000}"/>
  <bookViews>
    <workbookView xWindow="-120" yWindow="-120" windowWidth="29040" windowHeight="15720" xr2:uid="{F422DA60-D731-40EF-AE7A-114E2B6988DB}"/>
  </bookViews>
  <sheets>
    <sheet name="Open Sales Orders-jt" sheetId="1" r:id="rId1"/>
  </sheets>
  <definedNames>
    <definedName name="_xlnm.Print_Titles" localSheetId="0">'Open Sales Orders-jt'!$1:$1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" l="1"/>
  <c r="N23" i="1"/>
  <c r="M24" i="1"/>
  <c r="N24" i="1"/>
  <c r="M25" i="1"/>
  <c r="N25" i="1"/>
  <c r="M26" i="1"/>
  <c r="N26" i="1"/>
  <c r="M27" i="1"/>
  <c r="N27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<sst xmlns="http://schemas.openxmlformats.org/spreadsheetml/2006/main" count="515" uniqueCount="190">
  <si>
    <t>SO Date</t>
  </si>
  <si>
    <t>Ship By</t>
  </si>
  <si>
    <t>SO No</t>
  </si>
  <si>
    <t>Customer Name</t>
  </si>
  <si>
    <t>Ship To Name</t>
  </si>
  <si>
    <t>Ship To City</t>
  </si>
  <si>
    <t>Ship To State</t>
  </si>
  <si>
    <t>Item ID</t>
  </si>
  <si>
    <t>Line Description</t>
  </si>
  <si>
    <t>Unit Price</t>
  </si>
  <si>
    <t>Qty Ordered</t>
  </si>
  <si>
    <t>Qty Shipped</t>
  </si>
  <si>
    <t>Qty Remaining</t>
  </si>
  <si>
    <t>Remaining Amt</t>
  </si>
  <si>
    <t>EC-15600-TK</t>
  </si>
  <si>
    <t>Ross Machinery Sales Inc</t>
  </si>
  <si>
    <t>Sikorsky Aircraft</t>
  </si>
  <si>
    <t>Ledgewood</t>
  </si>
  <si>
    <t>NJ</t>
  </si>
  <si>
    <t>EC750E3</t>
  </si>
  <si>
    <t>Ergo Control  750E3 Max. Load:1,650 lbs Strokel (X):28.3"-69.5" Lift Speed (X):0-2.3"/s Rotation (Y):Unlimited 3.5RPM Rotation (Z):Unlimited 4.8RPM Arm:47</t>
  </si>
  <si>
    <t>ECMISCELLANEOUS</t>
  </si>
  <si>
    <t>X-axis Traezoid Screw</t>
  </si>
  <si>
    <t>ECLASERSCANNER</t>
  </si>
  <si>
    <t>Ergo Control Programmable Laser Safety Scanner</t>
  </si>
  <si>
    <t>ECSPEEDREG</t>
  </si>
  <si>
    <t>EC-External Direction and Speed Regulation of Z-axis.</t>
  </si>
  <si>
    <t>ECPNEUMSUPPLY</t>
  </si>
  <si>
    <t>EC-Pneumatic Supply in top of Fixture Table.</t>
  </si>
  <si>
    <t>EC3000E2</t>
  </si>
  <si>
    <t>H&amp;T Ergo Control  3000E2 Max. Load:8,800 lbs Vertical Travel (X):32.2"-73" Lifting Speed (X):0-2.3"/s Rotation (Y):Unlimited 2.7RPM Rotation (Z):Unlimited</t>
  </si>
  <si>
    <t>Lift Height 26.6"-85" @0.5"/sec</t>
  </si>
  <si>
    <t>X-axis Trapezoid Screw</t>
  </si>
  <si>
    <t>EC1500E3</t>
  </si>
  <si>
    <t>Ergo Control  1500E3 Max. Load:3,300 lbs Stroke (X):26.6"-66.7" Lift Speed (X):0-4.6"/s Rotation (Y):Unlimited 2.7RPM Rotation (Z):Unlimited 2.7RPM Arm:55.1"</t>
  </si>
  <si>
    <t>Dual Arm  openeing 67"-84". Lenght 49.3"</t>
  </si>
  <si>
    <t>ECMICROSWITCH</t>
  </si>
  <si>
    <t>EC-15606-TK</t>
  </si>
  <si>
    <t>Raymond Corporation</t>
  </si>
  <si>
    <t>Raymond Manufacturing - Greene</t>
  </si>
  <si>
    <t>Greene</t>
  </si>
  <si>
    <t>NY</t>
  </si>
  <si>
    <t>EC-CURTAIN</t>
  </si>
  <si>
    <t>Ergo Control Curtain - Upper</t>
  </si>
  <si>
    <t>Ergo Control Curtain - Lower</t>
  </si>
  <si>
    <t>EC-15623-H</t>
  </si>
  <si>
    <t>GE Aviation</t>
  </si>
  <si>
    <t>GE - Aviation</t>
  </si>
  <si>
    <t>Batesville</t>
  </si>
  <si>
    <t>MS</t>
  </si>
  <si>
    <t>Hydro Swede 8 Liter Steel Tank</t>
  </si>
  <si>
    <t>EF-15656-H</t>
  </si>
  <si>
    <t>Ergotronix Inc</t>
  </si>
  <si>
    <t>CCAD</t>
  </si>
  <si>
    <t>Corpus Christi</t>
  </si>
  <si>
    <t>TX</t>
  </si>
  <si>
    <t>EF600M3-110V-DEMO</t>
  </si>
  <si>
    <t>Ergo Force 600M3 Max. Load:600 lbs Strokel (X):25"-49" Lift Speed (X):0-1.4"/s Rotation (Y):Unlimited 0-4RPM Rotation (Z):Unlimited 0-4RPM Arm:30" 110V/1</t>
  </si>
  <si>
    <t>MISC PARTS</t>
  </si>
  <si>
    <t>EC300 mounting Plate</t>
  </si>
  <si>
    <t>EH-15644-TK</t>
  </si>
  <si>
    <t>GE</t>
  </si>
  <si>
    <t>Hooksett</t>
  </si>
  <si>
    <t>NH</t>
  </si>
  <si>
    <t>EH203T-110V-B</t>
  </si>
  <si>
    <t>Ergo Chief 200 with Tilt turn table, Load Capacity:200 lbs. Retracted Height:33.5" Stroke:12" Lift Speed:0.6"/s Turn Speed:0-17 RPM 110V, 60Hz, 9 Amp</t>
  </si>
  <si>
    <t>EH-ZAXISROT-B</t>
  </si>
  <si>
    <t>Enable of Z-axis rotation.by external foot pedal</t>
  </si>
  <si>
    <t>CRATE</t>
  </si>
  <si>
    <t>Shipping Crate</t>
  </si>
  <si>
    <t>EI-15592-H</t>
  </si>
  <si>
    <t/>
  </si>
  <si>
    <t>REPAIR</t>
  </si>
  <si>
    <t>Evaluate stack of "NOT WORKING" Ergo-I actuators in storage area. Replace broken gears with new and put as REPAIRED FUNCTIONING UNITS for trade shows etc.</t>
  </si>
  <si>
    <t>EI-15652-H</t>
  </si>
  <si>
    <t>Applied Ind Technologies</t>
  </si>
  <si>
    <t>Applied Industrial Technologies, Inc.</t>
  </si>
  <si>
    <t>N. Charleston</t>
  </si>
  <si>
    <t>SC</t>
  </si>
  <si>
    <t>EIP12016P-12V</t>
  </si>
  <si>
    <t>Actuator 1200lbs with 16" Stroke - 12V DC</t>
  </si>
  <si>
    <t>EI-15653-H</t>
  </si>
  <si>
    <t>Bernd Group</t>
  </si>
  <si>
    <t>RTX/Goodrich Corp, SIS</t>
  </si>
  <si>
    <t>Burnsville</t>
  </si>
  <si>
    <t>MN</t>
  </si>
  <si>
    <t>EI4016-D</t>
  </si>
  <si>
    <t>Ergo-I 400 lb load /16" stroke Load Capaciity: 400 lbs. Retracted Height: 23.5" Stroke: 16" Lift Speed: 1.2"/s Voltage: 110 VAC</t>
  </si>
  <si>
    <t>EI-HP-A</t>
  </si>
  <si>
    <t>Hand Pendant for Up/Down control of Ergo-I</t>
  </si>
  <si>
    <t>EM-15650-H</t>
  </si>
  <si>
    <t>Tetrapak India Pvt Ltd</t>
  </si>
  <si>
    <t>Pune</t>
  </si>
  <si>
    <t>EM303/400-PNEUM-A</t>
  </si>
  <si>
    <t>Ergo Master 300 lbs with 12" lift stroke. Max Dynamic Load Capacity: 300 lbs. Ergo Master EM400 on top for independent swivel Lift Speed: Adjust 80 PSI AIr</t>
  </si>
  <si>
    <t>ET-14970-TK</t>
  </si>
  <si>
    <t>Lend Lease</t>
  </si>
  <si>
    <t>Bristl Meyers Squibb</t>
  </si>
  <si>
    <t>ET650-E</t>
  </si>
  <si>
    <t>Ergo Tranz ET650</t>
  </si>
  <si>
    <t>ErgoTranz Dual Arm Grip Function</t>
  </si>
  <si>
    <t>ET- CUSTOM END</t>
  </si>
  <si>
    <t>Ergo Tranz Custom End-effector Description:Custom Grip Pads</t>
  </si>
  <si>
    <t>CREDIT CARD FEE</t>
  </si>
  <si>
    <t>Credit Card Fee</t>
  </si>
  <si>
    <t>Custom Crate</t>
  </si>
  <si>
    <t>ONHOLD</t>
  </si>
  <si>
    <t>ON HOLD (for Requote)</t>
  </si>
  <si>
    <t>ET-15094-TK</t>
  </si>
  <si>
    <t>Sharp</t>
  </si>
  <si>
    <t>Conshohocken</t>
  </si>
  <si>
    <t>PA</t>
  </si>
  <si>
    <t>ET-CUSTOM MODIFICAT</t>
  </si>
  <si>
    <t>Upgrade to 800 lbs capacity</t>
  </si>
  <si>
    <t>ET-EXTBASE-A over 48</t>
  </si>
  <si>
    <t>Ergo Tranz Extended Base Required width:48"</t>
  </si>
  <si>
    <t>ET-EXTLEGS</t>
  </si>
  <si>
    <t>Ergo Tranz Extended Legs Required length:41"</t>
  </si>
  <si>
    <t>Ergo Tranz Custom End-effector Description:AL Center Rod 42" long x 3" diameter.Tapered Edge.White</t>
  </si>
  <si>
    <t>CUSTOMER SPEC  MAT</t>
  </si>
  <si>
    <t>Roll Cart</t>
  </si>
  <si>
    <t>Waiting for pallet with roll samples</t>
  </si>
  <si>
    <t>ET-15522-TK</t>
  </si>
  <si>
    <t>SRCTec, LLC</t>
  </si>
  <si>
    <t>North Syracuse</t>
  </si>
  <si>
    <t>Ergo Tranz Quote new Grip function</t>
  </si>
  <si>
    <t>ON HOLD Waiting New Quote</t>
  </si>
  <si>
    <t>ET-15642-TK</t>
  </si>
  <si>
    <t>Amazon.com Services LLC</t>
  </si>
  <si>
    <t>Amazon Robotics</t>
  </si>
  <si>
    <t>Westborough</t>
  </si>
  <si>
    <t>MA</t>
  </si>
  <si>
    <t>Upgrade grip speed of E-650-AMAZON with mew Gr ACME screw</t>
  </si>
  <si>
    <t>ET-15649-TK</t>
  </si>
  <si>
    <t>Pratt &amp; WHitney</t>
  </si>
  <si>
    <t>East Hartford</t>
  </si>
  <si>
    <t>CT</t>
  </si>
  <si>
    <t>ET250-F</t>
  </si>
  <si>
    <t>Ergo Tranz ET250</t>
  </si>
  <si>
    <t>ET-EXTMAST250</t>
  </si>
  <si>
    <t>Ergo Tranz Extended Mast Height:95.6"</t>
  </si>
  <si>
    <t>Ergo Tranz Extended Legs Required length:26.3"</t>
  </si>
  <si>
    <t>Ergo Tranz Custom End-effector Description:Grip and Rotate Fan Blades</t>
  </si>
  <si>
    <t>Foot Pedal Clamp</t>
  </si>
  <si>
    <t>Positioning Handle</t>
  </si>
  <si>
    <t>ET-15654-TK</t>
  </si>
  <si>
    <t>Dart Container Corp</t>
  </si>
  <si>
    <t>Dart Container Corp Leola</t>
  </si>
  <si>
    <t>Leola</t>
  </si>
  <si>
    <t>ETMISCBUILDPART</t>
  </si>
  <si>
    <t>120V power w/ 4 ft cable</t>
  </si>
  <si>
    <t>ET-CASTER6"</t>
  </si>
  <si>
    <t>6" Swivel Front Caster w/Directional Lock</t>
  </si>
  <si>
    <t>Ergo Tranz Custom Legs to fit above front casters</t>
  </si>
  <si>
    <t>Ergo Tranz Custom End-effector Description:Table 36X20" with UHMW layer</t>
  </si>
  <si>
    <t>Discount</t>
  </si>
  <si>
    <t>5% Discount</t>
  </si>
  <si>
    <t>Pendant Cradle</t>
  </si>
  <si>
    <t>THIS ORDER HAS STIFF LATE FEES</t>
  </si>
  <si>
    <t>ET-15657-TK</t>
  </si>
  <si>
    <t>Vallen Integrated Supply</t>
  </si>
  <si>
    <t>Pratt &amp; Whitney MTS 290</t>
  </si>
  <si>
    <t>Middletown</t>
  </si>
  <si>
    <t>ETP116</t>
  </si>
  <si>
    <t>4 Button Pendant HB42</t>
  </si>
  <si>
    <t>RF-15655-H</t>
  </si>
  <si>
    <t>Mohler Material Handling</t>
  </si>
  <si>
    <t>True Manufacturing</t>
  </si>
  <si>
    <t>O'Fallon</t>
  </si>
  <si>
    <t>MO</t>
  </si>
  <si>
    <t>ER190D-716HG</t>
  </si>
  <si>
    <t>ERGO ROLLER IN DUPLEX CONFIGURATION Diameter: 1.9" Load Capacity: 25lbs. Bore: 0443" Axle Size: 7/16" Hex Gravity Width:1.3" Weight: 1.7 oz</t>
  </si>
  <si>
    <t>5% Sales Discount</t>
  </si>
  <si>
    <t>PACKING</t>
  </si>
  <si>
    <t>Reinforced Box</t>
  </si>
  <si>
    <t>RF-15658-H</t>
  </si>
  <si>
    <t>AJ Maintenance &amp; Services Co., LTD</t>
  </si>
  <si>
    <t>Bangkok</t>
  </si>
  <si>
    <t>RF80S</t>
  </si>
  <si>
    <t>ROLL-FLEX  ROLLER IN SIMPLEX CONFIGURATION Diameter: 3.15" (80mm) Load Capacity: 45lbs. Bore: 0.327" Axle Size: 5/16" Round Width:1.182" Weight: 4oz</t>
  </si>
  <si>
    <t>SHIPPING</t>
  </si>
  <si>
    <t>Estimated Shipping</t>
  </si>
  <si>
    <t>ON HOLD for PO</t>
  </si>
  <si>
    <t>EH-15638-H</t>
  </si>
  <si>
    <t>EH403T-110V-L</t>
  </si>
  <si>
    <t>Ergo Chief 400 with Tilt turn table, Load Capacity:400 lbs. Retracted Height:34.4" Stroke:12" Lift Speed:0.6"/s Turn Speed:0-17 RPM 110V, 60Hz, 12 Amp</t>
  </si>
  <si>
    <t>EF600M3-110V-J</t>
  </si>
  <si>
    <t>Ergo Force - 600 lbs</t>
  </si>
  <si>
    <t>EM153-S</t>
  </si>
  <si>
    <t>Ergo Master 150 lbs with 12" lift stroke. Max Dynamic Load Capacity: 150 lbs Retracted Height: 30-3/4" Extended Height: 42-3/4" Lift Speed: 1.2"/s 110V/60Hz 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</si>
</sst>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right"/>
    </xf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64" fontId="1" fillId="0" borderId="2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right"/>
    </xf>
    <xf numFmtId="0" fontId="1" fillId="0" borderId="0" xfId="0" applyFont="1"/>
    <xf numFmtId="164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F051-FAEF-483E-A698-231D16626A4A}">
  <dimension ref="A1:N74"/>
  <sheetViews>
    <sheetView tabSelected="1" workbookViewId="0">
      <pane ySplit="1" topLeftCell="A2" activePane="bottomLeft" state="frozenSplit"/>
      <selection pane="bottomLeft" activeCell="H19" sqref="H19"/>
    </sheetView>
  </sheetViews>
  <sheetFormatPr defaultRowHeight="11.25" x14ac:dyDescent="0.2"/>
  <cols>
    <col min="1" max="1" width="7.7109375" style="2" customWidth="1"/>
    <col min="2" max="2" width="6.7109375" style="2" customWidth="1"/>
    <col min="3" max="3" width="11.7109375" style="3" customWidth="1"/>
    <col min="4" max="4" width="8.7109375" style="3" customWidth="1"/>
    <col min="5" max="5" width="14.7109375" style="3" customWidth="1"/>
    <col min="6" max="7" width="8.7109375" style="3" customWidth="1"/>
    <col min="8" max="8" width="12.7109375" style="3" customWidth="1"/>
    <col min="9" max="9" width="17.7109375" style="3" customWidth="1"/>
    <col min="10" max="10" width="8.7109375" style="4" customWidth="1"/>
    <col min="11" max="11" width="4.7109375" style="4" customWidth="1"/>
    <col min="12" max="12" width="8.7109375" style="4" customWidth="1"/>
    <col min="13" max="13" width="10.7109375" style="4" customWidth="1"/>
    <col min="14" max="14" width="7.7109375" style="4" customWidth="1"/>
    <col min="15" max="16384" width="9.140625" style="1"/>
  </cols>
  <sheetData>
    <row r="1" spans="1:14" s="7" customFormat="1" ht="10.5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 x14ac:dyDescent="0.2">
      <c r="A2" s="2">
        <v>45771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4">
        <v>102250</v>
      </c>
      <c r="K2" s="4">
        <v>4</v>
      </c>
      <c r="L2" s="4">
        <v>1.2</v>
      </c>
      <c r="M2" s="4">
        <f>IF((K2-L2)&gt;0, K2-L2, 0)</f>
        <v>2.8</v>
      </c>
      <c r="N2" s="4">
        <f>IF((409000-122700)&gt;0, 409000-122700, 0)</f>
        <v>286300</v>
      </c>
    </row>
    <row r="3" spans="1:14" x14ac:dyDescent="0.2">
      <c r="A3" s="2">
        <v>45771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21</v>
      </c>
      <c r="I3" s="3" t="s">
        <v>22</v>
      </c>
      <c r="J3" s="4">
        <v>10250</v>
      </c>
      <c r="K3" s="4">
        <v>4</v>
      </c>
      <c r="L3" s="4">
        <v>1.2</v>
      </c>
      <c r="M3" s="4">
        <f>IF((K3-L3)&gt;0, K3-L3, 0)</f>
        <v>2.8</v>
      </c>
      <c r="N3" s="4">
        <f>IF((41000-12300)&gt;0, 41000-12300, 0)</f>
        <v>28700</v>
      </c>
    </row>
    <row r="4" spans="1:14" x14ac:dyDescent="0.2">
      <c r="A4" s="2">
        <v>45771</v>
      </c>
      <c r="C4" s="3" t="s">
        <v>14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23</v>
      </c>
      <c r="I4" s="3" t="s">
        <v>24</v>
      </c>
      <c r="J4" s="4">
        <v>12500</v>
      </c>
      <c r="K4" s="4">
        <v>4</v>
      </c>
      <c r="L4" s="4">
        <v>1.2</v>
      </c>
      <c r="M4" s="4">
        <f>IF((K4-L4)&gt;0, K4-L4, 0)</f>
        <v>2.8</v>
      </c>
      <c r="N4" s="4">
        <f>IF((50000-15000)&gt;0, 50000-15000, 0)</f>
        <v>35000</v>
      </c>
    </row>
    <row r="5" spans="1:14" x14ac:dyDescent="0.2">
      <c r="A5" s="2">
        <v>45771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18</v>
      </c>
      <c r="H5" s="3" t="s">
        <v>25</v>
      </c>
      <c r="I5" s="3" t="s">
        <v>26</v>
      </c>
      <c r="J5" s="4">
        <v>4500</v>
      </c>
      <c r="K5" s="4">
        <v>4</v>
      </c>
      <c r="L5" s="4">
        <v>1.2</v>
      </c>
      <c r="M5" s="4">
        <f>IF((K5-L5)&gt;0, K5-L5, 0)</f>
        <v>2.8</v>
      </c>
      <c r="N5" s="4">
        <f>IF((18000-5400)&gt;0, 18000-5400, 0)</f>
        <v>12600</v>
      </c>
    </row>
    <row r="6" spans="1:14" x14ac:dyDescent="0.2">
      <c r="A6" s="2">
        <v>45771</v>
      </c>
      <c r="C6" s="3" t="s">
        <v>14</v>
      </c>
      <c r="D6" s="3" t="s">
        <v>15</v>
      </c>
      <c r="E6" s="3" t="s">
        <v>16</v>
      </c>
      <c r="F6" s="3" t="s">
        <v>17</v>
      </c>
      <c r="G6" s="3" t="s">
        <v>18</v>
      </c>
      <c r="H6" s="3" t="s">
        <v>27</v>
      </c>
      <c r="I6" s="3" t="s">
        <v>28</v>
      </c>
      <c r="J6" s="4">
        <v>3000</v>
      </c>
      <c r="K6" s="4">
        <v>4</v>
      </c>
      <c r="L6" s="4">
        <v>1.2</v>
      </c>
      <c r="M6" s="4">
        <f>IF((K6-L6)&gt;0, K6-L6, 0)</f>
        <v>2.8</v>
      </c>
      <c r="N6" s="4">
        <f>IF((12000-3600)&gt;0, 12000-3600, 0)</f>
        <v>8400</v>
      </c>
    </row>
    <row r="7" spans="1:14" x14ac:dyDescent="0.2">
      <c r="A7" s="2">
        <v>45771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29</v>
      </c>
      <c r="I7" s="3" t="s">
        <v>30</v>
      </c>
      <c r="J7" s="4">
        <v>185750</v>
      </c>
      <c r="K7" s="4">
        <v>2</v>
      </c>
      <c r="L7" s="4">
        <v>0.6</v>
      </c>
      <c r="M7" s="4">
        <f>IF((K7-L7)&gt;0, K7-L7, 0)</f>
        <v>1.4</v>
      </c>
      <c r="N7" s="4">
        <f>IF((371500-111450)&gt;0, 371500-111450, 0)</f>
        <v>260050</v>
      </c>
    </row>
    <row r="8" spans="1:14" x14ac:dyDescent="0.2">
      <c r="A8" s="2">
        <v>45771</v>
      </c>
      <c r="C8" s="3" t="s">
        <v>14</v>
      </c>
      <c r="D8" s="3" t="s">
        <v>15</v>
      </c>
      <c r="E8" s="3" t="s">
        <v>16</v>
      </c>
      <c r="F8" s="3" t="s">
        <v>17</v>
      </c>
      <c r="G8" s="3" t="s">
        <v>18</v>
      </c>
      <c r="H8" s="3" t="s">
        <v>21</v>
      </c>
      <c r="I8" s="3" t="s">
        <v>31</v>
      </c>
      <c r="J8" s="4">
        <v>10500</v>
      </c>
      <c r="K8" s="4">
        <v>2</v>
      </c>
      <c r="L8" s="4">
        <v>0.6</v>
      </c>
      <c r="M8" s="4">
        <f>IF((K8-L8)&gt;0, K8-L8, 0)</f>
        <v>1.4</v>
      </c>
      <c r="N8" s="4">
        <f>IF((21000-6300)&gt;0, 21000-6300, 0)</f>
        <v>14700</v>
      </c>
    </row>
    <row r="9" spans="1:14" x14ac:dyDescent="0.2">
      <c r="A9" s="2">
        <v>45771</v>
      </c>
      <c r="C9" s="3" t="s">
        <v>14</v>
      </c>
      <c r="D9" s="3" t="s">
        <v>15</v>
      </c>
      <c r="E9" s="3" t="s">
        <v>16</v>
      </c>
      <c r="F9" s="3" t="s">
        <v>17</v>
      </c>
      <c r="G9" s="3" t="s">
        <v>18</v>
      </c>
      <c r="H9" s="3" t="s">
        <v>21</v>
      </c>
      <c r="I9" s="3" t="s">
        <v>32</v>
      </c>
      <c r="J9" s="4">
        <v>20500</v>
      </c>
      <c r="K9" s="4">
        <v>2</v>
      </c>
      <c r="L9" s="4">
        <v>0.6</v>
      </c>
      <c r="M9" s="4">
        <f>IF((K9-L9)&gt;0, K9-L9, 0)</f>
        <v>1.4</v>
      </c>
      <c r="N9" s="4">
        <f>IF((41000-12300)&gt;0, 41000-12300, 0)</f>
        <v>28700</v>
      </c>
    </row>
    <row r="10" spans="1:14" x14ac:dyDescent="0.2">
      <c r="A10" s="2">
        <v>45771</v>
      </c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23</v>
      </c>
      <c r="I10" s="3" t="s">
        <v>24</v>
      </c>
      <c r="J10" s="4">
        <v>12500</v>
      </c>
      <c r="K10" s="4">
        <v>2</v>
      </c>
      <c r="L10" s="4">
        <v>0.6</v>
      </c>
      <c r="M10" s="4">
        <f>IF((K10-L10)&gt;0, K10-L10, 0)</f>
        <v>1.4</v>
      </c>
      <c r="N10" s="4">
        <f>IF((25000-7500)&gt;0, 25000-7500, 0)</f>
        <v>17500</v>
      </c>
    </row>
    <row r="11" spans="1:14" x14ac:dyDescent="0.2">
      <c r="A11" s="2">
        <v>45771</v>
      </c>
      <c r="C11" s="3" t="s">
        <v>14</v>
      </c>
      <c r="D11" s="3" t="s">
        <v>15</v>
      </c>
      <c r="E11" s="3" t="s">
        <v>16</v>
      </c>
      <c r="F11" s="3" t="s">
        <v>17</v>
      </c>
      <c r="G11" s="3" t="s">
        <v>18</v>
      </c>
      <c r="H11" s="3" t="s">
        <v>33</v>
      </c>
      <c r="I11" s="3" t="s">
        <v>34</v>
      </c>
      <c r="J11" s="4">
        <v>116250</v>
      </c>
      <c r="K11" s="4">
        <v>2</v>
      </c>
      <c r="L11" s="4">
        <v>0.6</v>
      </c>
      <c r="M11" s="4">
        <f>IF((K11-L11)&gt;0, K11-L11, 0)</f>
        <v>1.4</v>
      </c>
      <c r="N11" s="4">
        <f>IF((232500-69750)&gt;0, 232500-69750, 0)</f>
        <v>162750</v>
      </c>
    </row>
    <row r="12" spans="1:14" x14ac:dyDescent="0.2">
      <c r="A12" s="2">
        <v>45771</v>
      </c>
      <c r="C12" s="3" t="s">
        <v>14</v>
      </c>
      <c r="D12" s="3" t="s">
        <v>15</v>
      </c>
      <c r="E12" s="3" t="s">
        <v>16</v>
      </c>
      <c r="F12" s="3" t="s">
        <v>17</v>
      </c>
      <c r="G12" s="3" t="s">
        <v>18</v>
      </c>
      <c r="H12" s="3" t="s">
        <v>21</v>
      </c>
      <c r="I12" s="3" t="s">
        <v>35</v>
      </c>
      <c r="J12" s="4">
        <v>41300</v>
      </c>
      <c r="K12" s="4">
        <v>2</v>
      </c>
      <c r="L12" s="4">
        <v>0.6</v>
      </c>
      <c r="M12" s="4">
        <f>IF((K12-L12)&gt;0, K12-L12, 0)</f>
        <v>1.4</v>
      </c>
      <c r="N12" s="4">
        <f>IF((82600-24780)&gt;0, 82600-24780, 0)</f>
        <v>57820</v>
      </c>
    </row>
    <row r="13" spans="1:14" x14ac:dyDescent="0.2">
      <c r="A13" s="2">
        <v>45771</v>
      </c>
      <c r="C13" s="3" t="s">
        <v>14</v>
      </c>
      <c r="D13" s="3" t="s">
        <v>15</v>
      </c>
      <c r="E13" s="3" t="s">
        <v>16</v>
      </c>
      <c r="F13" s="3" t="s">
        <v>17</v>
      </c>
      <c r="G13" s="3" t="s">
        <v>18</v>
      </c>
      <c r="H13" s="3" t="s">
        <v>36</v>
      </c>
      <c r="I13" s="3" t="s">
        <v>32</v>
      </c>
      <c r="J13" s="4">
        <v>10250</v>
      </c>
      <c r="K13" s="4">
        <v>2</v>
      </c>
      <c r="L13" s="4">
        <v>0.6</v>
      </c>
      <c r="M13" s="4">
        <f>IF((K13-L13)&gt;0, K13-L13, 0)</f>
        <v>1.4</v>
      </c>
      <c r="N13" s="4">
        <f>IF((20500-6150)&gt;0, 20500-6150, 0)</f>
        <v>14350</v>
      </c>
    </row>
    <row r="14" spans="1:14" x14ac:dyDescent="0.2">
      <c r="A14" s="2">
        <v>45771</v>
      </c>
      <c r="C14" s="3" t="s">
        <v>14</v>
      </c>
      <c r="D14" s="3" t="s">
        <v>15</v>
      </c>
      <c r="E14" s="3" t="s">
        <v>16</v>
      </c>
      <c r="F14" s="3" t="s">
        <v>17</v>
      </c>
      <c r="G14" s="3" t="s">
        <v>18</v>
      </c>
      <c r="H14" s="3" t="s">
        <v>23</v>
      </c>
      <c r="I14" s="3" t="s">
        <v>24</v>
      </c>
      <c r="J14" s="4">
        <v>12500</v>
      </c>
      <c r="K14" s="4">
        <v>2</v>
      </c>
      <c r="L14" s="4">
        <v>0.6</v>
      </c>
      <c r="M14" s="4">
        <f>IF((K14-L14)&gt;0, K14-L14, 0)</f>
        <v>1.4</v>
      </c>
      <c r="N14" s="4">
        <f>IF((25000-7500)&gt;0, 25000-7500, 0)</f>
        <v>17500</v>
      </c>
    </row>
    <row r="15" spans="1:14" x14ac:dyDescent="0.2">
      <c r="A15" s="2">
        <v>45782</v>
      </c>
      <c r="C15" s="3" t="s">
        <v>37</v>
      </c>
      <c r="D15" s="3" t="s">
        <v>38</v>
      </c>
      <c r="E15" s="3" t="s">
        <v>39</v>
      </c>
      <c r="F15" s="3" t="s">
        <v>40</v>
      </c>
      <c r="G15" s="3" t="s">
        <v>41</v>
      </c>
      <c r="H15" s="3" t="s">
        <v>42</v>
      </c>
      <c r="I15" s="3" t="s">
        <v>43</v>
      </c>
      <c r="J15" s="4">
        <v>1275</v>
      </c>
      <c r="K15" s="4">
        <v>1</v>
      </c>
      <c r="L15" s="4">
        <v>0</v>
      </c>
      <c r="M15" s="4">
        <f>IF((K15-L15)&gt;0, K15-L15, 0)</f>
        <v>1</v>
      </c>
      <c r="N15" s="4">
        <f>IF((1275-0)&gt;0, 1275-0, 0)</f>
        <v>1275</v>
      </c>
    </row>
    <row r="16" spans="1:14" x14ac:dyDescent="0.2">
      <c r="A16" s="2">
        <v>45782</v>
      </c>
      <c r="C16" s="3" t="s">
        <v>37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44</v>
      </c>
      <c r="J16" s="4">
        <v>1275</v>
      </c>
      <c r="K16" s="4">
        <v>1</v>
      </c>
      <c r="L16" s="4">
        <v>0</v>
      </c>
      <c r="M16" s="4">
        <f>IF((K16-L16)&gt;0, K16-L16, 0)</f>
        <v>1</v>
      </c>
      <c r="N16" s="4">
        <f>IF((1275-0)&gt;0, 1275-0, 0)</f>
        <v>1275</v>
      </c>
    </row>
    <row r="17" spans="1:14" x14ac:dyDescent="0.2">
      <c r="A17" s="2">
        <v>45796</v>
      </c>
      <c r="C17" s="3" t="s">
        <v>45</v>
      </c>
      <c r="D17" s="3" t="s">
        <v>46</v>
      </c>
      <c r="E17" s="3" t="s">
        <v>47</v>
      </c>
      <c r="F17" s="3" t="s">
        <v>48</v>
      </c>
      <c r="G17" s="3" t="s">
        <v>49</v>
      </c>
      <c r="H17" s="3" t="s">
        <v>21</v>
      </c>
      <c r="I17" s="3" t="s">
        <v>50</v>
      </c>
      <c r="J17" s="4">
        <v>625</v>
      </c>
      <c r="K17" s="4">
        <v>1</v>
      </c>
      <c r="L17" s="4">
        <v>0</v>
      </c>
      <c r="M17" s="4">
        <f>IF((K17-L17)&gt;0, K17-L17, 0)</f>
        <v>1</v>
      </c>
      <c r="N17" s="4">
        <f>IF((625-0)&gt;0, 625-0, 0)</f>
        <v>625</v>
      </c>
    </row>
    <row r="18" spans="1:14" s="11" customFormat="1" x14ac:dyDescent="0.2">
      <c r="A18" s="12">
        <v>45810</v>
      </c>
      <c r="B18" s="12"/>
      <c r="C18" s="13" t="s">
        <v>183</v>
      </c>
      <c r="D18" s="13" t="s">
        <v>52</v>
      </c>
      <c r="E18" s="13" t="s">
        <v>52</v>
      </c>
      <c r="F18" s="13"/>
      <c r="G18" s="13"/>
      <c r="H18" s="13" t="s">
        <v>184</v>
      </c>
      <c r="I18" s="13" t="s">
        <v>185</v>
      </c>
      <c r="J18" s="14">
        <v>0</v>
      </c>
      <c r="K18" s="14">
        <v>8</v>
      </c>
      <c r="L18" s="14">
        <v>0</v>
      </c>
      <c r="M18" s="14">
        <v>8</v>
      </c>
      <c r="N18" s="14">
        <v>0</v>
      </c>
    </row>
    <row r="19" spans="1:14" s="11" customFormat="1" x14ac:dyDescent="0.2">
      <c r="A19" s="12">
        <v>45810</v>
      </c>
      <c r="B19" s="12"/>
      <c r="C19" s="13" t="s">
        <v>183</v>
      </c>
      <c r="D19" s="13" t="s">
        <v>52</v>
      </c>
      <c r="E19" s="13" t="s">
        <v>52</v>
      </c>
      <c r="F19" s="13"/>
      <c r="G19" s="13"/>
      <c r="H19" s="13" t="s">
        <v>98</v>
      </c>
      <c r="I19" s="13" t="s">
        <v>99</v>
      </c>
      <c r="J19" s="14">
        <v>0</v>
      </c>
      <c r="K19" s="14">
        <v>10</v>
      </c>
      <c r="L19" s="14">
        <v>0</v>
      </c>
      <c r="M19" s="14">
        <v>10</v>
      </c>
      <c r="N19" s="14">
        <v>0</v>
      </c>
    </row>
    <row r="20" spans="1:14" s="11" customFormat="1" x14ac:dyDescent="0.2">
      <c r="A20" s="12">
        <v>45810</v>
      </c>
      <c r="B20" s="12"/>
      <c r="C20" s="13" t="s">
        <v>183</v>
      </c>
      <c r="D20" s="13" t="s">
        <v>52</v>
      </c>
      <c r="E20" s="13" t="s">
        <v>52</v>
      </c>
      <c r="F20" s="13"/>
      <c r="G20" s="13"/>
      <c r="H20" s="13" t="s">
        <v>137</v>
      </c>
      <c r="I20" s="13" t="s">
        <v>138</v>
      </c>
      <c r="J20" s="14">
        <v>0</v>
      </c>
      <c r="K20" s="14">
        <v>1</v>
      </c>
      <c r="L20" s="14">
        <v>0</v>
      </c>
      <c r="M20" s="14">
        <v>1</v>
      </c>
      <c r="N20" s="14">
        <v>0</v>
      </c>
    </row>
    <row r="21" spans="1:14" x14ac:dyDescent="0.2">
      <c r="A21" s="2">
        <v>45810</v>
      </c>
      <c r="C21" s="3" t="s">
        <v>183</v>
      </c>
      <c r="D21" s="3" t="s">
        <v>52</v>
      </c>
      <c r="E21" s="3" t="s">
        <v>52</v>
      </c>
      <c r="H21" s="3" t="s">
        <v>186</v>
      </c>
      <c r="I21" s="3" t="s">
        <v>187</v>
      </c>
      <c r="J21" s="4">
        <v>0</v>
      </c>
      <c r="K21" s="4">
        <v>6</v>
      </c>
      <c r="L21" s="4">
        <v>0</v>
      </c>
      <c r="M21" s="4">
        <v>6</v>
      </c>
      <c r="N21" s="4">
        <v>0</v>
      </c>
    </row>
    <row r="22" spans="1:14" x14ac:dyDescent="0.2">
      <c r="A22" s="2">
        <v>45810</v>
      </c>
      <c r="C22" s="3" t="s">
        <v>183</v>
      </c>
      <c r="D22" s="3" t="s">
        <v>52</v>
      </c>
      <c r="E22" s="3" t="s">
        <v>52</v>
      </c>
      <c r="H22" s="3" t="s">
        <v>188</v>
      </c>
      <c r="I22" s="3" t="s">
        <v>189</v>
      </c>
      <c r="J22" s="4">
        <v>0</v>
      </c>
      <c r="K22" s="4">
        <v>1</v>
      </c>
      <c r="L22" s="4">
        <v>0</v>
      </c>
      <c r="M22" s="4">
        <v>1</v>
      </c>
      <c r="N22" s="4">
        <v>0</v>
      </c>
    </row>
    <row r="23" spans="1:14" x14ac:dyDescent="0.2">
      <c r="A23" s="2">
        <v>45825</v>
      </c>
      <c r="C23" s="3" t="s">
        <v>51</v>
      </c>
      <c r="D23" s="3" t="s">
        <v>52</v>
      </c>
      <c r="E23" s="3" t="s">
        <v>53</v>
      </c>
      <c r="F23" s="3" t="s">
        <v>54</v>
      </c>
      <c r="G23" s="3" t="s">
        <v>55</v>
      </c>
      <c r="H23" s="3" t="s">
        <v>56</v>
      </c>
      <c r="I23" s="3" t="s">
        <v>57</v>
      </c>
      <c r="J23" s="4">
        <v>41250</v>
      </c>
      <c r="K23" s="4">
        <v>1</v>
      </c>
      <c r="L23" s="4">
        <v>0</v>
      </c>
      <c r="M23" s="4">
        <f>IF((K23-L23)&gt;0, K23-L23, 0)</f>
        <v>1</v>
      </c>
      <c r="N23" s="4">
        <f>IF((41250-0)&gt;0, 41250-0, 0)</f>
        <v>41250</v>
      </c>
    </row>
    <row r="24" spans="1:14" x14ac:dyDescent="0.2">
      <c r="A24" s="2">
        <v>45825</v>
      </c>
      <c r="C24" s="3" t="s">
        <v>51</v>
      </c>
      <c r="D24" s="3" t="s">
        <v>52</v>
      </c>
      <c r="E24" s="3" t="s">
        <v>53</v>
      </c>
      <c r="F24" s="3" t="s">
        <v>54</v>
      </c>
      <c r="G24" s="3" t="s">
        <v>55</v>
      </c>
      <c r="H24" s="3" t="s">
        <v>58</v>
      </c>
      <c r="I24" s="3" t="s">
        <v>59</v>
      </c>
      <c r="J24" s="4">
        <v>0</v>
      </c>
      <c r="K24" s="4">
        <v>1</v>
      </c>
      <c r="L24" s="4">
        <v>0</v>
      </c>
      <c r="M24" s="4">
        <f>IF((K24-L24)&gt;0, K24-L24, 0)</f>
        <v>1</v>
      </c>
      <c r="N24" s="4">
        <f>IF((0-0)&gt;0, 0-0, 0)</f>
        <v>0</v>
      </c>
    </row>
    <row r="25" spans="1:14" x14ac:dyDescent="0.2">
      <c r="A25" s="2">
        <v>45817</v>
      </c>
      <c r="B25" s="2">
        <v>45869</v>
      </c>
      <c r="C25" s="3" t="s">
        <v>60</v>
      </c>
      <c r="D25" s="3" t="s">
        <v>61</v>
      </c>
      <c r="E25" s="3" t="s">
        <v>61</v>
      </c>
      <c r="F25" s="3" t="s">
        <v>62</v>
      </c>
      <c r="G25" s="3" t="s">
        <v>63</v>
      </c>
      <c r="H25" s="3" t="s">
        <v>64</v>
      </c>
      <c r="I25" s="3" t="s">
        <v>65</v>
      </c>
      <c r="J25" s="4">
        <v>16800</v>
      </c>
      <c r="K25" s="4">
        <v>1</v>
      </c>
      <c r="L25" s="4">
        <v>0</v>
      </c>
      <c r="M25" s="4">
        <f>IF((K25-L25)&gt;0, K25-L25, 0)</f>
        <v>1</v>
      </c>
      <c r="N25" s="4">
        <f>IF((16800-0)&gt;0, 16800-0, 0)</f>
        <v>16800</v>
      </c>
    </row>
    <row r="26" spans="1:14" x14ac:dyDescent="0.2">
      <c r="A26" s="2">
        <v>45817</v>
      </c>
      <c r="B26" s="2">
        <v>45869</v>
      </c>
      <c r="C26" s="3" t="s">
        <v>60</v>
      </c>
      <c r="D26" s="3" t="s">
        <v>61</v>
      </c>
      <c r="E26" s="3" t="s">
        <v>61</v>
      </c>
      <c r="F26" s="3" t="s">
        <v>62</v>
      </c>
      <c r="G26" s="3" t="s">
        <v>63</v>
      </c>
      <c r="H26" s="3" t="s">
        <v>66</v>
      </c>
      <c r="I26" s="3" t="s">
        <v>67</v>
      </c>
      <c r="J26" s="4">
        <v>1750</v>
      </c>
      <c r="K26" s="4">
        <v>1</v>
      </c>
      <c r="L26" s="4">
        <v>0</v>
      </c>
      <c r="M26" s="4">
        <f>IF((K26-L26)&gt;0, K26-L26, 0)</f>
        <v>1</v>
      </c>
      <c r="N26" s="4">
        <f>IF((1750-0)&gt;0, 1750-0, 0)</f>
        <v>1750</v>
      </c>
    </row>
    <row r="27" spans="1:14" x14ac:dyDescent="0.2">
      <c r="A27" s="2">
        <v>45817</v>
      </c>
      <c r="B27" s="2">
        <v>45869</v>
      </c>
      <c r="C27" s="3" t="s">
        <v>60</v>
      </c>
      <c r="D27" s="3" t="s">
        <v>61</v>
      </c>
      <c r="E27" s="3" t="s">
        <v>61</v>
      </c>
      <c r="F27" s="3" t="s">
        <v>62</v>
      </c>
      <c r="G27" s="3" t="s">
        <v>63</v>
      </c>
      <c r="H27" s="3" t="s">
        <v>68</v>
      </c>
      <c r="I27" s="3" t="s">
        <v>69</v>
      </c>
      <c r="J27" s="4">
        <v>450</v>
      </c>
      <c r="K27" s="4">
        <v>1</v>
      </c>
      <c r="L27" s="4">
        <v>0</v>
      </c>
      <c r="M27" s="4">
        <f>IF((K27-L27)&gt;0, K27-L27, 0)</f>
        <v>1</v>
      </c>
      <c r="N27" s="4">
        <f>IF((450-0)&gt;0, 450-0, 0)</f>
        <v>450</v>
      </c>
    </row>
    <row r="28" spans="1:14" x14ac:dyDescent="0.2">
      <c r="A28" s="2">
        <v>45764</v>
      </c>
      <c r="C28" s="3" t="s">
        <v>70</v>
      </c>
      <c r="D28" s="3" t="s">
        <v>52</v>
      </c>
      <c r="E28" s="3" t="s">
        <v>52</v>
      </c>
      <c r="F28" s="3" t="s">
        <v>71</v>
      </c>
      <c r="G28" s="3" t="s">
        <v>71</v>
      </c>
      <c r="H28" s="3" t="s">
        <v>72</v>
      </c>
      <c r="I28" s="3" t="s">
        <v>73</v>
      </c>
      <c r="J28" s="4">
        <v>0</v>
      </c>
      <c r="K28" s="4">
        <v>1</v>
      </c>
      <c r="L28" s="4">
        <v>0</v>
      </c>
      <c r="M28" s="4">
        <f>IF((K28-L28)&gt;0, K28-L28, 0)</f>
        <v>1</v>
      </c>
      <c r="N28" s="4">
        <f>IF((0-0)&gt;0, 0-0, 0)</f>
        <v>0</v>
      </c>
    </row>
    <row r="29" spans="1:14" x14ac:dyDescent="0.2">
      <c r="A29" s="2">
        <v>45820</v>
      </c>
      <c r="C29" s="3" t="s">
        <v>74</v>
      </c>
      <c r="D29" s="3" t="s">
        <v>75</v>
      </c>
      <c r="E29" s="3" t="s">
        <v>76</v>
      </c>
      <c r="F29" s="3" t="s">
        <v>77</v>
      </c>
      <c r="G29" s="3" t="s">
        <v>78</v>
      </c>
      <c r="H29" s="3" t="s">
        <v>79</v>
      </c>
      <c r="I29" s="3" t="s">
        <v>80</v>
      </c>
      <c r="J29" s="4">
        <v>375</v>
      </c>
      <c r="K29" s="4">
        <v>1</v>
      </c>
      <c r="L29" s="4">
        <v>0</v>
      </c>
      <c r="M29" s="4">
        <f>IF((K29-L29)&gt;0, K29-L29, 0)</f>
        <v>1</v>
      </c>
      <c r="N29" s="4">
        <f>IF((375-0)&gt;0, 375-0, 0)</f>
        <v>375</v>
      </c>
    </row>
    <row r="30" spans="1:14" x14ac:dyDescent="0.2">
      <c r="A30" s="2">
        <v>45824</v>
      </c>
      <c r="B30" s="2">
        <v>45838</v>
      </c>
      <c r="C30" s="3" t="s">
        <v>81</v>
      </c>
      <c r="D30" s="3" t="s">
        <v>82</v>
      </c>
      <c r="E30" s="3" t="s">
        <v>83</v>
      </c>
      <c r="F30" s="3" t="s">
        <v>84</v>
      </c>
      <c r="G30" s="3" t="s">
        <v>85</v>
      </c>
      <c r="H30" s="3" t="s">
        <v>86</v>
      </c>
      <c r="I30" s="3" t="s">
        <v>87</v>
      </c>
      <c r="J30" s="4">
        <v>1825</v>
      </c>
      <c r="K30" s="4">
        <v>1</v>
      </c>
      <c r="L30" s="4">
        <v>0</v>
      </c>
      <c r="M30" s="4">
        <f>IF((K30-L30)&gt;0, K30-L30, 0)</f>
        <v>1</v>
      </c>
      <c r="N30" s="4">
        <f>IF((1825-0)&gt;0, 1825-0, 0)</f>
        <v>1825</v>
      </c>
    </row>
    <row r="31" spans="1:14" x14ac:dyDescent="0.2">
      <c r="A31" s="2">
        <v>45824</v>
      </c>
      <c r="B31" s="2">
        <v>45838</v>
      </c>
      <c r="C31" s="3" t="s">
        <v>81</v>
      </c>
      <c r="D31" s="3" t="s">
        <v>82</v>
      </c>
      <c r="E31" s="3" t="s">
        <v>83</v>
      </c>
      <c r="F31" s="3" t="s">
        <v>84</v>
      </c>
      <c r="G31" s="3" t="s">
        <v>85</v>
      </c>
      <c r="H31" s="3" t="s">
        <v>88</v>
      </c>
      <c r="I31" s="3" t="s">
        <v>89</v>
      </c>
      <c r="J31" s="4">
        <v>220</v>
      </c>
      <c r="K31" s="4">
        <v>1</v>
      </c>
      <c r="L31" s="4">
        <v>0</v>
      </c>
      <c r="M31" s="4">
        <f>IF((K31-L31)&gt;0, K31-L31, 0)</f>
        <v>1</v>
      </c>
      <c r="N31" s="4">
        <f>IF((220-0)&gt;0, 220-0, 0)</f>
        <v>220</v>
      </c>
    </row>
    <row r="32" spans="1:14" x14ac:dyDescent="0.2">
      <c r="A32" s="2">
        <v>45820</v>
      </c>
      <c r="B32" s="2">
        <v>45869</v>
      </c>
      <c r="C32" s="3" t="s">
        <v>90</v>
      </c>
      <c r="D32" s="3" t="s">
        <v>91</v>
      </c>
      <c r="E32" s="3" t="s">
        <v>91</v>
      </c>
      <c r="F32" s="3" t="s">
        <v>92</v>
      </c>
      <c r="G32" s="3" t="s">
        <v>71</v>
      </c>
      <c r="H32" s="3" t="s">
        <v>93</v>
      </c>
      <c r="I32" s="3" t="s">
        <v>94</v>
      </c>
      <c r="J32" s="4">
        <v>13800</v>
      </c>
      <c r="K32" s="4">
        <v>1</v>
      </c>
      <c r="L32" s="4">
        <v>0</v>
      </c>
      <c r="M32" s="4">
        <f>IF((K32-L32)&gt;0, K32-L32, 0)</f>
        <v>1</v>
      </c>
      <c r="N32" s="4">
        <f>IF((13800-0)&gt;0, 13800-0, 0)</f>
        <v>13800</v>
      </c>
    </row>
    <row r="33" spans="1:14" x14ac:dyDescent="0.2">
      <c r="A33" s="2">
        <v>45820</v>
      </c>
      <c r="B33" s="2">
        <v>45869</v>
      </c>
      <c r="C33" s="3" t="s">
        <v>90</v>
      </c>
      <c r="D33" s="3" t="s">
        <v>91</v>
      </c>
      <c r="E33" s="3" t="s">
        <v>91</v>
      </c>
      <c r="F33" s="3" t="s">
        <v>92</v>
      </c>
      <c r="G33" s="3" t="s">
        <v>71</v>
      </c>
      <c r="H33" s="3" t="s">
        <v>68</v>
      </c>
      <c r="I33" s="3" t="s">
        <v>69</v>
      </c>
      <c r="J33" s="4">
        <v>975</v>
      </c>
      <c r="K33" s="4">
        <v>1</v>
      </c>
      <c r="L33" s="4">
        <v>0</v>
      </c>
      <c r="M33" s="4">
        <f>IF((K33-L33)&gt;0, K33-L33, 0)</f>
        <v>1</v>
      </c>
      <c r="N33" s="4">
        <f>IF((975-0)&gt;0, 975-0, 0)</f>
        <v>975</v>
      </c>
    </row>
    <row r="34" spans="1:14" x14ac:dyDescent="0.2">
      <c r="A34" s="2">
        <v>45292</v>
      </c>
      <c r="C34" s="3" t="s">
        <v>95</v>
      </c>
      <c r="D34" s="3" t="s">
        <v>96</v>
      </c>
      <c r="E34" s="3" t="s">
        <v>97</v>
      </c>
      <c r="F34" s="3" t="s">
        <v>71</v>
      </c>
      <c r="G34" s="3" t="s">
        <v>18</v>
      </c>
      <c r="H34" s="3" t="s">
        <v>98</v>
      </c>
      <c r="I34" s="3" t="s">
        <v>99</v>
      </c>
      <c r="J34" s="4">
        <v>10950</v>
      </c>
      <c r="K34" s="4">
        <v>1</v>
      </c>
      <c r="L34" s="4">
        <v>0</v>
      </c>
      <c r="M34" s="4">
        <f>IF((K34-L34)&gt;0, K34-L34, 0)</f>
        <v>1</v>
      </c>
      <c r="N34" s="4">
        <f>IF((10950-0)&gt;0, 10950-0, 0)</f>
        <v>10950</v>
      </c>
    </row>
    <row r="35" spans="1:14" x14ac:dyDescent="0.2">
      <c r="A35" s="2">
        <v>45292</v>
      </c>
      <c r="C35" s="3" t="s">
        <v>95</v>
      </c>
      <c r="D35" s="3" t="s">
        <v>96</v>
      </c>
      <c r="E35" s="3" t="s">
        <v>97</v>
      </c>
      <c r="F35" s="3" t="s">
        <v>71</v>
      </c>
      <c r="G35" s="3" t="s">
        <v>18</v>
      </c>
      <c r="H35" s="3" t="s">
        <v>101</v>
      </c>
      <c r="I35" s="3" t="s">
        <v>100</v>
      </c>
      <c r="J35" s="4">
        <v>8750</v>
      </c>
      <c r="K35" s="4">
        <v>1</v>
      </c>
      <c r="L35" s="4">
        <v>0</v>
      </c>
      <c r="M35" s="4">
        <f>IF((K35-L35)&gt;0, K35-L35, 0)</f>
        <v>1</v>
      </c>
      <c r="N35" s="4">
        <f>IF((8750-0)&gt;0, 8750-0, 0)</f>
        <v>8750</v>
      </c>
    </row>
    <row r="36" spans="1:14" x14ac:dyDescent="0.2">
      <c r="A36" s="2">
        <v>45292</v>
      </c>
      <c r="C36" s="3" t="s">
        <v>95</v>
      </c>
      <c r="D36" s="3" t="s">
        <v>96</v>
      </c>
      <c r="E36" s="3" t="s">
        <v>97</v>
      </c>
      <c r="F36" s="3" t="s">
        <v>71</v>
      </c>
      <c r="G36" s="3" t="s">
        <v>18</v>
      </c>
      <c r="H36" s="3" t="s">
        <v>101</v>
      </c>
      <c r="I36" s="3" t="s">
        <v>102</v>
      </c>
      <c r="J36" s="4">
        <v>2750</v>
      </c>
      <c r="K36" s="4">
        <v>1</v>
      </c>
      <c r="L36" s="4">
        <v>0</v>
      </c>
      <c r="M36" s="4">
        <f>IF((K36-L36)&gt;0, K36-L36, 0)</f>
        <v>1</v>
      </c>
      <c r="N36" s="4">
        <f>IF((2750-0)&gt;0, 2750-0, 0)</f>
        <v>2750</v>
      </c>
    </row>
    <row r="37" spans="1:14" x14ac:dyDescent="0.2">
      <c r="A37" s="2">
        <v>45292</v>
      </c>
      <c r="C37" s="3" t="s">
        <v>95</v>
      </c>
      <c r="D37" s="3" t="s">
        <v>96</v>
      </c>
      <c r="E37" s="3" t="s">
        <v>97</v>
      </c>
      <c r="F37" s="3" t="s">
        <v>71</v>
      </c>
      <c r="G37" s="3" t="s">
        <v>18</v>
      </c>
      <c r="H37" s="3" t="s">
        <v>103</v>
      </c>
      <c r="I37" s="3" t="s">
        <v>104</v>
      </c>
      <c r="J37" s="4">
        <v>673</v>
      </c>
      <c r="K37" s="4">
        <v>1</v>
      </c>
      <c r="L37" s="4">
        <v>0</v>
      </c>
      <c r="M37" s="4">
        <f>IF((K37-L37)&gt;0, K37-L37, 0)</f>
        <v>1</v>
      </c>
      <c r="N37" s="4">
        <f>IF((673-0)&gt;0, 673-0, 0)</f>
        <v>673</v>
      </c>
    </row>
    <row r="38" spans="1:14" x14ac:dyDescent="0.2">
      <c r="A38" s="2">
        <v>45292</v>
      </c>
      <c r="C38" s="3" t="s">
        <v>95</v>
      </c>
      <c r="D38" s="3" t="s">
        <v>96</v>
      </c>
      <c r="E38" s="3" t="s">
        <v>97</v>
      </c>
      <c r="F38" s="3" t="s">
        <v>71</v>
      </c>
      <c r="G38" s="3" t="s">
        <v>18</v>
      </c>
      <c r="H38" s="3" t="s">
        <v>68</v>
      </c>
      <c r="I38" s="3" t="s">
        <v>105</v>
      </c>
      <c r="J38" s="4">
        <v>0</v>
      </c>
      <c r="K38" s="4">
        <v>1</v>
      </c>
      <c r="L38" s="4">
        <v>0</v>
      </c>
      <c r="M38" s="4">
        <f>IF((K38-L38)&gt;0, K38-L38, 0)</f>
        <v>1</v>
      </c>
      <c r="N38" s="4">
        <f>IF((0-0)&gt;0, 0-0, 0)</f>
        <v>0</v>
      </c>
    </row>
    <row r="39" spans="1:14" x14ac:dyDescent="0.2">
      <c r="A39" s="2">
        <v>45292</v>
      </c>
      <c r="C39" s="3" t="s">
        <v>95</v>
      </c>
      <c r="D39" s="3" t="s">
        <v>96</v>
      </c>
      <c r="E39" s="3" t="s">
        <v>97</v>
      </c>
      <c r="F39" s="3" t="s">
        <v>71</v>
      </c>
      <c r="G39" s="3" t="s">
        <v>18</v>
      </c>
      <c r="H39" s="3" t="s">
        <v>106</v>
      </c>
      <c r="I39" s="3" t="s">
        <v>107</v>
      </c>
      <c r="J39" s="4">
        <v>0</v>
      </c>
      <c r="K39" s="4">
        <v>1</v>
      </c>
      <c r="L39" s="4">
        <v>0</v>
      </c>
      <c r="M39" s="4">
        <f>IF((K39-L39)&gt;0, K39-L39, 0)</f>
        <v>1</v>
      </c>
      <c r="N39" s="4">
        <f>IF((0-0)&gt;0, 0-0, 0)</f>
        <v>0</v>
      </c>
    </row>
    <row r="40" spans="1:14" x14ac:dyDescent="0.2">
      <c r="A40" s="2">
        <v>45748</v>
      </c>
      <c r="C40" s="3" t="s">
        <v>108</v>
      </c>
      <c r="D40" s="3" t="s">
        <v>109</v>
      </c>
      <c r="E40" s="3" t="s">
        <v>109</v>
      </c>
      <c r="F40" s="3" t="s">
        <v>110</v>
      </c>
      <c r="G40" s="3" t="s">
        <v>111</v>
      </c>
      <c r="H40" s="3" t="s">
        <v>98</v>
      </c>
      <c r="I40" s="3" t="s">
        <v>99</v>
      </c>
      <c r="J40" s="4">
        <v>11500</v>
      </c>
      <c r="K40" s="4">
        <v>1</v>
      </c>
      <c r="L40" s="4">
        <v>0</v>
      </c>
      <c r="M40" s="4">
        <f>IF((K40-L40)&gt;0, K40-L40, 0)</f>
        <v>1</v>
      </c>
      <c r="N40" s="4">
        <f>IF((11500-0)&gt;0, 11500-0, 0)</f>
        <v>11500</v>
      </c>
    </row>
    <row r="41" spans="1:14" x14ac:dyDescent="0.2">
      <c r="A41" s="2">
        <v>45748</v>
      </c>
      <c r="C41" s="3" t="s">
        <v>108</v>
      </c>
      <c r="D41" s="3" t="s">
        <v>109</v>
      </c>
      <c r="E41" s="3" t="s">
        <v>109</v>
      </c>
      <c r="F41" s="3" t="s">
        <v>110</v>
      </c>
      <c r="G41" s="3" t="s">
        <v>111</v>
      </c>
      <c r="H41" s="3" t="s">
        <v>112</v>
      </c>
      <c r="I41" s="3" t="s">
        <v>113</v>
      </c>
      <c r="J41" s="4">
        <v>1495</v>
      </c>
      <c r="K41" s="4">
        <v>1</v>
      </c>
      <c r="L41" s="4">
        <v>0</v>
      </c>
      <c r="M41" s="4">
        <f>IF((K41-L41)&gt;0, K41-L41, 0)</f>
        <v>1</v>
      </c>
      <c r="N41" s="4">
        <f>IF((1495-0)&gt;0, 1495-0, 0)</f>
        <v>1495</v>
      </c>
    </row>
    <row r="42" spans="1:14" x14ac:dyDescent="0.2">
      <c r="A42" s="2">
        <v>45748</v>
      </c>
      <c r="C42" s="3" t="s">
        <v>108</v>
      </c>
      <c r="D42" s="3" t="s">
        <v>109</v>
      </c>
      <c r="E42" s="3" t="s">
        <v>109</v>
      </c>
      <c r="F42" s="3" t="s">
        <v>110</v>
      </c>
      <c r="G42" s="3" t="s">
        <v>111</v>
      </c>
      <c r="H42" s="3" t="s">
        <v>114</v>
      </c>
      <c r="I42" s="3" t="s">
        <v>115</v>
      </c>
      <c r="J42" s="4">
        <v>4250</v>
      </c>
      <c r="K42" s="4">
        <v>1</v>
      </c>
      <c r="L42" s="4">
        <v>0</v>
      </c>
      <c r="M42" s="4">
        <f>IF((K42-L42)&gt;0, K42-L42, 0)</f>
        <v>1</v>
      </c>
      <c r="N42" s="4">
        <f>IF((4250-0)&gt;0, 4250-0, 0)</f>
        <v>4250</v>
      </c>
    </row>
    <row r="43" spans="1:14" x14ac:dyDescent="0.2">
      <c r="A43" s="2">
        <v>45748</v>
      </c>
      <c r="C43" s="3" t="s">
        <v>108</v>
      </c>
      <c r="D43" s="3" t="s">
        <v>109</v>
      </c>
      <c r="E43" s="3" t="s">
        <v>109</v>
      </c>
      <c r="F43" s="3" t="s">
        <v>110</v>
      </c>
      <c r="G43" s="3" t="s">
        <v>111</v>
      </c>
      <c r="H43" s="3" t="s">
        <v>116</v>
      </c>
      <c r="I43" s="3" t="s">
        <v>117</v>
      </c>
      <c r="J43" s="4">
        <v>1400</v>
      </c>
      <c r="K43" s="4">
        <v>1</v>
      </c>
      <c r="L43" s="4">
        <v>0</v>
      </c>
      <c r="M43" s="4">
        <f>IF((K43-L43)&gt;0, K43-L43, 0)</f>
        <v>1</v>
      </c>
      <c r="N43" s="4">
        <f>IF((1400-0)&gt;0, 1400-0, 0)</f>
        <v>1400</v>
      </c>
    </row>
    <row r="44" spans="1:14" x14ac:dyDescent="0.2">
      <c r="A44" s="2">
        <v>45748</v>
      </c>
      <c r="C44" s="3" t="s">
        <v>108</v>
      </c>
      <c r="D44" s="3" t="s">
        <v>109</v>
      </c>
      <c r="E44" s="3" t="s">
        <v>109</v>
      </c>
      <c r="F44" s="3" t="s">
        <v>110</v>
      </c>
      <c r="G44" s="3" t="s">
        <v>111</v>
      </c>
      <c r="H44" s="3" t="s">
        <v>101</v>
      </c>
      <c r="I44" s="3" t="s">
        <v>118</v>
      </c>
      <c r="J44" s="4">
        <v>7250</v>
      </c>
      <c r="K44" s="4">
        <v>1</v>
      </c>
      <c r="L44" s="4">
        <v>0</v>
      </c>
      <c r="M44" s="4">
        <f>IF((K44-L44)&gt;0, K44-L44, 0)</f>
        <v>1</v>
      </c>
      <c r="N44" s="4">
        <f>IF((7250-0)&gt;0, 7250-0, 0)</f>
        <v>7250</v>
      </c>
    </row>
    <row r="45" spans="1:14" x14ac:dyDescent="0.2">
      <c r="A45" s="2">
        <v>45748</v>
      </c>
      <c r="C45" s="3" t="s">
        <v>108</v>
      </c>
      <c r="D45" s="3" t="s">
        <v>109</v>
      </c>
      <c r="E45" s="3" t="s">
        <v>109</v>
      </c>
      <c r="F45" s="3" t="s">
        <v>110</v>
      </c>
      <c r="G45" s="3" t="s">
        <v>111</v>
      </c>
      <c r="H45" s="3" t="s">
        <v>119</v>
      </c>
      <c r="I45" s="3" t="s">
        <v>120</v>
      </c>
      <c r="J45" s="4">
        <v>7450</v>
      </c>
      <c r="K45" s="4">
        <v>1</v>
      </c>
      <c r="L45" s="4">
        <v>0</v>
      </c>
      <c r="M45" s="4">
        <f>IF((K45-L45)&gt;0, K45-L45, 0)</f>
        <v>1</v>
      </c>
      <c r="N45" s="4">
        <f>IF((7450-0)&gt;0, 7450-0, 0)</f>
        <v>7450</v>
      </c>
    </row>
    <row r="46" spans="1:14" x14ac:dyDescent="0.2">
      <c r="A46" s="2">
        <v>45748</v>
      </c>
      <c r="C46" s="3" t="s">
        <v>108</v>
      </c>
      <c r="D46" s="3" t="s">
        <v>109</v>
      </c>
      <c r="E46" s="3" t="s">
        <v>109</v>
      </c>
      <c r="F46" s="3" t="s">
        <v>110</v>
      </c>
      <c r="G46" s="3" t="s">
        <v>111</v>
      </c>
      <c r="H46" s="3" t="s">
        <v>68</v>
      </c>
      <c r="I46" s="3" t="s">
        <v>105</v>
      </c>
      <c r="J46" s="4">
        <v>0</v>
      </c>
      <c r="K46" s="4">
        <v>1</v>
      </c>
      <c r="L46" s="4">
        <v>0</v>
      </c>
      <c r="M46" s="4">
        <f>IF((K46-L46)&gt;0, K46-L46, 0)</f>
        <v>1</v>
      </c>
      <c r="N46" s="4">
        <f>IF((0-0)&gt;0, 0-0, 0)</f>
        <v>0</v>
      </c>
    </row>
    <row r="47" spans="1:14" x14ac:dyDescent="0.2">
      <c r="A47" s="2">
        <v>45748</v>
      </c>
      <c r="C47" s="3" t="s">
        <v>108</v>
      </c>
      <c r="D47" s="3" t="s">
        <v>109</v>
      </c>
      <c r="E47" s="3" t="s">
        <v>109</v>
      </c>
      <c r="F47" s="3" t="s">
        <v>110</v>
      </c>
      <c r="G47" s="3" t="s">
        <v>111</v>
      </c>
      <c r="H47" s="3" t="s">
        <v>106</v>
      </c>
      <c r="I47" s="3" t="s">
        <v>121</v>
      </c>
      <c r="J47" s="4">
        <v>0</v>
      </c>
      <c r="K47" s="4">
        <v>1</v>
      </c>
      <c r="L47" s="4">
        <v>0</v>
      </c>
      <c r="M47" s="4">
        <f>IF((K47-L47)&gt;0, K47-L47, 0)</f>
        <v>1</v>
      </c>
      <c r="N47" s="4">
        <f>IF((0-0)&gt;0, 0-0, 0)</f>
        <v>0</v>
      </c>
    </row>
    <row r="48" spans="1:14" x14ac:dyDescent="0.2">
      <c r="A48" s="2">
        <v>45706</v>
      </c>
      <c r="C48" s="3" t="s">
        <v>122</v>
      </c>
      <c r="D48" s="3" t="s">
        <v>123</v>
      </c>
      <c r="E48" s="3" t="s">
        <v>123</v>
      </c>
      <c r="F48" s="3" t="s">
        <v>124</v>
      </c>
      <c r="G48" s="3" t="s">
        <v>41</v>
      </c>
      <c r="H48" s="3" t="s">
        <v>72</v>
      </c>
      <c r="I48" s="3" t="s">
        <v>125</v>
      </c>
      <c r="J48" s="4">
        <v>0</v>
      </c>
      <c r="K48" s="4">
        <v>1</v>
      </c>
      <c r="L48" s="4">
        <v>0</v>
      </c>
      <c r="M48" s="4">
        <f>IF((K48-L48)&gt;0, K48-L48, 0)</f>
        <v>1</v>
      </c>
      <c r="N48" s="4">
        <f>IF((0-0)&gt;0, 0-0, 0)</f>
        <v>0</v>
      </c>
    </row>
    <row r="49" spans="1:14" x14ac:dyDescent="0.2">
      <c r="A49" s="2">
        <v>45706</v>
      </c>
      <c r="C49" s="3" t="s">
        <v>122</v>
      </c>
      <c r="D49" s="3" t="s">
        <v>123</v>
      </c>
      <c r="E49" s="3" t="s">
        <v>123</v>
      </c>
      <c r="F49" s="3" t="s">
        <v>124</v>
      </c>
      <c r="G49" s="3" t="s">
        <v>41</v>
      </c>
      <c r="H49" s="3" t="s">
        <v>106</v>
      </c>
      <c r="I49" s="3" t="s">
        <v>126</v>
      </c>
      <c r="J49" s="4">
        <v>0</v>
      </c>
      <c r="K49" s="4">
        <v>1</v>
      </c>
      <c r="L49" s="4">
        <v>0</v>
      </c>
      <c r="M49" s="4">
        <f>IF((K49-L49)&gt;0, K49-L49, 0)</f>
        <v>1</v>
      </c>
      <c r="N49" s="4">
        <f>IF((0-0)&gt;0, 0-0, 0)</f>
        <v>0</v>
      </c>
    </row>
    <row r="50" spans="1:14" x14ac:dyDescent="0.2">
      <c r="A50" s="2">
        <v>45813</v>
      </c>
      <c r="C50" s="3" t="s">
        <v>127</v>
      </c>
      <c r="D50" s="3" t="s">
        <v>128</v>
      </c>
      <c r="E50" s="3" t="s">
        <v>129</v>
      </c>
      <c r="F50" s="3" t="s">
        <v>130</v>
      </c>
      <c r="G50" s="3" t="s">
        <v>131</v>
      </c>
      <c r="H50" s="3" t="s">
        <v>72</v>
      </c>
      <c r="I50" s="3" t="s">
        <v>132</v>
      </c>
      <c r="J50" s="4">
        <v>2575</v>
      </c>
      <c r="K50" s="4">
        <v>1</v>
      </c>
      <c r="L50" s="4">
        <v>0</v>
      </c>
      <c r="M50" s="4">
        <f>IF((K50-L50)&gt;0, K50-L50, 0)</f>
        <v>1</v>
      </c>
      <c r="N50" s="4">
        <f>IF((2575-0)&gt;0, 2575-0, 0)</f>
        <v>2575</v>
      </c>
    </row>
    <row r="51" spans="1:14" x14ac:dyDescent="0.2">
      <c r="A51" s="2">
        <v>45820</v>
      </c>
      <c r="C51" s="3" t="s">
        <v>133</v>
      </c>
      <c r="D51" s="3" t="s">
        <v>134</v>
      </c>
      <c r="E51" s="3" t="s">
        <v>134</v>
      </c>
      <c r="F51" s="3" t="s">
        <v>135</v>
      </c>
      <c r="G51" s="3" t="s">
        <v>136</v>
      </c>
      <c r="H51" s="3" t="s">
        <v>137</v>
      </c>
      <c r="I51" s="3" t="s">
        <v>138</v>
      </c>
      <c r="J51" s="4">
        <v>9500</v>
      </c>
      <c r="K51" s="4">
        <v>2</v>
      </c>
      <c r="L51" s="4">
        <v>0</v>
      </c>
      <c r="M51" s="4">
        <f>IF((K51-L51)&gt;0, K51-L51, 0)</f>
        <v>2</v>
      </c>
      <c r="N51" s="4">
        <f>IF((19000-0)&gt;0, 19000-0, 0)</f>
        <v>19000</v>
      </c>
    </row>
    <row r="52" spans="1:14" x14ac:dyDescent="0.2">
      <c r="A52" s="2">
        <v>45820</v>
      </c>
      <c r="C52" s="3" t="s">
        <v>133</v>
      </c>
      <c r="D52" s="3" t="s">
        <v>134</v>
      </c>
      <c r="E52" s="3" t="s">
        <v>134</v>
      </c>
      <c r="F52" s="3" t="s">
        <v>135</v>
      </c>
      <c r="G52" s="3" t="s">
        <v>136</v>
      </c>
      <c r="H52" s="3" t="s">
        <v>139</v>
      </c>
      <c r="I52" s="3" t="s">
        <v>140</v>
      </c>
      <c r="J52" s="4">
        <v>2350</v>
      </c>
      <c r="K52" s="4">
        <v>2</v>
      </c>
      <c r="L52" s="4">
        <v>0</v>
      </c>
      <c r="M52" s="4">
        <f>IF((K52-L52)&gt;0, K52-L52, 0)</f>
        <v>2</v>
      </c>
      <c r="N52" s="4">
        <f>IF((4700-0)&gt;0, 4700-0, 0)</f>
        <v>4700</v>
      </c>
    </row>
    <row r="53" spans="1:14" x14ac:dyDescent="0.2">
      <c r="A53" s="2">
        <v>45820</v>
      </c>
      <c r="C53" s="3" t="s">
        <v>133</v>
      </c>
      <c r="D53" s="3" t="s">
        <v>134</v>
      </c>
      <c r="E53" s="3" t="s">
        <v>134</v>
      </c>
      <c r="F53" s="3" t="s">
        <v>135</v>
      </c>
      <c r="G53" s="3" t="s">
        <v>136</v>
      </c>
      <c r="H53" s="3" t="s">
        <v>116</v>
      </c>
      <c r="I53" s="3" t="s">
        <v>141</v>
      </c>
      <c r="J53" s="4">
        <v>750</v>
      </c>
      <c r="K53" s="4">
        <v>4</v>
      </c>
      <c r="L53" s="4">
        <v>0</v>
      </c>
      <c r="M53" s="4">
        <f>IF((K53-L53)&gt;0, K53-L53, 0)</f>
        <v>4</v>
      </c>
      <c r="N53" s="4">
        <f>IF((3000-0)&gt;0, 3000-0, 0)</f>
        <v>3000</v>
      </c>
    </row>
    <row r="54" spans="1:14" x14ac:dyDescent="0.2">
      <c r="A54" s="2">
        <v>45820</v>
      </c>
      <c r="C54" s="3" t="s">
        <v>133</v>
      </c>
      <c r="D54" s="3" t="s">
        <v>134</v>
      </c>
      <c r="E54" s="3" t="s">
        <v>134</v>
      </c>
      <c r="F54" s="3" t="s">
        <v>135</v>
      </c>
      <c r="G54" s="3" t="s">
        <v>136</v>
      </c>
      <c r="H54" s="3" t="s">
        <v>101</v>
      </c>
      <c r="I54" s="3" t="s">
        <v>142</v>
      </c>
      <c r="J54" s="4">
        <v>12500</v>
      </c>
      <c r="K54" s="4">
        <v>2</v>
      </c>
      <c r="L54" s="4">
        <v>0</v>
      </c>
      <c r="M54" s="4">
        <f>IF((K54-L54)&gt;0, K54-L54, 0)</f>
        <v>2</v>
      </c>
      <c r="N54" s="4">
        <f>IF((25000-0)&gt;0, 25000-0, 0)</f>
        <v>25000</v>
      </c>
    </row>
    <row r="55" spans="1:14" x14ac:dyDescent="0.2">
      <c r="A55" s="2">
        <v>45820</v>
      </c>
      <c r="C55" s="3" t="s">
        <v>133</v>
      </c>
      <c r="D55" s="3" t="s">
        <v>134</v>
      </c>
      <c r="E55" s="3" t="s">
        <v>134</v>
      </c>
      <c r="F55" s="3" t="s">
        <v>135</v>
      </c>
      <c r="G55" s="3" t="s">
        <v>136</v>
      </c>
      <c r="H55" s="3" t="s">
        <v>112</v>
      </c>
      <c r="I55" s="3" t="s">
        <v>143</v>
      </c>
      <c r="J55" s="4">
        <v>950</v>
      </c>
      <c r="K55" s="4">
        <v>2</v>
      </c>
      <c r="L55" s="4">
        <v>0</v>
      </c>
      <c r="M55" s="4">
        <f>IF((K55-L55)&gt;0, K55-L55, 0)</f>
        <v>2</v>
      </c>
      <c r="N55" s="4">
        <f>IF((1900-0)&gt;0, 1900-0, 0)</f>
        <v>1900</v>
      </c>
    </row>
    <row r="56" spans="1:14" x14ac:dyDescent="0.2">
      <c r="A56" s="2">
        <v>45820</v>
      </c>
      <c r="C56" s="3" t="s">
        <v>133</v>
      </c>
      <c r="D56" s="3" t="s">
        <v>134</v>
      </c>
      <c r="E56" s="3" t="s">
        <v>134</v>
      </c>
      <c r="F56" s="3" t="s">
        <v>135</v>
      </c>
      <c r="G56" s="3" t="s">
        <v>136</v>
      </c>
      <c r="H56" s="3" t="s">
        <v>112</v>
      </c>
      <c r="I56" s="3" t="s">
        <v>144</v>
      </c>
      <c r="J56" s="4">
        <v>995</v>
      </c>
      <c r="K56" s="4">
        <v>2</v>
      </c>
      <c r="L56" s="4">
        <v>0</v>
      </c>
      <c r="M56" s="4">
        <f>IF((K56-L56)&gt;0, K56-L56, 0)</f>
        <v>2</v>
      </c>
      <c r="N56" s="4">
        <f>IF((1990-0)&gt;0, 1990-0, 0)</f>
        <v>1990</v>
      </c>
    </row>
    <row r="57" spans="1:14" x14ac:dyDescent="0.2">
      <c r="A57" s="2">
        <v>45820</v>
      </c>
      <c r="C57" s="3" t="s">
        <v>133</v>
      </c>
      <c r="D57" s="3" t="s">
        <v>134</v>
      </c>
      <c r="E57" s="3" t="s">
        <v>134</v>
      </c>
      <c r="F57" s="3" t="s">
        <v>135</v>
      </c>
      <c r="G57" s="3" t="s">
        <v>136</v>
      </c>
      <c r="H57" s="3" t="s">
        <v>68</v>
      </c>
      <c r="I57" s="3" t="s">
        <v>69</v>
      </c>
      <c r="J57" s="4">
        <v>475</v>
      </c>
      <c r="K57" s="4">
        <v>2</v>
      </c>
      <c r="L57" s="4">
        <v>0</v>
      </c>
      <c r="M57" s="4">
        <f>IF((K57-L57)&gt;0, K57-L57, 0)</f>
        <v>2</v>
      </c>
      <c r="N57" s="4">
        <f>IF((950-0)&gt;0, 950-0, 0)</f>
        <v>950</v>
      </c>
    </row>
    <row r="58" spans="1:14" x14ac:dyDescent="0.2">
      <c r="A58" s="2">
        <v>45824</v>
      </c>
      <c r="B58" s="2">
        <v>45894</v>
      </c>
      <c r="C58" s="3" t="s">
        <v>145</v>
      </c>
      <c r="D58" s="3" t="s">
        <v>146</v>
      </c>
      <c r="E58" s="3" t="s">
        <v>147</v>
      </c>
      <c r="F58" s="3" t="s">
        <v>148</v>
      </c>
      <c r="G58" s="3" t="s">
        <v>111</v>
      </c>
      <c r="H58" s="3" t="s">
        <v>98</v>
      </c>
      <c r="I58" s="3" t="s">
        <v>99</v>
      </c>
      <c r="J58" s="4">
        <v>11500</v>
      </c>
      <c r="K58" s="4">
        <v>7</v>
      </c>
      <c r="L58" s="4">
        <v>0</v>
      </c>
      <c r="M58" s="4">
        <f>IF((K58-L58)&gt;0, K58-L58, 0)</f>
        <v>7</v>
      </c>
      <c r="N58" s="4">
        <f>IF((80500-0)&gt;0, 80500-0, 0)</f>
        <v>80500</v>
      </c>
    </row>
    <row r="59" spans="1:14" x14ac:dyDescent="0.2">
      <c r="A59" s="2">
        <v>45824</v>
      </c>
      <c r="B59" s="2">
        <v>45894</v>
      </c>
      <c r="C59" s="3" t="s">
        <v>145</v>
      </c>
      <c r="D59" s="3" t="s">
        <v>146</v>
      </c>
      <c r="E59" s="3" t="s">
        <v>147</v>
      </c>
      <c r="F59" s="3" t="s">
        <v>148</v>
      </c>
      <c r="G59" s="3" t="s">
        <v>111</v>
      </c>
      <c r="H59" s="3" t="s">
        <v>149</v>
      </c>
      <c r="I59" s="3" t="s">
        <v>150</v>
      </c>
      <c r="J59" s="4">
        <v>300</v>
      </c>
      <c r="K59" s="4">
        <v>7</v>
      </c>
      <c r="L59" s="4">
        <v>0</v>
      </c>
      <c r="M59" s="4">
        <f>IF((K59-L59)&gt;0, K59-L59, 0)</f>
        <v>7</v>
      </c>
      <c r="N59" s="4">
        <f>IF((2100-0)&gt;0, 2100-0, 0)</f>
        <v>2100</v>
      </c>
    </row>
    <row r="60" spans="1:14" x14ac:dyDescent="0.2">
      <c r="A60" s="2">
        <v>45824</v>
      </c>
      <c r="B60" s="2">
        <v>45894</v>
      </c>
      <c r="C60" s="3" t="s">
        <v>145</v>
      </c>
      <c r="D60" s="3" t="s">
        <v>146</v>
      </c>
      <c r="E60" s="3" t="s">
        <v>147</v>
      </c>
      <c r="F60" s="3" t="s">
        <v>148</v>
      </c>
      <c r="G60" s="3" t="s">
        <v>111</v>
      </c>
      <c r="H60" s="3" t="s">
        <v>151</v>
      </c>
      <c r="I60" s="3" t="s">
        <v>152</v>
      </c>
      <c r="J60" s="4">
        <v>175</v>
      </c>
      <c r="K60" s="4">
        <v>14</v>
      </c>
      <c r="L60" s="4">
        <v>0</v>
      </c>
      <c r="M60" s="4">
        <f>IF((K60-L60)&gt;0, K60-L60, 0)</f>
        <v>14</v>
      </c>
      <c r="N60" s="4">
        <f>IF((2450-0)&gt;0, 2450-0, 0)</f>
        <v>2450</v>
      </c>
    </row>
    <row r="61" spans="1:14" x14ac:dyDescent="0.2">
      <c r="A61" s="2">
        <v>45824</v>
      </c>
      <c r="B61" s="2">
        <v>45894</v>
      </c>
      <c r="C61" s="3" t="s">
        <v>145</v>
      </c>
      <c r="D61" s="3" t="s">
        <v>146</v>
      </c>
      <c r="E61" s="3" t="s">
        <v>147</v>
      </c>
      <c r="F61" s="3" t="s">
        <v>148</v>
      </c>
      <c r="G61" s="3" t="s">
        <v>111</v>
      </c>
      <c r="H61" s="3" t="s">
        <v>149</v>
      </c>
      <c r="I61" s="3" t="s">
        <v>153</v>
      </c>
      <c r="J61" s="4">
        <v>0</v>
      </c>
      <c r="K61" s="4">
        <v>7</v>
      </c>
      <c r="L61" s="4">
        <v>0</v>
      </c>
      <c r="M61" s="4">
        <f>IF((K61-L61)&gt;0, K61-L61, 0)</f>
        <v>7</v>
      </c>
      <c r="N61" s="4">
        <f>IF((0-0)&gt;0, 0-0, 0)</f>
        <v>0</v>
      </c>
    </row>
    <row r="62" spans="1:14" x14ac:dyDescent="0.2">
      <c r="A62" s="2">
        <v>45824</v>
      </c>
      <c r="B62" s="2">
        <v>45894</v>
      </c>
      <c r="C62" s="3" t="s">
        <v>145</v>
      </c>
      <c r="D62" s="3" t="s">
        <v>146</v>
      </c>
      <c r="E62" s="3" t="s">
        <v>147</v>
      </c>
      <c r="F62" s="3" t="s">
        <v>148</v>
      </c>
      <c r="G62" s="3" t="s">
        <v>111</v>
      </c>
      <c r="H62" s="3" t="s">
        <v>101</v>
      </c>
      <c r="I62" s="3" t="s">
        <v>154</v>
      </c>
      <c r="J62" s="4">
        <v>3500</v>
      </c>
      <c r="K62" s="4">
        <v>7</v>
      </c>
      <c r="L62" s="4">
        <v>0</v>
      </c>
      <c r="M62" s="4">
        <f>IF((K62-L62)&gt;0, K62-L62, 0)</f>
        <v>7</v>
      </c>
      <c r="N62" s="4">
        <f>IF((24500-0)&gt;0, 24500-0, 0)</f>
        <v>24500</v>
      </c>
    </row>
    <row r="63" spans="1:14" x14ac:dyDescent="0.2">
      <c r="A63" s="2">
        <v>45824</v>
      </c>
      <c r="B63" s="2">
        <v>45894</v>
      </c>
      <c r="C63" s="3" t="s">
        <v>145</v>
      </c>
      <c r="D63" s="3" t="s">
        <v>146</v>
      </c>
      <c r="E63" s="3" t="s">
        <v>147</v>
      </c>
      <c r="F63" s="3" t="s">
        <v>148</v>
      </c>
      <c r="G63" s="3" t="s">
        <v>111</v>
      </c>
      <c r="H63" s="3" t="s">
        <v>68</v>
      </c>
      <c r="I63" s="3" t="s">
        <v>69</v>
      </c>
      <c r="J63" s="4">
        <v>425</v>
      </c>
      <c r="K63" s="4">
        <v>7</v>
      </c>
      <c r="L63" s="4">
        <v>0</v>
      </c>
      <c r="M63" s="4">
        <f>IF((K63-L63)&gt;0, K63-L63, 0)</f>
        <v>7</v>
      </c>
      <c r="N63" s="4">
        <f>IF((2975-0)&gt;0, 2975-0, 0)</f>
        <v>2975</v>
      </c>
    </row>
    <row r="64" spans="1:14" x14ac:dyDescent="0.2">
      <c r="A64" s="2">
        <v>45824</v>
      </c>
      <c r="B64" s="2">
        <v>45894</v>
      </c>
      <c r="C64" s="3" t="s">
        <v>145</v>
      </c>
      <c r="D64" s="3" t="s">
        <v>146</v>
      </c>
      <c r="E64" s="3" t="s">
        <v>147</v>
      </c>
      <c r="F64" s="3" t="s">
        <v>148</v>
      </c>
      <c r="G64" s="3" t="s">
        <v>111</v>
      </c>
      <c r="H64" s="3" t="s">
        <v>155</v>
      </c>
      <c r="I64" s="3" t="s">
        <v>156</v>
      </c>
      <c r="J64" s="4">
        <v>-5626.25</v>
      </c>
      <c r="K64" s="4">
        <v>1</v>
      </c>
      <c r="L64" s="4">
        <v>0</v>
      </c>
      <c r="M64" s="4">
        <f>IF((K64-L64)&gt;0, K64-L64, 0)</f>
        <v>1</v>
      </c>
      <c r="N64" s="4">
        <f>IF((-5626.25-0)&gt;0, -5626.25-0, 0)</f>
        <v>0</v>
      </c>
    </row>
    <row r="65" spans="1:14" x14ac:dyDescent="0.2">
      <c r="A65" s="2">
        <v>45824</v>
      </c>
      <c r="B65" s="2">
        <v>45894</v>
      </c>
      <c r="C65" s="3" t="s">
        <v>145</v>
      </c>
      <c r="D65" s="3" t="s">
        <v>146</v>
      </c>
      <c r="E65" s="3" t="s">
        <v>147</v>
      </c>
      <c r="F65" s="3" t="s">
        <v>148</v>
      </c>
      <c r="G65" s="3" t="s">
        <v>111</v>
      </c>
      <c r="H65" s="3" t="s">
        <v>149</v>
      </c>
      <c r="I65" s="3" t="s">
        <v>157</v>
      </c>
      <c r="J65" s="4">
        <v>0</v>
      </c>
      <c r="K65" s="4">
        <v>1</v>
      </c>
      <c r="L65" s="4">
        <v>0</v>
      </c>
      <c r="M65" s="4">
        <f>IF((K65-L65)&gt;0, K65-L65, 0)</f>
        <v>1</v>
      </c>
      <c r="N65" s="4">
        <f>IF((0-0)&gt;0, 0-0, 0)</f>
        <v>0</v>
      </c>
    </row>
    <row r="66" spans="1:14" x14ac:dyDescent="0.2">
      <c r="A66" s="2">
        <v>45824</v>
      </c>
      <c r="B66" s="2">
        <v>45894</v>
      </c>
      <c r="C66" s="3" t="s">
        <v>145</v>
      </c>
      <c r="D66" s="3" t="s">
        <v>146</v>
      </c>
      <c r="E66" s="3" t="s">
        <v>147</v>
      </c>
      <c r="F66" s="3" t="s">
        <v>148</v>
      </c>
      <c r="G66" s="3" t="s">
        <v>111</v>
      </c>
      <c r="H66" s="3" t="s">
        <v>58</v>
      </c>
      <c r="I66" s="3" t="s">
        <v>158</v>
      </c>
      <c r="J66" s="4">
        <v>0</v>
      </c>
      <c r="K66" s="4">
        <v>1</v>
      </c>
      <c r="L66" s="4">
        <v>0</v>
      </c>
      <c r="M66" s="4">
        <f>IF((K66-L66)&gt;0, K66-L66, 0)</f>
        <v>1</v>
      </c>
      <c r="N66" s="4">
        <f>IF((0-0)&gt;0, 0-0, 0)</f>
        <v>0</v>
      </c>
    </row>
    <row r="67" spans="1:14" x14ac:dyDescent="0.2">
      <c r="A67" s="2">
        <v>45826</v>
      </c>
      <c r="B67" s="2">
        <v>45833</v>
      </c>
      <c r="C67" s="3" t="s">
        <v>159</v>
      </c>
      <c r="D67" s="3" t="s">
        <v>160</v>
      </c>
      <c r="E67" s="3" t="s">
        <v>161</v>
      </c>
      <c r="F67" s="3" t="s">
        <v>162</v>
      </c>
      <c r="G67" s="3" t="s">
        <v>41</v>
      </c>
      <c r="H67" s="3" t="s">
        <v>163</v>
      </c>
      <c r="I67" s="3" t="s">
        <v>164</v>
      </c>
      <c r="J67" s="4">
        <v>275</v>
      </c>
      <c r="K67" s="4">
        <v>1</v>
      </c>
      <c r="L67" s="4">
        <v>0</v>
      </c>
      <c r="M67" s="4">
        <f>IF((K67-L67)&gt;0, K67-L67, 0)</f>
        <v>1</v>
      </c>
      <c r="N67" s="4">
        <f>IF((275-0)&gt;0, 275-0, 0)</f>
        <v>275</v>
      </c>
    </row>
    <row r="68" spans="1:14" x14ac:dyDescent="0.2">
      <c r="A68" s="2">
        <v>45825</v>
      </c>
      <c r="B68" s="2">
        <v>45832</v>
      </c>
      <c r="C68" s="3" t="s">
        <v>165</v>
      </c>
      <c r="D68" s="3" t="s">
        <v>166</v>
      </c>
      <c r="E68" s="3" t="s">
        <v>167</v>
      </c>
      <c r="F68" s="3" t="s">
        <v>168</v>
      </c>
      <c r="G68" s="3" t="s">
        <v>169</v>
      </c>
      <c r="H68" s="3" t="s">
        <v>170</v>
      </c>
      <c r="I68" s="3" t="s">
        <v>171</v>
      </c>
      <c r="J68" s="4">
        <v>12</v>
      </c>
      <c r="K68" s="4">
        <v>96</v>
      </c>
      <c r="L68" s="4">
        <v>0</v>
      </c>
      <c r="M68" s="4">
        <f>IF((K68-L68)&gt;0, K68-L68, 0)</f>
        <v>96</v>
      </c>
      <c r="N68" s="4">
        <f>IF((1152-0)&gt;0, 1152-0, 0)</f>
        <v>1152</v>
      </c>
    </row>
    <row r="69" spans="1:14" x14ac:dyDescent="0.2">
      <c r="A69" s="2">
        <v>45825</v>
      </c>
      <c r="B69" s="2">
        <v>45832</v>
      </c>
      <c r="C69" s="3" t="s">
        <v>165</v>
      </c>
      <c r="D69" s="3" t="s">
        <v>166</v>
      </c>
      <c r="E69" s="3" t="s">
        <v>167</v>
      </c>
      <c r="F69" s="3" t="s">
        <v>168</v>
      </c>
      <c r="G69" s="3" t="s">
        <v>169</v>
      </c>
      <c r="H69" s="3" t="s">
        <v>155</v>
      </c>
      <c r="I69" s="3" t="s">
        <v>172</v>
      </c>
      <c r="J69" s="4">
        <v>-57.6</v>
      </c>
      <c r="K69" s="4">
        <v>1</v>
      </c>
      <c r="L69" s="4">
        <v>0</v>
      </c>
      <c r="M69" s="4">
        <f>IF((K69-L69)&gt;0, K69-L69, 0)</f>
        <v>1</v>
      </c>
      <c r="N69" s="4">
        <f>IF((-57.6-0)&gt;0, -57.6-0, 0)</f>
        <v>0</v>
      </c>
    </row>
    <row r="70" spans="1:14" x14ac:dyDescent="0.2">
      <c r="A70" s="2">
        <v>45825</v>
      </c>
      <c r="B70" s="2">
        <v>45832</v>
      </c>
      <c r="C70" s="3" t="s">
        <v>165</v>
      </c>
      <c r="D70" s="3" t="s">
        <v>166</v>
      </c>
      <c r="E70" s="3" t="s">
        <v>167</v>
      </c>
      <c r="F70" s="3" t="s">
        <v>168</v>
      </c>
      <c r="G70" s="3" t="s">
        <v>169</v>
      </c>
      <c r="H70" s="3" t="s">
        <v>173</v>
      </c>
      <c r="I70" s="3" t="s">
        <v>174</v>
      </c>
      <c r="J70" s="4">
        <v>0</v>
      </c>
      <c r="K70" s="4">
        <v>1</v>
      </c>
      <c r="L70" s="4">
        <v>0</v>
      </c>
      <c r="M70" s="4">
        <f>IF((K70-L70)&gt;0, K70-L70, 0)</f>
        <v>1</v>
      </c>
      <c r="N70" s="4">
        <f>IF((0-0)&gt;0, 0-0, 0)</f>
        <v>0</v>
      </c>
    </row>
    <row r="71" spans="1:14" x14ac:dyDescent="0.2">
      <c r="A71" s="2">
        <v>45826</v>
      </c>
      <c r="B71" s="2">
        <v>45833</v>
      </c>
      <c r="C71" s="3" t="s">
        <v>175</v>
      </c>
      <c r="D71" s="3" t="s">
        <v>176</v>
      </c>
      <c r="E71" s="3" t="s">
        <v>176</v>
      </c>
      <c r="F71" s="3" t="s">
        <v>177</v>
      </c>
      <c r="G71" s="3" t="s">
        <v>71</v>
      </c>
      <c r="H71" s="3" t="s">
        <v>178</v>
      </c>
      <c r="I71" s="3" t="s">
        <v>179</v>
      </c>
      <c r="J71" s="4">
        <v>11</v>
      </c>
      <c r="K71" s="4">
        <v>20</v>
      </c>
      <c r="L71" s="4">
        <v>0</v>
      </c>
      <c r="M71" s="4">
        <f>IF((K71-L71)&gt;0, K71-L71, 0)</f>
        <v>20</v>
      </c>
      <c r="N71" s="4">
        <f>IF((220-0)&gt;0, 220-0, 0)</f>
        <v>220</v>
      </c>
    </row>
    <row r="72" spans="1:14" x14ac:dyDescent="0.2">
      <c r="A72" s="2">
        <v>45826</v>
      </c>
      <c r="B72" s="2">
        <v>45833</v>
      </c>
      <c r="C72" s="3" t="s">
        <v>175</v>
      </c>
      <c r="D72" s="3" t="s">
        <v>176</v>
      </c>
      <c r="E72" s="3" t="s">
        <v>176</v>
      </c>
      <c r="F72" s="3" t="s">
        <v>177</v>
      </c>
      <c r="G72" s="3" t="s">
        <v>71</v>
      </c>
      <c r="H72" s="3" t="s">
        <v>68</v>
      </c>
      <c r="I72" s="3" t="s">
        <v>69</v>
      </c>
      <c r="J72" s="4">
        <v>60</v>
      </c>
      <c r="K72" s="4">
        <v>1</v>
      </c>
      <c r="L72" s="4">
        <v>0</v>
      </c>
      <c r="M72" s="4">
        <f>IF((K72-L72)&gt;0, K72-L72, 0)</f>
        <v>1</v>
      </c>
      <c r="N72" s="4">
        <f>IF((60-0)&gt;0, 60-0, 0)</f>
        <v>60</v>
      </c>
    </row>
    <row r="73" spans="1:14" x14ac:dyDescent="0.2">
      <c r="A73" s="2">
        <v>45826</v>
      </c>
      <c r="B73" s="2">
        <v>45833</v>
      </c>
      <c r="C73" s="3" t="s">
        <v>175</v>
      </c>
      <c r="D73" s="3" t="s">
        <v>176</v>
      </c>
      <c r="E73" s="3" t="s">
        <v>176</v>
      </c>
      <c r="F73" s="3" t="s">
        <v>177</v>
      </c>
      <c r="G73" s="3" t="s">
        <v>71</v>
      </c>
      <c r="H73" s="3" t="s">
        <v>180</v>
      </c>
      <c r="I73" s="3" t="s">
        <v>181</v>
      </c>
      <c r="J73" s="4">
        <v>0</v>
      </c>
      <c r="K73" s="4">
        <v>1</v>
      </c>
      <c r="L73" s="4">
        <v>0</v>
      </c>
      <c r="M73" s="4">
        <f>IF((K73-L73)&gt;0, K73-L73, 0)</f>
        <v>1</v>
      </c>
      <c r="N73" s="4">
        <f>IF((0-0)&gt;0, 0-0, 0)</f>
        <v>0</v>
      </c>
    </row>
    <row r="74" spans="1:14" ht="12" thickBot="1" x14ac:dyDescent="0.25">
      <c r="A74" s="8">
        <v>45826</v>
      </c>
      <c r="B74" s="8">
        <v>45833</v>
      </c>
      <c r="C74" s="9" t="s">
        <v>175</v>
      </c>
      <c r="D74" s="9" t="s">
        <v>176</v>
      </c>
      <c r="E74" s="9" t="s">
        <v>176</v>
      </c>
      <c r="F74" s="9" t="s">
        <v>177</v>
      </c>
      <c r="G74" s="9" t="s">
        <v>71</v>
      </c>
      <c r="H74" s="9" t="s">
        <v>106</v>
      </c>
      <c r="I74" s="9" t="s">
        <v>182</v>
      </c>
      <c r="J74" s="10">
        <v>0</v>
      </c>
      <c r="K74" s="10">
        <v>1</v>
      </c>
      <c r="L74" s="10">
        <v>0</v>
      </c>
      <c r="M74" s="10">
        <f>IF((K74-L74)&gt;0, K74-L74, 0)</f>
        <v>1</v>
      </c>
      <c r="N74" s="10">
        <f>IF((0-0)&gt;0, 0-0, 0)</f>
        <v>0</v>
      </c>
    </row>
  </sheetData>
  <pageMargins left="0.7" right="0.7" top="1.2222222222222223" bottom="0.65277777777777779" header="0.3" footer="0.3"/>
  <pageSetup orientation="landscape" horizontalDpi="0" verticalDpi="0" r:id="rId1"/>
  <headerFooter>
    <oddHeader xml:space="preserve">&amp;C&amp;"Times New Roman"&amp;10 Ergotronix Inc-
&amp;12 Sales Order Report
&amp;10 Jun 18, 2025&amp;L&amp;"Times New Roman"&amp;10
&amp;12
&amp;10
&amp;"Times New Roman"&amp;8 Filter Criteria includes: Report order is by Sales Order Number. Report is printed with shortened descriptions.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Open Sales Orders-jt</vt:lpstr>
      <vt:lpstr>'Open Sales Orders-jt'!Print_Titles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Tigrett</dc:creator>
  <cp:lastModifiedBy>Matt Tigrett</cp:lastModifiedBy>
  <dcterms:created xsi:type="dcterms:W3CDTF">2025-06-18T18:49:04Z</dcterms:created>
  <dcterms:modified xsi:type="dcterms:W3CDTF">2025-06-18T18:53:52Z</dcterms:modified>
</cp:coreProperties>
</file>