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 SCRIPTS\Support Files\"/>
    </mc:Choice>
  </mc:AlternateContent>
  <xr:revisionPtr revIDLastSave="0" documentId="8_{37BCED6C-6169-4AE1-A50F-AEBA629E7CC8}" xr6:coauthVersionLast="47" xr6:coauthVersionMax="47" xr10:uidLastSave="{00000000-0000-0000-0000-000000000000}"/>
  <bookViews>
    <workbookView xWindow="-120" yWindow="-120" windowWidth="29040" windowHeight="15840" xr2:uid="{ABB2213D-1803-4BEC-83EB-01D831EC042D}"/>
  </bookViews>
  <sheets>
    <sheet name="Open Sales Orders" sheetId="1" r:id="rId1"/>
  </sheets>
  <definedNames>
    <definedName name="_xlnm.Print_Titles" localSheetId="0">'Open Sales Orders'!$1:$1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1" l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<sst xmlns="http://schemas.openxmlformats.org/spreadsheetml/2006/main" count="532" uniqueCount="191">
  <si>
    <t>SO Date</t>
  </si>
  <si>
    <t>Ship By</t>
  </si>
  <si>
    <t>SO No</t>
  </si>
  <si>
    <t>Customer Name</t>
  </si>
  <si>
    <t>Ship To Name</t>
  </si>
  <si>
    <t>Ship To City</t>
  </si>
  <si>
    <t>Ship To State</t>
  </si>
  <si>
    <t>Item ID</t>
  </si>
  <si>
    <t>Line Description</t>
  </si>
  <si>
    <t>Unit Price</t>
  </si>
  <si>
    <t>Qty Ordered</t>
  </si>
  <si>
    <t>Qty Shipped</t>
  </si>
  <si>
    <t>Qty Remaining</t>
  </si>
  <si>
    <t>Remaining Amt</t>
  </si>
  <si>
    <t>EC-14678-H</t>
  </si>
  <si>
    <t>South TX Lighthouse for the Blind</t>
  </si>
  <si>
    <t>Corpus Christi Army Depot</t>
  </si>
  <si>
    <t>Corpus Christi</t>
  </si>
  <si>
    <t>TX</t>
  </si>
  <si>
    <t>REPAIR</t>
  </si>
  <si>
    <t>Evaluation of PLC</t>
  </si>
  <si>
    <t>EF-14457-H</t>
  </si>
  <si>
    <t>Ergotronix Inc</t>
  </si>
  <si>
    <t/>
  </si>
  <si>
    <t>Rebuild existing EC300E3 demo unit</t>
  </si>
  <si>
    <t>EI-14633-H</t>
  </si>
  <si>
    <t>Woodward, Inc.</t>
  </si>
  <si>
    <t>Niles</t>
  </si>
  <si>
    <t>IL</t>
  </si>
  <si>
    <t>Ergo-I unit#116</t>
  </si>
  <si>
    <t>LABOR</t>
  </si>
  <si>
    <t>Labor Hours</t>
  </si>
  <si>
    <t>EIP500</t>
  </si>
  <si>
    <t>Ergo-I Circuit Board-DC</t>
  </si>
  <si>
    <t>Ergo-I $129</t>
  </si>
  <si>
    <t>Ergo-I #121</t>
  </si>
  <si>
    <t>Ergo-I #143</t>
  </si>
  <si>
    <t>EIP412</t>
  </si>
  <si>
    <t>Actuator 400 lbs.with 12" stroke - 24VDC</t>
  </si>
  <si>
    <t>EI-14700-H</t>
  </si>
  <si>
    <t>Hassel Material Handling</t>
  </si>
  <si>
    <t>Miller Electric MFG CO.</t>
  </si>
  <si>
    <t>Appleton</t>
  </si>
  <si>
    <t>WI</t>
  </si>
  <si>
    <t>EI4016-D</t>
  </si>
  <si>
    <t>Ergo-I 400 lb load /16" stroke Load Capaciity: 400 lbs. Retracted Height: 23.5" Stroke: 16" Lift Speed: 1.2"/s Voltage: 110 VAC</t>
  </si>
  <si>
    <t>EI-FP</t>
  </si>
  <si>
    <t>Foot Control w/o Guard- for Up/Down control of Ergo-I</t>
  </si>
  <si>
    <t>ET-CUSTOM MODIFICAT</t>
  </si>
  <si>
    <t>EI-14704-TK</t>
  </si>
  <si>
    <t>Philips Medical Systems</t>
  </si>
  <si>
    <t>Phillips Medical</t>
  </si>
  <si>
    <t>Latham</t>
  </si>
  <si>
    <t>NY</t>
  </si>
  <si>
    <t>EI8016-C</t>
  </si>
  <si>
    <t>Ergo-I 800 lb load /16" stroke Load Capaciity: 800 lbs. Retracted Height: 23.5" Stroke: 16" Lift Speed: 0.55"/s Voltage: 110 VAC</t>
  </si>
  <si>
    <t>EI-HP-A</t>
  </si>
  <si>
    <t>Hand Pendant for Up/Down control of Ergo-I</t>
  </si>
  <si>
    <t>MA</t>
  </si>
  <si>
    <t>ET600F-AE</t>
  </si>
  <si>
    <t>Ergo Tranz ET600F</t>
  </si>
  <si>
    <t>ET-BATIND-A</t>
  </si>
  <si>
    <t>Ergo Tranz 10-bar Battery Discharge Indicator</t>
  </si>
  <si>
    <t>ET- CUSTOM END</t>
  </si>
  <si>
    <t>ET-14433-H</t>
  </si>
  <si>
    <t>Agilix Solutions</t>
  </si>
  <si>
    <t>Memphis</t>
  </si>
  <si>
    <t>TN</t>
  </si>
  <si>
    <t>ET650-C</t>
  </si>
  <si>
    <t>Ergo Tranz ET650</t>
  </si>
  <si>
    <t>Discount</t>
  </si>
  <si>
    <t>AIR DRAULIC ENGINEERING</t>
  </si>
  <si>
    <t>Randolph</t>
  </si>
  <si>
    <t>Motion Industries, Inc.</t>
  </si>
  <si>
    <t>MI</t>
  </si>
  <si>
    <t>ETP1026</t>
  </si>
  <si>
    <t>Ergo Tranz 24V/2A Charger</t>
  </si>
  <si>
    <t>ETP1020</t>
  </si>
  <si>
    <t>24V Li-Ion Battery</t>
  </si>
  <si>
    <t>ET-14638-TK</t>
  </si>
  <si>
    <t>Dart Container Corp</t>
  </si>
  <si>
    <t>Leola</t>
  </si>
  <si>
    <t>PA</t>
  </si>
  <si>
    <t>ET250-B</t>
  </si>
  <si>
    <t>Ergo Tranz ET250</t>
  </si>
  <si>
    <t>ET-CASTER4"</t>
  </si>
  <si>
    <t>Ergo Tranz 4" Front Caster</t>
  </si>
  <si>
    <t>ETP996</t>
  </si>
  <si>
    <t>AC/DC Power Supply - SP-500-24</t>
  </si>
  <si>
    <t>ETP191</t>
  </si>
  <si>
    <t>Pendant Cradle</t>
  </si>
  <si>
    <t>32" x 16" Fixed Table</t>
  </si>
  <si>
    <t>Loadcell</t>
  </si>
  <si>
    <t>ET-14658-TK</t>
  </si>
  <si>
    <t>GE Aircraft Engines</t>
  </si>
  <si>
    <t>Lynn</t>
  </si>
  <si>
    <t>Ergo Tranz Custom End-effector Description:42" long adjustable boom with hook</t>
  </si>
  <si>
    <t>ET-EXTBASE-A</t>
  </si>
  <si>
    <t>ET-14672-H</t>
  </si>
  <si>
    <t>SCHMALZ INC</t>
  </si>
  <si>
    <t>Blue City Brewery</t>
  </si>
  <si>
    <t>ErgoTranz #1856</t>
  </si>
  <si>
    <t>ETP465</t>
  </si>
  <si>
    <t>12V/18Ah Battery</t>
  </si>
  <si>
    <t>ETP994</t>
  </si>
  <si>
    <t>Safety Switch, Hand Pendent</t>
  </si>
  <si>
    <t>ETP128</t>
  </si>
  <si>
    <t>ErgoTranz Rear Caster</t>
  </si>
  <si>
    <t>ETP956</t>
  </si>
  <si>
    <t>Power Cord</t>
  </si>
  <si>
    <t>ETP101</t>
  </si>
  <si>
    <t>Emergency Button  - T11ED01</t>
  </si>
  <si>
    <t>ETP498</t>
  </si>
  <si>
    <t>Bypass Diode-1N5822</t>
  </si>
  <si>
    <t>ETP051</t>
  </si>
  <si>
    <t>Leg Solid</t>
  </si>
  <si>
    <t>ETP062</t>
  </si>
  <si>
    <t>Handle T-Nut</t>
  </si>
  <si>
    <t>ETP063</t>
  </si>
  <si>
    <t>Handle Clamp F&amp;R</t>
  </si>
  <si>
    <t>ETP124</t>
  </si>
  <si>
    <t>478858 - TX 1.00x15.75 in 325-53 Mtrl.</t>
  </si>
  <si>
    <t>ETP109</t>
  </si>
  <si>
    <t>Transporter Handle</t>
  </si>
  <si>
    <t>ETP065</t>
  </si>
  <si>
    <t>Battery Cover Lid</t>
  </si>
  <si>
    <t>ETP411</t>
  </si>
  <si>
    <t>Clip-On 93450A110</t>
  </si>
  <si>
    <t>ETP412</t>
  </si>
  <si>
    <t>Battery Lid Wing Std-94170A525</t>
  </si>
  <si>
    <t>ETP999</t>
  </si>
  <si>
    <t>Hand Pendant - 6 Button</t>
  </si>
  <si>
    <t>Sales Discount</t>
  </si>
  <si>
    <t>ET-14683-TK</t>
  </si>
  <si>
    <t>TESLA Inc</t>
  </si>
  <si>
    <t>Buffalo</t>
  </si>
  <si>
    <t>ETP1019</t>
  </si>
  <si>
    <t>ErgoTranz Battery Rail</t>
  </si>
  <si>
    <t>ETP1034</t>
  </si>
  <si>
    <t>Battery Capacity Voltage Meter with Alarm and External Temperature Sensor for Li-Ion Batteries</t>
  </si>
  <si>
    <t>ETP1015</t>
  </si>
  <si>
    <t>Anderson Power Connector</t>
  </si>
  <si>
    <t>ETP1032</t>
  </si>
  <si>
    <t>Anderson Power Pin</t>
  </si>
  <si>
    <t>ETP470</t>
  </si>
  <si>
    <t>Battery Plug - 1-480700-0</t>
  </si>
  <si>
    <t>ETP505</t>
  </si>
  <si>
    <t>Pin Female</t>
  </si>
  <si>
    <t>ETP080</t>
  </si>
  <si>
    <t>Ergo Tranz Drive-Board</t>
  </si>
  <si>
    <t>ET-14687-H</t>
  </si>
  <si>
    <t>Kuka Systems North America LLC</t>
  </si>
  <si>
    <t>Warren</t>
  </si>
  <si>
    <t>ET-14691-TK</t>
  </si>
  <si>
    <t>Ergo Tranz Extended Base Required width:32.5"</t>
  </si>
  <si>
    <t>ETP053</t>
  </si>
  <si>
    <t>Fixed Front Caster Lock Plate</t>
  </si>
  <si>
    <t>ET-14705-TK</t>
  </si>
  <si>
    <t>Ergo Tranz Extended Base Required width:32.5</t>
  </si>
  <si>
    <t>ET-14714-H</t>
  </si>
  <si>
    <t>Vallen Distribution Inc.</t>
  </si>
  <si>
    <t>Lansing Central Distribution</t>
  </si>
  <si>
    <t>Lansing</t>
  </si>
  <si>
    <t>ETP017</t>
  </si>
  <si>
    <t>Lower Bearing Puck</t>
  </si>
  <si>
    <t>ET-14717-H</t>
  </si>
  <si>
    <t>Valley Monroe OH</t>
  </si>
  <si>
    <t>Monroe</t>
  </si>
  <si>
    <t>OH</t>
  </si>
  <si>
    <t>EIP426</t>
  </si>
  <si>
    <t>Power Cord SJT</t>
  </si>
  <si>
    <t>ETP184</t>
  </si>
  <si>
    <t>Carriage Track Roller</t>
  </si>
  <si>
    <t>ETP471</t>
  </si>
  <si>
    <t>Battery Socket - 1-480701-1</t>
  </si>
  <si>
    <t>ETP480</t>
  </si>
  <si>
    <t>Lift Motor Coupling - 6408K127</t>
  </si>
  <si>
    <t>RF-14703-H</t>
  </si>
  <si>
    <t>McMaster-Carr</t>
  </si>
  <si>
    <t>McMaster Carr Supply Company</t>
  </si>
  <si>
    <t>Aurora</t>
  </si>
  <si>
    <t>ER200S-14RG</t>
  </si>
  <si>
    <t>ERGO ROLLER IN SIMPLEX CONFIGURATION Diameter: 2" Load Capacity: 12.5 lbs. Bore: 0.26" Axle Size: 1/4" Round Gravity Width:0.65" Weight: 0.8 oz</t>
  </si>
  <si>
    <t>RF-14713-H</t>
  </si>
  <si>
    <t>Timet Division</t>
  </si>
  <si>
    <t>Toronto</t>
  </si>
  <si>
    <t>RF80D</t>
  </si>
  <si>
    <t>ROLL-FLEX  ROLLER IN DUPLEX CONFIGURATION Diameter: 3.15" (80mm) Load Capacity: 90lbs. Bore: 0.327" Axle Size: 5/16" Round Width:2.364" Weight: 8oz</t>
  </si>
  <si>
    <t>RF-14716-H</t>
  </si>
  <si>
    <t>RF50D</t>
  </si>
  <si>
    <t>ROLL-FLEX  ROLLER IN DUPLEX CONFIGURATION Diameter: 2" nominal  (50mm) Load Capacity: 25lbs. Bore: 0.327" Axle Size: 5/16" Round Width:1.536" Weight: 1.8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</si>
</sst>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right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4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DB45-723D-4919-94BD-0819295D32AD}">
  <dimension ref="A1:N75"/>
  <sheetViews>
    <sheetView tabSelected="1" workbookViewId="0">
      <pane ySplit="1" topLeftCell="A2" activePane="bottomLeft" state="frozenSplit"/>
      <selection pane="bottomLeft" activeCell="A21" sqref="A21"/>
    </sheetView>
  </sheetViews>
  <sheetFormatPr defaultRowHeight="11.25" x14ac:dyDescent="0.2"/>
  <cols>
    <col min="1" max="1" width="7.7109375" style="2" customWidth="1"/>
    <col min="2" max="2" width="6.7109375" style="2" customWidth="1"/>
    <col min="3" max="3" width="10.7109375" style="3" customWidth="1"/>
    <col min="4" max="4" width="8.7109375" style="3" customWidth="1"/>
    <col min="5" max="5" width="14.7109375" style="3" customWidth="1"/>
    <col min="6" max="7" width="8.7109375" style="3" customWidth="1"/>
    <col min="8" max="8" width="12.7109375" style="3" customWidth="1"/>
    <col min="9" max="9" width="17.7109375" style="3" customWidth="1"/>
    <col min="10" max="10" width="8.7109375" style="4" customWidth="1"/>
    <col min="11" max="11" width="4.7109375" style="4" customWidth="1"/>
    <col min="12" max="12" width="8.7109375" style="4" customWidth="1"/>
    <col min="13" max="13" width="10.7109375" style="4" customWidth="1"/>
    <col min="14" max="14" width="6.7109375" style="4" customWidth="1"/>
    <col min="15" max="16384" width="9.140625" style="1"/>
  </cols>
  <sheetData>
    <row r="1" spans="1:14" s="7" customFormat="1" ht="10.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2">
      <c r="A2" s="2">
        <v>45089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4">
        <v>500</v>
      </c>
      <c r="K2" s="4">
        <v>1</v>
      </c>
      <c r="L2" s="4">
        <v>0</v>
      </c>
      <c r="M2" s="4">
        <f t="shared" ref="M2:M21" si="0">IF((K2-L2)&gt;0, K2-L2, 0)</f>
        <v>1</v>
      </c>
      <c r="N2" s="4">
        <f>IF((500-0)&gt;0, 500-0, 0)</f>
        <v>500</v>
      </c>
    </row>
    <row r="3" spans="1:14" x14ac:dyDescent="0.2">
      <c r="A3" s="2">
        <v>44956</v>
      </c>
      <c r="B3" s="2">
        <v>45016</v>
      </c>
      <c r="C3" s="3" t="s">
        <v>21</v>
      </c>
      <c r="D3" s="3" t="s">
        <v>22</v>
      </c>
      <c r="E3" s="3" t="s">
        <v>22</v>
      </c>
      <c r="F3" s="3" t="s">
        <v>23</v>
      </c>
      <c r="G3" s="3" t="s">
        <v>23</v>
      </c>
      <c r="H3" s="3" t="s">
        <v>19</v>
      </c>
      <c r="I3" s="3" t="s">
        <v>24</v>
      </c>
      <c r="J3" s="4">
        <v>0</v>
      </c>
      <c r="K3" s="4">
        <v>1</v>
      </c>
      <c r="L3" s="4">
        <v>0</v>
      </c>
      <c r="M3" s="4">
        <f t="shared" si="0"/>
        <v>1</v>
      </c>
      <c r="N3" s="4">
        <f>IF((0-0)&gt;0, 0-0, 0)</f>
        <v>0</v>
      </c>
    </row>
    <row r="4" spans="1:14" x14ac:dyDescent="0.2">
      <c r="A4" s="2">
        <v>45096</v>
      </c>
      <c r="B4" s="2">
        <v>45100</v>
      </c>
      <c r="C4" s="3" t="s">
        <v>25</v>
      </c>
      <c r="D4" s="3" t="s">
        <v>26</v>
      </c>
      <c r="E4" s="3" t="s">
        <v>26</v>
      </c>
      <c r="F4" s="3" t="s">
        <v>27</v>
      </c>
      <c r="G4" s="3" t="s">
        <v>28</v>
      </c>
      <c r="H4" s="3" t="s">
        <v>19</v>
      </c>
      <c r="I4" s="3" t="s">
        <v>29</v>
      </c>
      <c r="J4" s="4">
        <v>0</v>
      </c>
      <c r="K4" s="4">
        <v>1</v>
      </c>
      <c r="L4" s="4">
        <v>0</v>
      </c>
      <c r="M4" s="4">
        <f t="shared" si="0"/>
        <v>1</v>
      </c>
      <c r="N4" s="4">
        <f>IF((0-0)&gt;0, 0-0, 0)</f>
        <v>0</v>
      </c>
    </row>
    <row r="5" spans="1:14" x14ac:dyDescent="0.2">
      <c r="A5" s="2">
        <v>45096</v>
      </c>
      <c r="B5" s="2">
        <v>45100</v>
      </c>
      <c r="C5" s="3" t="s">
        <v>25</v>
      </c>
      <c r="D5" s="3" t="s">
        <v>26</v>
      </c>
      <c r="E5" s="3" t="s">
        <v>26</v>
      </c>
      <c r="F5" s="3" t="s">
        <v>27</v>
      </c>
      <c r="G5" s="3" t="s">
        <v>28</v>
      </c>
      <c r="H5" s="3" t="s">
        <v>30</v>
      </c>
      <c r="I5" s="3" t="s">
        <v>31</v>
      </c>
      <c r="J5" s="4">
        <v>150</v>
      </c>
      <c r="K5" s="4">
        <v>1</v>
      </c>
      <c r="L5" s="4">
        <v>0</v>
      </c>
      <c r="M5" s="4">
        <f t="shared" si="0"/>
        <v>1</v>
      </c>
      <c r="N5" s="4">
        <f>IF((150-0)&gt;0, 150-0, 0)</f>
        <v>150</v>
      </c>
    </row>
    <row r="6" spans="1:14" x14ac:dyDescent="0.2">
      <c r="A6" s="2">
        <v>45096</v>
      </c>
      <c r="B6" s="2">
        <v>45100</v>
      </c>
      <c r="C6" s="3" t="s">
        <v>25</v>
      </c>
      <c r="D6" s="3" t="s">
        <v>26</v>
      </c>
      <c r="E6" s="3" t="s">
        <v>26</v>
      </c>
      <c r="F6" s="3" t="s">
        <v>27</v>
      </c>
      <c r="G6" s="3" t="s">
        <v>28</v>
      </c>
      <c r="H6" s="3" t="s">
        <v>32</v>
      </c>
      <c r="I6" s="3" t="s">
        <v>33</v>
      </c>
      <c r="J6" s="4">
        <v>250</v>
      </c>
      <c r="K6" s="4">
        <v>1</v>
      </c>
      <c r="L6" s="4">
        <v>0</v>
      </c>
      <c r="M6" s="4">
        <f t="shared" si="0"/>
        <v>1</v>
      </c>
      <c r="N6" s="4">
        <f>IF((250-0)&gt;0, 250-0, 0)</f>
        <v>250</v>
      </c>
    </row>
    <row r="7" spans="1:14" x14ac:dyDescent="0.2">
      <c r="A7" s="2">
        <v>45096</v>
      </c>
      <c r="B7" s="2">
        <v>45100</v>
      </c>
      <c r="C7" s="3" t="s">
        <v>25</v>
      </c>
      <c r="D7" s="3" t="s">
        <v>26</v>
      </c>
      <c r="E7" s="3" t="s">
        <v>26</v>
      </c>
      <c r="F7" s="3" t="s">
        <v>27</v>
      </c>
      <c r="G7" s="3" t="s">
        <v>28</v>
      </c>
      <c r="H7" s="3" t="s">
        <v>19</v>
      </c>
      <c r="I7" s="3" t="s">
        <v>34</v>
      </c>
      <c r="J7" s="4">
        <v>0</v>
      </c>
      <c r="K7" s="4">
        <v>1</v>
      </c>
      <c r="L7" s="4">
        <v>0</v>
      </c>
      <c r="M7" s="4">
        <f t="shared" si="0"/>
        <v>1</v>
      </c>
      <c r="N7" s="4">
        <f>IF((0-0)&gt;0, 0-0, 0)</f>
        <v>0</v>
      </c>
    </row>
    <row r="8" spans="1:14" x14ac:dyDescent="0.2">
      <c r="A8" s="2">
        <v>45096</v>
      </c>
      <c r="B8" s="2">
        <v>45100</v>
      </c>
      <c r="C8" s="3" t="s">
        <v>25</v>
      </c>
      <c r="D8" s="3" t="s">
        <v>26</v>
      </c>
      <c r="E8" s="3" t="s">
        <v>26</v>
      </c>
      <c r="F8" s="3" t="s">
        <v>27</v>
      </c>
      <c r="G8" s="3" t="s">
        <v>28</v>
      </c>
      <c r="H8" s="3" t="s">
        <v>30</v>
      </c>
      <c r="I8" s="3" t="s">
        <v>31</v>
      </c>
      <c r="J8" s="4">
        <v>150</v>
      </c>
      <c r="K8" s="4">
        <v>1</v>
      </c>
      <c r="L8" s="4">
        <v>0</v>
      </c>
      <c r="M8" s="4">
        <f t="shared" si="0"/>
        <v>1</v>
      </c>
      <c r="N8" s="4">
        <f>IF((150-0)&gt;0, 150-0, 0)</f>
        <v>150</v>
      </c>
    </row>
    <row r="9" spans="1:14" x14ac:dyDescent="0.2">
      <c r="A9" s="2">
        <v>45096</v>
      </c>
      <c r="B9" s="2">
        <v>45100</v>
      </c>
      <c r="C9" s="3" t="s">
        <v>25</v>
      </c>
      <c r="D9" s="3" t="s">
        <v>26</v>
      </c>
      <c r="E9" s="3" t="s">
        <v>26</v>
      </c>
      <c r="F9" s="3" t="s">
        <v>27</v>
      </c>
      <c r="G9" s="3" t="s">
        <v>28</v>
      </c>
      <c r="H9" s="3" t="s">
        <v>32</v>
      </c>
      <c r="I9" s="3" t="s">
        <v>33</v>
      </c>
      <c r="J9" s="4">
        <v>250</v>
      </c>
      <c r="K9" s="4">
        <v>1</v>
      </c>
      <c r="L9" s="4">
        <v>0</v>
      </c>
      <c r="M9" s="4">
        <f t="shared" si="0"/>
        <v>1</v>
      </c>
      <c r="N9" s="4">
        <f>IF((250-0)&gt;0, 250-0, 0)</f>
        <v>250</v>
      </c>
    </row>
    <row r="10" spans="1:14" x14ac:dyDescent="0.2">
      <c r="A10" s="2">
        <v>45096</v>
      </c>
      <c r="B10" s="2">
        <v>45100</v>
      </c>
      <c r="C10" s="3" t="s">
        <v>25</v>
      </c>
      <c r="D10" s="3" t="s">
        <v>26</v>
      </c>
      <c r="E10" s="3" t="s">
        <v>26</v>
      </c>
      <c r="F10" s="3" t="s">
        <v>27</v>
      </c>
      <c r="G10" s="3" t="s">
        <v>28</v>
      </c>
      <c r="H10" s="3" t="s">
        <v>19</v>
      </c>
      <c r="I10" s="3" t="s">
        <v>35</v>
      </c>
      <c r="J10" s="4">
        <v>0</v>
      </c>
      <c r="K10" s="4">
        <v>1</v>
      </c>
      <c r="L10" s="4">
        <v>0</v>
      </c>
      <c r="M10" s="4">
        <f t="shared" si="0"/>
        <v>1</v>
      </c>
      <c r="N10" s="4">
        <f>IF((0-0)&gt;0, 0-0, 0)</f>
        <v>0</v>
      </c>
    </row>
    <row r="11" spans="1:14" x14ac:dyDescent="0.2">
      <c r="A11" s="2">
        <v>45096</v>
      </c>
      <c r="B11" s="2">
        <v>45100</v>
      </c>
      <c r="C11" s="3" t="s">
        <v>25</v>
      </c>
      <c r="D11" s="3" t="s">
        <v>26</v>
      </c>
      <c r="E11" s="3" t="s">
        <v>26</v>
      </c>
      <c r="F11" s="3" t="s">
        <v>27</v>
      </c>
      <c r="G11" s="3" t="s">
        <v>28</v>
      </c>
      <c r="H11" s="3" t="s">
        <v>30</v>
      </c>
      <c r="I11" s="3" t="s">
        <v>31</v>
      </c>
      <c r="J11" s="4">
        <v>150</v>
      </c>
      <c r="K11" s="4">
        <v>1</v>
      </c>
      <c r="L11" s="4">
        <v>0</v>
      </c>
      <c r="M11" s="4">
        <f t="shared" si="0"/>
        <v>1</v>
      </c>
      <c r="N11" s="4">
        <f>IF((150-0)&gt;0, 150-0, 0)</f>
        <v>150</v>
      </c>
    </row>
    <row r="12" spans="1:14" x14ac:dyDescent="0.2">
      <c r="A12" s="2">
        <v>45096</v>
      </c>
      <c r="B12" s="2">
        <v>45100</v>
      </c>
      <c r="C12" s="3" t="s">
        <v>25</v>
      </c>
      <c r="D12" s="3" t="s">
        <v>26</v>
      </c>
      <c r="E12" s="3" t="s">
        <v>26</v>
      </c>
      <c r="F12" s="3" t="s">
        <v>27</v>
      </c>
      <c r="G12" s="3" t="s">
        <v>28</v>
      </c>
      <c r="H12" s="3" t="s">
        <v>32</v>
      </c>
      <c r="I12" s="3" t="s">
        <v>33</v>
      </c>
      <c r="J12" s="4">
        <v>250</v>
      </c>
      <c r="K12" s="4">
        <v>1</v>
      </c>
      <c r="L12" s="4">
        <v>0</v>
      </c>
      <c r="M12" s="4">
        <f t="shared" si="0"/>
        <v>1</v>
      </c>
      <c r="N12" s="4">
        <f>IF((250-0)&gt;0, 250-0, 0)</f>
        <v>250</v>
      </c>
    </row>
    <row r="13" spans="1:14" x14ac:dyDescent="0.2">
      <c r="A13" s="2">
        <v>45096</v>
      </c>
      <c r="B13" s="2">
        <v>45100</v>
      </c>
      <c r="C13" s="3" t="s">
        <v>25</v>
      </c>
      <c r="D13" s="3" t="s">
        <v>26</v>
      </c>
      <c r="E13" s="3" t="s">
        <v>26</v>
      </c>
      <c r="F13" s="3" t="s">
        <v>27</v>
      </c>
      <c r="G13" s="3" t="s">
        <v>28</v>
      </c>
      <c r="H13" s="3" t="s">
        <v>19</v>
      </c>
      <c r="I13" s="3" t="s">
        <v>36</v>
      </c>
      <c r="J13" s="4">
        <v>0</v>
      </c>
      <c r="K13" s="4">
        <v>1</v>
      </c>
      <c r="L13" s="4">
        <v>0</v>
      </c>
      <c r="M13" s="4">
        <f t="shared" si="0"/>
        <v>1</v>
      </c>
      <c r="N13" s="4">
        <f>IF((0-0)&gt;0, 0-0, 0)</f>
        <v>0</v>
      </c>
    </row>
    <row r="14" spans="1:14" x14ac:dyDescent="0.2">
      <c r="A14" s="2">
        <v>45096</v>
      </c>
      <c r="B14" s="2">
        <v>45100</v>
      </c>
      <c r="C14" s="3" t="s">
        <v>25</v>
      </c>
      <c r="D14" s="3" t="s">
        <v>26</v>
      </c>
      <c r="E14" s="3" t="s">
        <v>26</v>
      </c>
      <c r="F14" s="3" t="s">
        <v>27</v>
      </c>
      <c r="G14" s="3" t="s">
        <v>28</v>
      </c>
      <c r="H14" s="3" t="s">
        <v>30</v>
      </c>
      <c r="I14" s="3" t="s">
        <v>31</v>
      </c>
      <c r="J14" s="4">
        <v>150</v>
      </c>
      <c r="K14" s="4">
        <v>1.5</v>
      </c>
      <c r="L14" s="4">
        <v>0</v>
      </c>
      <c r="M14" s="4">
        <f t="shared" si="0"/>
        <v>1.5</v>
      </c>
      <c r="N14" s="4">
        <f>IF((225-0)&gt;0, 225-0, 0)</f>
        <v>225</v>
      </c>
    </row>
    <row r="15" spans="1:14" x14ac:dyDescent="0.2">
      <c r="A15" s="2">
        <v>45096</v>
      </c>
      <c r="B15" s="2">
        <v>45100</v>
      </c>
      <c r="C15" s="3" t="s">
        <v>25</v>
      </c>
      <c r="D15" s="3" t="s">
        <v>26</v>
      </c>
      <c r="E15" s="3" t="s">
        <v>26</v>
      </c>
      <c r="F15" s="3" t="s">
        <v>27</v>
      </c>
      <c r="G15" s="3" t="s">
        <v>28</v>
      </c>
      <c r="H15" s="3" t="s">
        <v>32</v>
      </c>
      <c r="I15" s="3" t="s">
        <v>33</v>
      </c>
      <c r="J15" s="4">
        <v>250</v>
      </c>
      <c r="K15" s="4">
        <v>1</v>
      </c>
      <c r="L15" s="4">
        <v>0</v>
      </c>
      <c r="M15" s="4">
        <f t="shared" si="0"/>
        <v>1</v>
      </c>
      <c r="N15" s="4">
        <f>IF((250-0)&gt;0, 250-0, 0)</f>
        <v>250</v>
      </c>
    </row>
    <row r="16" spans="1:14" x14ac:dyDescent="0.2">
      <c r="A16" s="2">
        <v>45096</v>
      </c>
      <c r="B16" s="2">
        <v>45100</v>
      </c>
      <c r="C16" s="3" t="s">
        <v>25</v>
      </c>
      <c r="D16" s="3" t="s">
        <v>26</v>
      </c>
      <c r="E16" s="3" t="s">
        <v>26</v>
      </c>
      <c r="F16" s="3" t="s">
        <v>27</v>
      </c>
      <c r="G16" s="3" t="s">
        <v>28</v>
      </c>
      <c r="H16" s="3" t="s">
        <v>37</v>
      </c>
      <c r="I16" s="3" t="s">
        <v>38</v>
      </c>
      <c r="J16" s="4">
        <v>350</v>
      </c>
      <c r="K16" s="4">
        <v>1</v>
      </c>
      <c r="L16" s="4">
        <v>0</v>
      </c>
      <c r="M16" s="4">
        <f t="shared" si="0"/>
        <v>1</v>
      </c>
      <c r="N16" s="4">
        <f>IF((350-0)&gt;0, 350-0, 0)</f>
        <v>350</v>
      </c>
    </row>
    <row r="17" spans="1:14" x14ac:dyDescent="0.2">
      <c r="A17" s="2">
        <v>45099</v>
      </c>
      <c r="B17" s="2">
        <v>45113</v>
      </c>
      <c r="C17" s="3" t="s">
        <v>39</v>
      </c>
      <c r="D17" s="3" t="s">
        <v>40</v>
      </c>
      <c r="E17" s="3" t="s">
        <v>41</v>
      </c>
      <c r="F17" s="3" t="s">
        <v>42</v>
      </c>
      <c r="G17" s="3" t="s">
        <v>43</v>
      </c>
      <c r="H17" s="3" t="s">
        <v>44</v>
      </c>
      <c r="I17" s="3" t="s">
        <v>45</v>
      </c>
      <c r="J17" s="4">
        <v>1460</v>
      </c>
      <c r="K17" s="4">
        <v>1</v>
      </c>
      <c r="L17" s="4">
        <v>0</v>
      </c>
      <c r="M17" s="4">
        <f t="shared" si="0"/>
        <v>1</v>
      </c>
      <c r="N17" s="4">
        <f>IF((1460-0)&gt;0, 1460-0, 0)</f>
        <v>1460</v>
      </c>
    </row>
    <row r="18" spans="1:14" x14ac:dyDescent="0.2">
      <c r="A18" s="2">
        <v>45099</v>
      </c>
      <c r="B18" s="2">
        <v>45113</v>
      </c>
      <c r="C18" s="3" t="s">
        <v>39</v>
      </c>
      <c r="D18" s="3" t="s">
        <v>40</v>
      </c>
      <c r="E18" s="3" t="s">
        <v>41</v>
      </c>
      <c r="F18" s="3" t="s">
        <v>42</v>
      </c>
      <c r="G18" s="3" t="s">
        <v>43</v>
      </c>
      <c r="H18" s="3" t="s">
        <v>46</v>
      </c>
      <c r="I18" s="3" t="s">
        <v>47</v>
      </c>
      <c r="J18" s="4">
        <v>260</v>
      </c>
      <c r="K18" s="4">
        <v>1</v>
      </c>
      <c r="L18" s="4">
        <v>0</v>
      </c>
      <c r="M18" s="4">
        <f t="shared" si="0"/>
        <v>1</v>
      </c>
      <c r="N18" s="4">
        <f>IF((260-0)&gt;0, 260-0, 0)</f>
        <v>260</v>
      </c>
    </row>
    <row r="19" spans="1:14" x14ac:dyDescent="0.2">
      <c r="A19" s="2">
        <v>45103</v>
      </c>
      <c r="B19" s="2">
        <v>45121</v>
      </c>
      <c r="C19" s="3" t="s">
        <v>49</v>
      </c>
      <c r="D19" s="3" t="s">
        <v>50</v>
      </c>
      <c r="E19" s="3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4">
        <v>1925</v>
      </c>
      <c r="K19" s="4">
        <v>1</v>
      </c>
      <c r="L19" s="4">
        <v>0</v>
      </c>
      <c r="M19" s="4">
        <f t="shared" si="0"/>
        <v>1</v>
      </c>
      <c r="N19" s="4">
        <f>IF((1925-0)&gt;0, 1925-0, 0)</f>
        <v>1925</v>
      </c>
    </row>
    <row r="20" spans="1:14" x14ac:dyDescent="0.2">
      <c r="A20" s="2">
        <v>45103</v>
      </c>
      <c r="B20" s="2">
        <v>45121</v>
      </c>
      <c r="C20" s="3" t="s">
        <v>49</v>
      </c>
      <c r="D20" s="3" t="s">
        <v>50</v>
      </c>
      <c r="E20" s="3" t="s">
        <v>51</v>
      </c>
      <c r="F20" s="3" t="s">
        <v>52</v>
      </c>
      <c r="G20" s="3" t="s">
        <v>53</v>
      </c>
      <c r="H20" s="3" t="s">
        <v>56</v>
      </c>
      <c r="I20" s="3" t="s">
        <v>57</v>
      </c>
      <c r="J20" s="4">
        <v>220</v>
      </c>
      <c r="K20" s="4">
        <v>1</v>
      </c>
      <c r="L20" s="4">
        <v>0</v>
      </c>
      <c r="M20" s="4">
        <f t="shared" si="0"/>
        <v>1</v>
      </c>
      <c r="N20" s="4">
        <f>IF((220-0)&gt;0, 220-0, 0)</f>
        <v>220</v>
      </c>
    </row>
    <row r="21" spans="1:14" x14ac:dyDescent="0.2">
      <c r="A21" s="2">
        <v>44943</v>
      </c>
      <c r="B21" s="2">
        <v>45086</v>
      </c>
      <c r="C21" s="3" t="s">
        <v>64</v>
      </c>
      <c r="D21" s="3" t="s">
        <v>65</v>
      </c>
      <c r="E21" s="3" t="s">
        <v>65</v>
      </c>
      <c r="F21" s="3" t="s">
        <v>66</v>
      </c>
      <c r="G21" s="3" t="s">
        <v>67</v>
      </c>
      <c r="H21" s="3" t="s">
        <v>68</v>
      </c>
      <c r="I21" s="3" t="s">
        <v>69</v>
      </c>
      <c r="J21" s="4">
        <v>8756</v>
      </c>
      <c r="K21" s="4">
        <v>1</v>
      </c>
      <c r="L21" s="4">
        <v>0</v>
      </c>
      <c r="M21" s="4">
        <f t="shared" si="0"/>
        <v>1</v>
      </c>
      <c r="N21" s="4">
        <f>IF((8756-0)&gt;0, 8756-0, 0)</f>
        <v>8756</v>
      </c>
    </row>
    <row r="22" spans="1:14" x14ac:dyDescent="0.2">
      <c r="A22" s="2">
        <v>45071</v>
      </c>
      <c r="B22" s="2">
        <v>45149</v>
      </c>
      <c r="C22" s="3" t="s">
        <v>79</v>
      </c>
      <c r="D22" s="3" t="s">
        <v>80</v>
      </c>
      <c r="E22" s="3" t="s">
        <v>80</v>
      </c>
      <c r="F22" s="3" t="s">
        <v>81</v>
      </c>
      <c r="G22" s="3" t="s">
        <v>82</v>
      </c>
      <c r="H22" s="3" t="s">
        <v>83</v>
      </c>
      <c r="I22" s="3" t="s">
        <v>84</v>
      </c>
      <c r="J22" s="4">
        <v>7700</v>
      </c>
      <c r="K22" s="4">
        <v>1</v>
      </c>
      <c r="L22" s="4">
        <v>0</v>
      </c>
      <c r="M22" s="4">
        <f t="shared" ref="M22:M31" si="1">IF((K22-L22)&gt;0, K22-L22, 0)</f>
        <v>1</v>
      </c>
      <c r="N22" s="4">
        <f>IF((7700-0)&gt;0, 7700-0, 0)</f>
        <v>7700</v>
      </c>
    </row>
    <row r="23" spans="1:14" x14ac:dyDescent="0.2">
      <c r="A23" s="2">
        <v>45071</v>
      </c>
      <c r="B23" s="2">
        <v>45149</v>
      </c>
      <c r="C23" s="3" t="s">
        <v>79</v>
      </c>
      <c r="D23" s="3" t="s">
        <v>80</v>
      </c>
      <c r="E23" s="3" t="s">
        <v>80</v>
      </c>
      <c r="F23" s="3" t="s">
        <v>81</v>
      </c>
      <c r="G23" s="3" t="s">
        <v>82</v>
      </c>
      <c r="H23" s="3" t="s">
        <v>85</v>
      </c>
      <c r="I23" s="3" t="s">
        <v>86</v>
      </c>
      <c r="J23" s="4">
        <v>62.5</v>
      </c>
      <c r="K23" s="4">
        <v>2</v>
      </c>
      <c r="L23" s="4">
        <v>0</v>
      </c>
      <c r="M23" s="4">
        <f t="shared" si="1"/>
        <v>2</v>
      </c>
      <c r="N23" s="4">
        <f>IF((125-0)&gt;0, 125-0, 0)</f>
        <v>125</v>
      </c>
    </row>
    <row r="24" spans="1:14" x14ac:dyDescent="0.2">
      <c r="A24" s="2">
        <v>45071</v>
      </c>
      <c r="B24" s="2">
        <v>45149</v>
      </c>
      <c r="C24" s="3" t="s">
        <v>79</v>
      </c>
      <c r="D24" s="3" t="s">
        <v>80</v>
      </c>
      <c r="E24" s="3" t="s">
        <v>80</v>
      </c>
      <c r="F24" s="3" t="s">
        <v>81</v>
      </c>
      <c r="G24" s="3" t="s">
        <v>82</v>
      </c>
      <c r="H24" s="3" t="s">
        <v>77</v>
      </c>
      <c r="I24" s="3" t="s">
        <v>78</v>
      </c>
      <c r="J24" s="4">
        <v>750</v>
      </c>
      <c r="K24" s="4">
        <v>-1</v>
      </c>
      <c r="L24" s="4">
        <v>0</v>
      </c>
      <c r="M24" s="4">
        <f t="shared" si="1"/>
        <v>0</v>
      </c>
      <c r="N24" s="4">
        <f>IF((-750-0)&gt;0, -750-0, 0)</f>
        <v>0</v>
      </c>
    </row>
    <row r="25" spans="1:14" x14ac:dyDescent="0.2">
      <c r="A25" s="2">
        <v>45071</v>
      </c>
      <c r="B25" s="2">
        <v>45149</v>
      </c>
      <c r="C25" s="3" t="s">
        <v>79</v>
      </c>
      <c r="D25" s="3" t="s">
        <v>80</v>
      </c>
      <c r="E25" s="3" t="s">
        <v>80</v>
      </c>
      <c r="F25" s="3" t="s">
        <v>81</v>
      </c>
      <c r="G25" s="3" t="s">
        <v>82</v>
      </c>
      <c r="H25" s="3" t="s">
        <v>87</v>
      </c>
      <c r="I25" s="3" t="s">
        <v>88</v>
      </c>
      <c r="J25" s="4">
        <v>625</v>
      </c>
      <c r="K25" s="4">
        <v>1</v>
      </c>
      <c r="L25" s="4">
        <v>0</v>
      </c>
      <c r="M25" s="4">
        <f t="shared" si="1"/>
        <v>1</v>
      </c>
      <c r="N25" s="4">
        <f>IF((625-0)&gt;0, 625-0, 0)</f>
        <v>625</v>
      </c>
    </row>
    <row r="26" spans="1:14" x14ac:dyDescent="0.2">
      <c r="A26" s="2">
        <v>45071</v>
      </c>
      <c r="B26" s="2">
        <v>45149</v>
      </c>
      <c r="C26" s="3" t="s">
        <v>79</v>
      </c>
      <c r="D26" s="3" t="s">
        <v>80</v>
      </c>
      <c r="E26" s="3" t="s">
        <v>80</v>
      </c>
      <c r="F26" s="3" t="s">
        <v>81</v>
      </c>
      <c r="G26" s="3" t="s">
        <v>82</v>
      </c>
      <c r="H26" s="3" t="s">
        <v>89</v>
      </c>
      <c r="I26" s="3" t="s">
        <v>90</v>
      </c>
      <c r="J26" s="4">
        <v>0</v>
      </c>
      <c r="K26" s="4">
        <v>1</v>
      </c>
      <c r="L26" s="4">
        <v>0</v>
      </c>
      <c r="M26" s="4">
        <f t="shared" si="1"/>
        <v>1</v>
      </c>
      <c r="N26" s="4">
        <f>IF((0-0)&gt;0, 0-0, 0)</f>
        <v>0</v>
      </c>
    </row>
    <row r="27" spans="1:14" x14ac:dyDescent="0.2">
      <c r="A27" s="2">
        <v>45071</v>
      </c>
      <c r="B27" s="2">
        <v>45149</v>
      </c>
      <c r="C27" s="3" t="s">
        <v>79</v>
      </c>
      <c r="D27" s="3" t="s">
        <v>80</v>
      </c>
      <c r="E27" s="3" t="s">
        <v>80</v>
      </c>
      <c r="F27" s="3" t="s">
        <v>81</v>
      </c>
      <c r="G27" s="3" t="s">
        <v>82</v>
      </c>
      <c r="H27" s="3" t="s">
        <v>63</v>
      </c>
      <c r="I27" s="3" t="s">
        <v>91</v>
      </c>
      <c r="J27" s="4">
        <v>2500</v>
      </c>
      <c r="K27" s="4">
        <v>1</v>
      </c>
      <c r="L27" s="4">
        <v>0</v>
      </c>
      <c r="M27" s="4">
        <f t="shared" si="1"/>
        <v>1</v>
      </c>
      <c r="N27" s="4">
        <f>IF((2500-0)&gt;0, 2500-0, 0)</f>
        <v>2500</v>
      </c>
    </row>
    <row r="28" spans="1:14" x14ac:dyDescent="0.2">
      <c r="A28" s="2">
        <v>45071</v>
      </c>
      <c r="B28" s="2">
        <v>45149</v>
      </c>
      <c r="C28" s="3" t="s">
        <v>79</v>
      </c>
      <c r="D28" s="3" t="s">
        <v>80</v>
      </c>
      <c r="E28" s="3" t="s">
        <v>80</v>
      </c>
      <c r="F28" s="3" t="s">
        <v>81</v>
      </c>
      <c r="G28" s="3" t="s">
        <v>82</v>
      </c>
      <c r="H28" s="3" t="s">
        <v>48</v>
      </c>
      <c r="I28" s="3" t="s">
        <v>92</v>
      </c>
      <c r="J28" s="4">
        <v>2750</v>
      </c>
      <c r="K28" s="4">
        <v>1</v>
      </c>
      <c r="L28" s="4">
        <v>0</v>
      </c>
      <c r="M28" s="4">
        <f t="shared" si="1"/>
        <v>1</v>
      </c>
      <c r="N28" s="4">
        <f>IF((2750-0)&gt;0, 2750-0, 0)</f>
        <v>2750</v>
      </c>
    </row>
    <row r="29" spans="1:14" x14ac:dyDescent="0.2">
      <c r="A29" s="2">
        <v>45082</v>
      </c>
      <c r="B29" s="2">
        <v>45163</v>
      </c>
      <c r="C29" s="3" t="s">
        <v>93</v>
      </c>
      <c r="D29" s="3" t="s">
        <v>94</v>
      </c>
      <c r="E29" s="3" t="s">
        <v>94</v>
      </c>
      <c r="F29" s="3" t="s">
        <v>95</v>
      </c>
      <c r="G29" s="3" t="s">
        <v>58</v>
      </c>
      <c r="H29" s="3" t="s">
        <v>83</v>
      </c>
      <c r="I29" s="3" t="s">
        <v>84</v>
      </c>
      <c r="J29" s="4">
        <v>7775</v>
      </c>
      <c r="K29" s="4">
        <v>1</v>
      </c>
      <c r="L29" s="4">
        <v>0</v>
      </c>
      <c r="M29" s="4">
        <f t="shared" si="1"/>
        <v>1</v>
      </c>
      <c r="N29" s="4">
        <f>IF((7775-0)&gt;0, 7775-0, 0)</f>
        <v>7775</v>
      </c>
    </row>
    <row r="30" spans="1:14" x14ac:dyDescent="0.2">
      <c r="A30" s="2">
        <v>45082</v>
      </c>
      <c r="B30" s="2">
        <v>45163</v>
      </c>
      <c r="C30" s="3" t="s">
        <v>93</v>
      </c>
      <c r="D30" s="3" t="s">
        <v>94</v>
      </c>
      <c r="E30" s="3" t="s">
        <v>94</v>
      </c>
      <c r="F30" s="3" t="s">
        <v>95</v>
      </c>
      <c r="G30" s="3" t="s">
        <v>58</v>
      </c>
      <c r="H30" s="3" t="s">
        <v>85</v>
      </c>
      <c r="I30" s="3" t="s">
        <v>86</v>
      </c>
      <c r="J30" s="4">
        <v>115</v>
      </c>
      <c r="K30" s="4">
        <v>2</v>
      </c>
      <c r="L30" s="4">
        <v>0</v>
      </c>
      <c r="M30" s="4">
        <f t="shared" si="1"/>
        <v>2</v>
      </c>
      <c r="N30" s="4">
        <f>IF((230-0)&gt;0, 230-0, 0)</f>
        <v>230</v>
      </c>
    </row>
    <row r="31" spans="1:14" x14ac:dyDescent="0.2">
      <c r="A31" s="2">
        <v>45082</v>
      </c>
      <c r="B31" s="2">
        <v>45163</v>
      </c>
      <c r="C31" s="3" t="s">
        <v>93</v>
      </c>
      <c r="D31" s="3" t="s">
        <v>94</v>
      </c>
      <c r="E31" s="3" t="s">
        <v>94</v>
      </c>
      <c r="F31" s="3" t="s">
        <v>95</v>
      </c>
      <c r="G31" s="3" t="s">
        <v>58</v>
      </c>
      <c r="H31" s="3" t="s">
        <v>63</v>
      </c>
      <c r="I31" s="3" t="s">
        <v>96</v>
      </c>
      <c r="J31" s="4">
        <v>3995</v>
      </c>
      <c r="K31" s="4">
        <v>1</v>
      </c>
      <c r="L31" s="4">
        <v>0</v>
      </c>
      <c r="M31" s="4">
        <f t="shared" si="1"/>
        <v>1</v>
      </c>
      <c r="N31" s="4">
        <f>IF((3995-0)&gt;0, 3995-0, 0)</f>
        <v>3995</v>
      </c>
    </row>
    <row r="32" spans="1:14" x14ac:dyDescent="0.2">
      <c r="A32" s="2">
        <v>45085</v>
      </c>
      <c r="C32" s="3" t="s">
        <v>98</v>
      </c>
      <c r="D32" s="3" t="s">
        <v>99</v>
      </c>
      <c r="E32" s="3" t="s">
        <v>100</v>
      </c>
      <c r="F32" s="3" t="s">
        <v>66</v>
      </c>
      <c r="G32" s="3" t="s">
        <v>67</v>
      </c>
      <c r="H32" s="3" t="s">
        <v>19</v>
      </c>
      <c r="I32" s="3" t="s">
        <v>101</v>
      </c>
      <c r="J32" s="4">
        <v>0</v>
      </c>
      <c r="K32" s="4">
        <v>1</v>
      </c>
      <c r="L32" s="4">
        <v>0</v>
      </c>
      <c r="M32" s="4">
        <f t="shared" ref="M32:M63" si="2">IF((K32-L32)&gt;0, K32-L32, 0)</f>
        <v>1</v>
      </c>
      <c r="N32" s="4">
        <f>IF((0-0)&gt;0, 0-0, 0)</f>
        <v>0</v>
      </c>
    </row>
    <row r="33" spans="1:14" x14ac:dyDescent="0.2">
      <c r="A33" s="2">
        <v>45085</v>
      </c>
      <c r="C33" s="3" t="s">
        <v>98</v>
      </c>
      <c r="D33" s="3" t="s">
        <v>99</v>
      </c>
      <c r="E33" s="3" t="s">
        <v>100</v>
      </c>
      <c r="F33" s="3" t="s">
        <v>66</v>
      </c>
      <c r="G33" s="3" t="s">
        <v>67</v>
      </c>
      <c r="H33" s="3" t="s">
        <v>102</v>
      </c>
      <c r="I33" s="3" t="s">
        <v>103</v>
      </c>
      <c r="J33" s="4">
        <v>150</v>
      </c>
      <c r="K33" s="4">
        <v>1</v>
      </c>
      <c r="L33" s="4">
        <v>0</v>
      </c>
      <c r="M33" s="4">
        <f t="shared" si="2"/>
        <v>1</v>
      </c>
      <c r="N33" s="4">
        <f>IF((150-0)&gt;0, 150-0, 0)</f>
        <v>150</v>
      </c>
    </row>
    <row r="34" spans="1:14" x14ac:dyDescent="0.2">
      <c r="A34" s="2">
        <v>45085</v>
      </c>
      <c r="C34" s="3" t="s">
        <v>98</v>
      </c>
      <c r="D34" s="3" t="s">
        <v>99</v>
      </c>
      <c r="E34" s="3" t="s">
        <v>100</v>
      </c>
      <c r="F34" s="3" t="s">
        <v>66</v>
      </c>
      <c r="G34" s="3" t="s">
        <v>67</v>
      </c>
      <c r="H34" s="3" t="s">
        <v>104</v>
      </c>
      <c r="I34" s="3" t="s">
        <v>105</v>
      </c>
      <c r="J34" s="4">
        <v>29.5</v>
      </c>
      <c r="K34" s="4">
        <v>1</v>
      </c>
      <c r="L34" s="4">
        <v>0</v>
      </c>
      <c r="M34" s="4">
        <f t="shared" si="2"/>
        <v>1</v>
      </c>
      <c r="N34" s="4">
        <f>IF((29.5-0)&gt;0, 29.5-0, 0)</f>
        <v>29.5</v>
      </c>
    </row>
    <row r="35" spans="1:14" x14ac:dyDescent="0.2">
      <c r="A35" s="2">
        <v>45085</v>
      </c>
      <c r="C35" s="3" t="s">
        <v>98</v>
      </c>
      <c r="D35" s="3" t="s">
        <v>99</v>
      </c>
      <c r="E35" s="3" t="s">
        <v>100</v>
      </c>
      <c r="F35" s="3" t="s">
        <v>66</v>
      </c>
      <c r="G35" s="3" t="s">
        <v>67</v>
      </c>
      <c r="H35" s="3" t="s">
        <v>106</v>
      </c>
      <c r="I35" s="3" t="s">
        <v>107</v>
      </c>
      <c r="J35" s="4">
        <v>150</v>
      </c>
      <c r="K35" s="4">
        <v>2</v>
      </c>
      <c r="L35" s="4">
        <v>0</v>
      </c>
      <c r="M35" s="4">
        <f t="shared" si="2"/>
        <v>2</v>
      </c>
      <c r="N35" s="4">
        <f>IF((300-0)&gt;0, 300-0, 0)</f>
        <v>300</v>
      </c>
    </row>
    <row r="36" spans="1:14" x14ac:dyDescent="0.2">
      <c r="A36" s="2">
        <v>45085</v>
      </c>
      <c r="C36" s="3" t="s">
        <v>98</v>
      </c>
      <c r="D36" s="3" t="s">
        <v>99</v>
      </c>
      <c r="E36" s="3" t="s">
        <v>100</v>
      </c>
      <c r="F36" s="3" t="s">
        <v>66</v>
      </c>
      <c r="G36" s="3" t="s">
        <v>67</v>
      </c>
      <c r="H36" s="3" t="s">
        <v>108</v>
      </c>
      <c r="I36" s="3" t="s">
        <v>109</v>
      </c>
      <c r="J36" s="4">
        <v>7.5</v>
      </c>
      <c r="K36" s="4">
        <v>1</v>
      </c>
      <c r="L36" s="4">
        <v>0</v>
      </c>
      <c r="M36" s="4">
        <f t="shared" si="2"/>
        <v>1</v>
      </c>
      <c r="N36" s="4">
        <f>IF((7.5-0)&gt;0, 7.5-0, 0)</f>
        <v>7.5</v>
      </c>
    </row>
    <row r="37" spans="1:14" x14ac:dyDescent="0.2">
      <c r="A37" s="2">
        <v>45085</v>
      </c>
      <c r="C37" s="3" t="s">
        <v>98</v>
      </c>
      <c r="D37" s="3" t="s">
        <v>99</v>
      </c>
      <c r="E37" s="3" t="s">
        <v>100</v>
      </c>
      <c r="F37" s="3" t="s">
        <v>66</v>
      </c>
      <c r="G37" s="3" t="s">
        <v>67</v>
      </c>
      <c r="H37" s="3" t="s">
        <v>110</v>
      </c>
      <c r="I37" s="3" t="s">
        <v>111</v>
      </c>
      <c r="J37" s="4">
        <v>95</v>
      </c>
      <c r="K37" s="4">
        <v>1</v>
      </c>
      <c r="L37" s="4">
        <v>0</v>
      </c>
      <c r="M37" s="4">
        <f t="shared" si="2"/>
        <v>1</v>
      </c>
      <c r="N37" s="4">
        <f>IF((95-0)&gt;0, 95-0, 0)</f>
        <v>95</v>
      </c>
    </row>
    <row r="38" spans="1:14" x14ac:dyDescent="0.2">
      <c r="A38" s="2">
        <v>45085</v>
      </c>
      <c r="C38" s="3" t="s">
        <v>98</v>
      </c>
      <c r="D38" s="3" t="s">
        <v>99</v>
      </c>
      <c r="E38" s="3" t="s">
        <v>100</v>
      </c>
      <c r="F38" s="3" t="s">
        <v>66</v>
      </c>
      <c r="G38" s="3" t="s">
        <v>67</v>
      </c>
      <c r="H38" s="3" t="s">
        <v>112</v>
      </c>
      <c r="I38" s="3" t="s">
        <v>113</v>
      </c>
      <c r="J38" s="4">
        <v>0.75</v>
      </c>
      <c r="K38" s="4">
        <v>1</v>
      </c>
      <c r="L38" s="4">
        <v>0</v>
      </c>
      <c r="M38" s="4">
        <f t="shared" si="2"/>
        <v>1</v>
      </c>
      <c r="N38" s="4">
        <f>IF((0.75-0)&gt;0, 0.75-0, 0)</f>
        <v>0.75</v>
      </c>
    </row>
    <row r="39" spans="1:14" x14ac:dyDescent="0.2">
      <c r="A39" s="2">
        <v>45085</v>
      </c>
      <c r="C39" s="3" t="s">
        <v>98</v>
      </c>
      <c r="D39" s="3" t="s">
        <v>99</v>
      </c>
      <c r="E39" s="3" t="s">
        <v>100</v>
      </c>
      <c r="F39" s="3" t="s">
        <v>66</v>
      </c>
      <c r="G39" s="3" t="s">
        <v>67</v>
      </c>
      <c r="H39" s="3" t="s">
        <v>114</v>
      </c>
      <c r="I39" s="3" t="s">
        <v>115</v>
      </c>
      <c r="J39" s="4">
        <v>125</v>
      </c>
      <c r="K39" s="4">
        <v>2</v>
      </c>
      <c r="L39" s="4">
        <v>0</v>
      </c>
      <c r="M39" s="4">
        <f t="shared" si="2"/>
        <v>2</v>
      </c>
      <c r="N39" s="4">
        <f>IF((250-0)&gt;0, 250-0, 0)</f>
        <v>250</v>
      </c>
    </row>
    <row r="40" spans="1:14" x14ac:dyDescent="0.2">
      <c r="A40" s="2">
        <v>45085</v>
      </c>
      <c r="C40" s="3" t="s">
        <v>98</v>
      </c>
      <c r="D40" s="3" t="s">
        <v>99</v>
      </c>
      <c r="E40" s="3" t="s">
        <v>100</v>
      </c>
      <c r="F40" s="3" t="s">
        <v>66</v>
      </c>
      <c r="G40" s="3" t="s">
        <v>67</v>
      </c>
      <c r="H40" s="3" t="s">
        <v>116</v>
      </c>
      <c r="I40" s="3" t="s">
        <v>117</v>
      </c>
      <c r="J40" s="4">
        <v>26.4</v>
      </c>
      <c r="K40" s="4">
        <v>1</v>
      </c>
      <c r="L40" s="4">
        <v>0</v>
      </c>
      <c r="M40" s="4">
        <f t="shared" si="2"/>
        <v>1</v>
      </c>
      <c r="N40" s="4">
        <f>IF((26.4-0)&gt;0, 26.4-0, 0)</f>
        <v>26.4</v>
      </c>
    </row>
    <row r="41" spans="1:14" x14ac:dyDescent="0.2">
      <c r="A41" s="2">
        <v>45085</v>
      </c>
      <c r="C41" s="3" t="s">
        <v>98</v>
      </c>
      <c r="D41" s="3" t="s">
        <v>99</v>
      </c>
      <c r="E41" s="3" t="s">
        <v>100</v>
      </c>
      <c r="F41" s="3" t="s">
        <v>66</v>
      </c>
      <c r="G41" s="3" t="s">
        <v>67</v>
      </c>
      <c r="H41" s="3" t="s">
        <v>118</v>
      </c>
      <c r="I41" s="3" t="s">
        <v>119</v>
      </c>
      <c r="J41" s="4">
        <v>85</v>
      </c>
      <c r="K41" s="4">
        <v>1</v>
      </c>
      <c r="L41" s="4">
        <v>0</v>
      </c>
      <c r="M41" s="4">
        <f t="shared" si="2"/>
        <v>1</v>
      </c>
      <c r="N41" s="4">
        <f>IF((85-0)&gt;0, 85-0, 0)</f>
        <v>85</v>
      </c>
    </row>
    <row r="42" spans="1:14" x14ac:dyDescent="0.2">
      <c r="A42" s="2">
        <v>45085</v>
      </c>
      <c r="C42" s="3" t="s">
        <v>98</v>
      </c>
      <c r="D42" s="3" t="s">
        <v>99</v>
      </c>
      <c r="E42" s="3" t="s">
        <v>100</v>
      </c>
      <c r="F42" s="3" t="s">
        <v>66</v>
      </c>
      <c r="G42" s="3" t="s">
        <v>67</v>
      </c>
      <c r="H42" s="3" t="s">
        <v>120</v>
      </c>
      <c r="I42" s="3" t="s">
        <v>121</v>
      </c>
      <c r="J42" s="4">
        <v>47.5</v>
      </c>
      <c r="K42" s="4">
        <v>2</v>
      </c>
      <c r="L42" s="4">
        <v>0</v>
      </c>
      <c r="M42" s="4">
        <f t="shared" si="2"/>
        <v>2</v>
      </c>
      <c r="N42" s="4">
        <f>IF((95-0)&gt;0, 95-0, 0)</f>
        <v>95</v>
      </c>
    </row>
    <row r="43" spans="1:14" x14ac:dyDescent="0.2">
      <c r="A43" s="2">
        <v>45085</v>
      </c>
      <c r="C43" s="3" t="s">
        <v>98</v>
      </c>
      <c r="D43" s="3" t="s">
        <v>99</v>
      </c>
      <c r="E43" s="3" t="s">
        <v>100</v>
      </c>
      <c r="F43" s="3" t="s">
        <v>66</v>
      </c>
      <c r="G43" s="3" t="s">
        <v>67</v>
      </c>
      <c r="H43" s="3" t="s">
        <v>122</v>
      </c>
      <c r="I43" s="3" t="s">
        <v>123</v>
      </c>
      <c r="J43" s="4">
        <v>116.76</v>
      </c>
      <c r="K43" s="4">
        <v>1</v>
      </c>
      <c r="L43" s="4">
        <v>0</v>
      </c>
      <c r="M43" s="4">
        <f t="shared" si="2"/>
        <v>1</v>
      </c>
      <c r="N43" s="4">
        <f>IF((116.76-0)&gt;0, 116.76-0, 0)</f>
        <v>116.76</v>
      </c>
    </row>
    <row r="44" spans="1:14" x14ac:dyDescent="0.2">
      <c r="A44" s="2">
        <v>45085</v>
      </c>
      <c r="C44" s="3" t="s">
        <v>98</v>
      </c>
      <c r="D44" s="3" t="s">
        <v>99</v>
      </c>
      <c r="E44" s="3" t="s">
        <v>100</v>
      </c>
      <c r="F44" s="3" t="s">
        <v>66</v>
      </c>
      <c r="G44" s="3" t="s">
        <v>67</v>
      </c>
      <c r="H44" s="3" t="s">
        <v>124</v>
      </c>
      <c r="I44" s="3" t="s">
        <v>125</v>
      </c>
      <c r="J44" s="4">
        <v>59.75</v>
      </c>
      <c r="K44" s="4">
        <v>1</v>
      </c>
      <c r="L44" s="4">
        <v>0</v>
      </c>
      <c r="M44" s="4">
        <f t="shared" si="2"/>
        <v>1</v>
      </c>
      <c r="N44" s="4">
        <f>IF((59.75-0)&gt;0, 59.75-0, 0)</f>
        <v>59.75</v>
      </c>
    </row>
    <row r="45" spans="1:14" x14ac:dyDescent="0.2">
      <c r="A45" s="2">
        <v>45085</v>
      </c>
      <c r="C45" s="3" t="s">
        <v>98</v>
      </c>
      <c r="D45" s="3" t="s">
        <v>99</v>
      </c>
      <c r="E45" s="3" t="s">
        <v>100</v>
      </c>
      <c r="F45" s="3" t="s">
        <v>66</v>
      </c>
      <c r="G45" s="3" t="s">
        <v>67</v>
      </c>
      <c r="H45" s="3" t="s">
        <v>126</v>
      </c>
      <c r="I45" s="3" t="s">
        <v>127</v>
      </c>
      <c r="J45" s="4">
        <v>1.5</v>
      </c>
      <c r="K45" s="4">
        <v>2</v>
      </c>
      <c r="L45" s="4">
        <v>0</v>
      </c>
      <c r="M45" s="4">
        <f t="shared" si="2"/>
        <v>2</v>
      </c>
      <c r="N45" s="4">
        <f>IF((3-0)&gt;0, 3-0, 0)</f>
        <v>3</v>
      </c>
    </row>
    <row r="46" spans="1:14" x14ac:dyDescent="0.2">
      <c r="A46" s="2">
        <v>45085</v>
      </c>
      <c r="C46" s="3" t="s">
        <v>98</v>
      </c>
      <c r="D46" s="3" t="s">
        <v>99</v>
      </c>
      <c r="E46" s="3" t="s">
        <v>100</v>
      </c>
      <c r="F46" s="3" t="s">
        <v>66</v>
      </c>
      <c r="G46" s="3" t="s">
        <v>67</v>
      </c>
      <c r="H46" s="3" t="s">
        <v>128</v>
      </c>
      <c r="I46" s="3" t="s">
        <v>129</v>
      </c>
      <c r="J46" s="4">
        <v>4.5</v>
      </c>
      <c r="K46" s="4">
        <v>2</v>
      </c>
      <c r="L46" s="4">
        <v>0</v>
      </c>
      <c r="M46" s="4">
        <f t="shared" si="2"/>
        <v>2</v>
      </c>
      <c r="N46" s="4">
        <f>IF((9-0)&gt;0, 9-0, 0)</f>
        <v>9</v>
      </c>
    </row>
    <row r="47" spans="1:14" x14ac:dyDescent="0.2">
      <c r="A47" s="2">
        <v>45085</v>
      </c>
      <c r="C47" s="3" t="s">
        <v>98</v>
      </c>
      <c r="D47" s="3" t="s">
        <v>99</v>
      </c>
      <c r="E47" s="3" t="s">
        <v>100</v>
      </c>
      <c r="F47" s="3" t="s">
        <v>66</v>
      </c>
      <c r="G47" s="3" t="s">
        <v>67</v>
      </c>
      <c r="H47" s="3" t="s">
        <v>30</v>
      </c>
      <c r="I47" s="3" t="s">
        <v>31</v>
      </c>
      <c r="J47" s="4">
        <v>150</v>
      </c>
      <c r="K47" s="4">
        <v>3</v>
      </c>
      <c r="L47" s="4">
        <v>0</v>
      </c>
      <c r="M47" s="4">
        <f t="shared" si="2"/>
        <v>3</v>
      </c>
      <c r="N47" s="4">
        <f>IF((450-0)&gt;0, 450-0, 0)</f>
        <v>450</v>
      </c>
    </row>
    <row r="48" spans="1:14" x14ac:dyDescent="0.2">
      <c r="A48" s="2">
        <v>45085</v>
      </c>
      <c r="C48" s="3" t="s">
        <v>98</v>
      </c>
      <c r="D48" s="3" t="s">
        <v>99</v>
      </c>
      <c r="E48" s="3" t="s">
        <v>100</v>
      </c>
      <c r="F48" s="3" t="s">
        <v>66</v>
      </c>
      <c r="G48" s="3" t="s">
        <v>67</v>
      </c>
      <c r="H48" s="3" t="s">
        <v>130</v>
      </c>
      <c r="I48" s="3" t="s">
        <v>131</v>
      </c>
      <c r="J48" s="4">
        <v>275</v>
      </c>
      <c r="K48" s="4">
        <v>1</v>
      </c>
      <c r="L48" s="4">
        <v>0</v>
      </c>
      <c r="M48" s="4">
        <f t="shared" si="2"/>
        <v>1</v>
      </c>
      <c r="N48" s="4">
        <f>IF((275-0)&gt;0, 275-0, 0)</f>
        <v>275</v>
      </c>
    </row>
    <row r="49" spans="1:14" x14ac:dyDescent="0.2">
      <c r="A49" s="2">
        <v>45085</v>
      </c>
      <c r="C49" s="3" t="s">
        <v>98</v>
      </c>
      <c r="D49" s="3" t="s">
        <v>99</v>
      </c>
      <c r="E49" s="3" t="s">
        <v>100</v>
      </c>
      <c r="F49" s="3" t="s">
        <v>66</v>
      </c>
      <c r="G49" s="3" t="s">
        <v>67</v>
      </c>
      <c r="H49" s="3" t="s">
        <v>70</v>
      </c>
      <c r="I49" s="3" t="s">
        <v>132</v>
      </c>
      <c r="J49" s="4">
        <v>-390.53</v>
      </c>
      <c r="K49" s="4">
        <v>1</v>
      </c>
      <c r="L49" s="4">
        <v>0</v>
      </c>
      <c r="M49" s="4">
        <f t="shared" si="2"/>
        <v>1</v>
      </c>
      <c r="N49" s="4">
        <f>IF((-390.53-0)&gt;0, -390.53-0, 0)</f>
        <v>0</v>
      </c>
    </row>
    <row r="50" spans="1:14" x14ac:dyDescent="0.2">
      <c r="A50" s="2">
        <v>45090</v>
      </c>
      <c r="C50" s="3" t="s">
        <v>133</v>
      </c>
      <c r="D50" s="3" t="s">
        <v>134</v>
      </c>
      <c r="E50" s="3" t="s">
        <v>134</v>
      </c>
      <c r="F50" s="3" t="s">
        <v>135</v>
      </c>
      <c r="G50" s="3" t="s">
        <v>53</v>
      </c>
      <c r="H50" s="3" t="s">
        <v>136</v>
      </c>
      <c r="I50" s="3" t="s">
        <v>137</v>
      </c>
      <c r="J50" s="4">
        <v>80</v>
      </c>
      <c r="K50" s="4">
        <v>1</v>
      </c>
      <c r="L50" s="4">
        <v>0</v>
      </c>
      <c r="M50" s="4">
        <f t="shared" si="2"/>
        <v>1</v>
      </c>
      <c r="N50" s="4">
        <f>IF((80-0)&gt;0, 80-0, 0)</f>
        <v>80</v>
      </c>
    </row>
    <row r="51" spans="1:14" x14ac:dyDescent="0.2">
      <c r="A51" s="2">
        <v>45090</v>
      </c>
      <c r="C51" s="3" t="s">
        <v>133</v>
      </c>
      <c r="D51" s="3" t="s">
        <v>134</v>
      </c>
      <c r="E51" s="3" t="s">
        <v>134</v>
      </c>
      <c r="F51" s="3" t="s">
        <v>135</v>
      </c>
      <c r="G51" s="3" t="s">
        <v>53</v>
      </c>
      <c r="H51" s="3" t="s">
        <v>138</v>
      </c>
      <c r="I51" s="3" t="s">
        <v>139</v>
      </c>
      <c r="J51" s="4">
        <v>0</v>
      </c>
      <c r="K51" s="4">
        <v>1</v>
      </c>
      <c r="L51" s="4">
        <v>0</v>
      </c>
      <c r="M51" s="4">
        <f t="shared" si="2"/>
        <v>1</v>
      </c>
      <c r="N51" s="4">
        <f t="shared" ref="N51:N56" si="3">IF((0-0)&gt;0, 0-0, 0)</f>
        <v>0</v>
      </c>
    </row>
    <row r="52" spans="1:14" x14ac:dyDescent="0.2">
      <c r="A52" s="2">
        <v>45090</v>
      </c>
      <c r="C52" s="3" t="s">
        <v>133</v>
      </c>
      <c r="D52" s="3" t="s">
        <v>134</v>
      </c>
      <c r="E52" s="3" t="s">
        <v>134</v>
      </c>
      <c r="F52" s="3" t="s">
        <v>135</v>
      </c>
      <c r="G52" s="3" t="s">
        <v>53</v>
      </c>
      <c r="H52" s="3" t="s">
        <v>140</v>
      </c>
      <c r="I52" s="3" t="s">
        <v>141</v>
      </c>
      <c r="J52" s="4">
        <v>0</v>
      </c>
      <c r="K52" s="4">
        <v>1</v>
      </c>
      <c r="L52" s="4">
        <v>0</v>
      </c>
      <c r="M52" s="4">
        <f t="shared" si="2"/>
        <v>1</v>
      </c>
      <c r="N52" s="4">
        <f t="shared" si="3"/>
        <v>0</v>
      </c>
    </row>
    <row r="53" spans="1:14" x14ac:dyDescent="0.2">
      <c r="A53" s="2">
        <v>45090</v>
      </c>
      <c r="C53" s="3" t="s">
        <v>133</v>
      </c>
      <c r="D53" s="3" t="s">
        <v>134</v>
      </c>
      <c r="E53" s="3" t="s">
        <v>134</v>
      </c>
      <c r="F53" s="3" t="s">
        <v>135</v>
      </c>
      <c r="G53" s="3" t="s">
        <v>53</v>
      </c>
      <c r="H53" s="3" t="s">
        <v>142</v>
      </c>
      <c r="I53" s="3" t="s">
        <v>143</v>
      </c>
      <c r="J53" s="4">
        <v>0</v>
      </c>
      <c r="K53" s="4">
        <v>2</v>
      </c>
      <c r="L53" s="4">
        <v>0</v>
      </c>
      <c r="M53" s="4">
        <f t="shared" si="2"/>
        <v>2</v>
      </c>
      <c r="N53" s="4">
        <f t="shared" si="3"/>
        <v>0</v>
      </c>
    </row>
    <row r="54" spans="1:14" x14ac:dyDescent="0.2">
      <c r="A54" s="2">
        <v>45090</v>
      </c>
      <c r="C54" s="3" t="s">
        <v>133</v>
      </c>
      <c r="D54" s="3" t="s">
        <v>134</v>
      </c>
      <c r="E54" s="3" t="s">
        <v>134</v>
      </c>
      <c r="F54" s="3" t="s">
        <v>135</v>
      </c>
      <c r="G54" s="3" t="s">
        <v>53</v>
      </c>
      <c r="H54" s="3" t="s">
        <v>75</v>
      </c>
      <c r="I54" s="3" t="s">
        <v>76</v>
      </c>
      <c r="J54" s="4">
        <v>0</v>
      </c>
      <c r="K54" s="4">
        <v>1</v>
      </c>
      <c r="L54" s="4">
        <v>0</v>
      </c>
      <c r="M54" s="4">
        <f t="shared" si="2"/>
        <v>1</v>
      </c>
      <c r="N54" s="4">
        <f t="shared" si="3"/>
        <v>0</v>
      </c>
    </row>
    <row r="55" spans="1:14" x14ac:dyDescent="0.2">
      <c r="A55" s="2">
        <v>45090</v>
      </c>
      <c r="C55" s="3" t="s">
        <v>133</v>
      </c>
      <c r="D55" s="3" t="s">
        <v>134</v>
      </c>
      <c r="E55" s="3" t="s">
        <v>134</v>
      </c>
      <c r="F55" s="3" t="s">
        <v>135</v>
      </c>
      <c r="G55" s="3" t="s">
        <v>53</v>
      </c>
      <c r="H55" s="3" t="s">
        <v>144</v>
      </c>
      <c r="I55" s="3" t="s">
        <v>145</v>
      </c>
      <c r="J55" s="4">
        <v>0</v>
      </c>
      <c r="K55" s="4">
        <v>2</v>
      </c>
      <c r="L55" s="4">
        <v>0</v>
      </c>
      <c r="M55" s="4">
        <f t="shared" si="2"/>
        <v>2</v>
      </c>
      <c r="N55" s="4">
        <f t="shared" si="3"/>
        <v>0</v>
      </c>
    </row>
    <row r="56" spans="1:14" x14ac:dyDescent="0.2">
      <c r="A56" s="2">
        <v>45090</v>
      </c>
      <c r="C56" s="3" t="s">
        <v>133</v>
      </c>
      <c r="D56" s="3" t="s">
        <v>134</v>
      </c>
      <c r="E56" s="3" t="s">
        <v>134</v>
      </c>
      <c r="F56" s="3" t="s">
        <v>135</v>
      </c>
      <c r="G56" s="3" t="s">
        <v>53</v>
      </c>
      <c r="H56" s="3" t="s">
        <v>146</v>
      </c>
      <c r="I56" s="3" t="s">
        <v>147</v>
      </c>
      <c r="J56" s="4">
        <v>0</v>
      </c>
      <c r="K56" s="4">
        <v>2</v>
      </c>
      <c r="L56" s="4">
        <v>0</v>
      </c>
      <c r="M56" s="4">
        <f t="shared" si="2"/>
        <v>2</v>
      </c>
      <c r="N56" s="4">
        <f t="shared" si="3"/>
        <v>0</v>
      </c>
    </row>
    <row r="57" spans="1:14" x14ac:dyDescent="0.2">
      <c r="A57" s="2">
        <v>45090</v>
      </c>
      <c r="C57" s="3" t="s">
        <v>133</v>
      </c>
      <c r="D57" s="3" t="s">
        <v>134</v>
      </c>
      <c r="E57" s="3" t="s">
        <v>134</v>
      </c>
      <c r="F57" s="3" t="s">
        <v>135</v>
      </c>
      <c r="G57" s="3" t="s">
        <v>53</v>
      </c>
      <c r="H57" s="3" t="s">
        <v>148</v>
      </c>
      <c r="I57" s="3" t="s">
        <v>149</v>
      </c>
      <c r="J57" s="4">
        <v>850</v>
      </c>
      <c r="K57" s="4">
        <v>1</v>
      </c>
      <c r="L57" s="4">
        <v>0</v>
      </c>
      <c r="M57" s="4">
        <f t="shared" si="2"/>
        <v>1</v>
      </c>
      <c r="N57" s="4">
        <f>IF((850-0)&gt;0, 850-0, 0)</f>
        <v>850</v>
      </c>
    </row>
    <row r="58" spans="1:14" x14ac:dyDescent="0.2">
      <c r="A58" s="2">
        <v>45090</v>
      </c>
      <c r="C58" s="3" t="s">
        <v>133</v>
      </c>
      <c r="D58" s="3" t="s">
        <v>134</v>
      </c>
      <c r="E58" s="3" t="s">
        <v>134</v>
      </c>
      <c r="F58" s="3" t="s">
        <v>135</v>
      </c>
      <c r="G58" s="3" t="s">
        <v>53</v>
      </c>
      <c r="H58" s="3" t="s">
        <v>77</v>
      </c>
      <c r="I58" s="3" t="s">
        <v>78</v>
      </c>
      <c r="J58" s="4">
        <v>750</v>
      </c>
      <c r="K58" s="4">
        <v>1</v>
      </c>
      <c r="L58" s="4">
        <v>0</v>
      </c>
      <c r="M58" s="4">
        <f t="shared" si="2"/>
        <v>1</v>
      </c>
      <c r="N58" s="4">
        <f>IF((750-0)&gt;0, 750-0, 0)</f>
        <v>750</v>
      </c>
    </row>
    <row r="59" spans="1:14" x14ac:dyDescent="0.2">
      <c r="A59" s="2">
        <v>45091</v>
      </c>
      <c r="B59" s="2">
        <v>45126</v>
      </c>
      <c r="C59" s="3" t="s">
        <v>150</v>
      </c>
      <c r="D59" s="3" t="s">
        <v>23</v>
      </c>
      <c r="E59" s="3" t="s">
        <v>151</v>
      </c>
      <c r="F59" s="3" t="s">
        <v>152</v>
      </c>
      <c r="G59" s="3" t="s">
        <v>74</v>
      </c>
      <c r="H59" s="3" t="s">
        <v>68</v>
      </c>
      <c r="I59" s="3" t="s">
        <v>69</v>
      </c>
      <c r="J59" s="4">
        <v>10945</v>
      </c>
      <c r="K59" s="4">
        <v>4</v>
      </c>
      <c r="L59" s="4">
        <v>0</v>
      </c>
      <c r="M59" s="4">
        <f t="shared" si="2"/>
        <v>4</v>
      </c>
      <c r="N59" s="4">
        <f>IF((43780-0)&gt;0, 43780-0, 0)</f>
        <v>43780</v>
      </c>
    </row>
    <row r="60" spans="1:14" x14ac:dyDescent="0.2">
      <c r="A60" s="2">
        <v>45093</v>
      </c>
      <c r="B60" s="2">
        <v>45138</v>
      </c>
      <c r="C60" s="3" t="s">
        <v>153</v>
      </c>
      <c r="D60" s="3" t="s">
        <v>71</v>
      </c>
      <c r="E60" s="3" t="s">
        <v>71</v>
      </c>
      <c r="F60" s="3" t="s">
        <v>72</v>
      </c>
      <c r="G60" s="3" t="s">
        <v>58</v>
      </c>
      <c r="H60" s="3" t="s">
        <v>59</v>
      </c>
      <c r="I60" s="3" t="s">
        <v>60</v>
      </c>
      <c r="J60" s="4">
        <v>8756</v>
      </c>
      <c r="K60" s="4">
        <v>1</v>
      </c>
      <c r="L60" s="4">
        <v>0</v>
      </c>
      <c r="M60" s="4">
        <f t="shared" si="2"/>
        <v>1</v>
      </c>
      <c r="N60" s="4">
        <f>IF((8756-0)&gt;0, 8756-0, 0)</f>
        <v>8756</v>
      </c>
    </row>
    <row r="61" spans="1:14" x14ac:dyDescent="0.2">
      <c r="A61" s="2">
        <v>45093</v>
      </c>
      <c r="B61" s="2">
        <v>45138</v>
      </c>
      <c r="C61" s="3" t="s">
        <v>153</v>
      </c>
      <c r="D61" s="3" t="s">
        <v>71</v>
      </c>
      <c r="E61" s="3" t="s">
        <v>71</v>
      </c>
      <c r="F61" s="3" t="s">
        <v>72</v>
      </c>
      <c r="G61" s="3" t="s">
        <v>58</v>
      </c>
      <c r="H61" s="3" t="s">
        <v>97</v>
      </c>
      <c r="I61" s="3" t="s">
        <v>154</v>
      </c>
      <c r="J61" s="4">
        <v>1800</v>
      </c>
      <c r="K61" s="4">
        <v>1</v>
      </c>
      <c r="L61" s="4">
        <v>0</v>
      </c>
      <c r="M61" s="4">
        <f t="shared" si="2"/>
        <v>1</v>
      </c>
      <c r="N61" s="4">
        <f>IF((1800-0)&gt;0, 1800-0, 0)</f>
        <v>1800</v>
      </c>
    </row>
    <row r="62" spans="1:14" x14ac:dyDescent="0.2">
      <c r="A62" s="2">
        <v>45093</v>
      </c>
      <c r="B62" s="2">
        <v>45138</v>
      </c>
      <c r="C62" s="3" t="s">
        <v>153</v>
      </c>
      <c r="D62" s="3" t="s">
        <v>71</v>
      </c>
      <c r="E62" s="3" t="s">
        <v>71</v>
      </c>
      <c r="F62" s="3" t="s">
        <v>72</v>
      </c>
      <c r="G62" s="3" t="s">
        <v>58</v>
      </c>
      <c r="H62" s="3" t="s">
        <v>61</v>
      </c>
      <c r="I62" s="3" t="s">
        <v>62</v>
      </c>
      <c r="J62" s="4">
        <v>0</v>
      </c>
      <c r="K62" s="4">
        <v>1</v>
      </c>
      <c r="L62" s="4">
        <v>0</v>
      </c>
      <c r="M62" s="4">
        <f t="shared" si="2"/>
        <v>1</v>
      </c>
      <c r="N62" s="4">
        <f>IF((0-0)&gt;0, 0-0, 0)</f>
        <v>0</v>
      </c>
    </row>
    <row r="63" spans="1:14" x14ac:dyDescent="0.2">
      <c r="A63" s="2">
        <v>45093</v>
      </c>
      <c r="B63" s="2">
        <v>45138</v>
      </c>
      <c r="C63" s="3" t="s">
        <v>153</v>
      </c>
      <c r="D63" s="3" t="s">
        <v>71</v>
      </c>
      <c r="E63" s="3" t="s">
        <v>71</v>
      </c>
      <c r="F63" s="3" t="s">
        <v>72</v>
      </c>
      <c r="G63" s="3" t="s">
        <v>58</v>
      </c>
      <c r="H63" s="3" t="s">
        <v>155</v>
      </c>
      <c r="I63" s="3" t="s">
        <v>156</v>
      </c>
      <c r="J63" s="4">
        <v>20</v>
      </c>
      <c r="K63" s="4">
        <v>2</v>
      </c>
      <c r="L63" s="4">
        <v>0</v>
      </c>
      <c r="M63" s="4">
        <f t="shared" si="2"/>
        <v>2</v>
      </c>
      <c r="N63" s="4">
        <f>IF((40-0)&gt;0, 40-0, 0)</f>
        <v>40</v>
      </c>
    </row>
    <row r="64" spans="1:14" x14ac:dyDescent="0.2">
      <c r="A64" s="2">
        <v>45103</v>
      </c>
      <c r="B64" s="2">
        <v>45138</v>
      </c>
      <c r="C64" s="3" t="s">
        <v>157</v>
      </c>
      <c r="D64" s="3" t="s">
        <v>71</v>
      </c>
      <c r="E64" s="3" t="s">
        <v>71</v>
      </c>
      <c r="F64" s="3" t="s">
        <v>72</v>
      </c>
      <c r="G64" s="3" t="s">
        <v>58</v>
      </c>
      <c r="H64" s="3" t="s">
        <v>59</v>
      </c>
      <c r="I64" s="3" t="s">
        <v>60</v>
      </c>
      <c r="J64" s="4">
        <v>8796</v>
      </c>
      <c r="K64" s="4">
        <v>6</v>
      </c>
      <c r="L64" s="4">
        <v>0</v>
      </c>
      <c r="M64" s="4">
        <f t="shared" ref="M64:M75" si="4">IF((K64-L64)&gt;0, K64-L64, 0)</f>
        <v>6</v>
      </c>
      <c r="N64" s="4">
        <f>IF((52776-0)&gt;0, 52776-0, 0)</f>
        <v>52776</v>
      </c>
    </row>
    <row r="65" spans="1:14" x14ac:dyDescent="0.2">
      <c r="A65" s="2">
        <v>45103</v>
      </c>
      <c r="B65" s="2">
        <v>45138</v>
      </c>
      <c r="C65" s="3" t="s">
        <v>157</v>
      </c>
      <c r="D65" s="3" t="s">
        <v>71</v>
      </c>
      <c r="E65" s="3" t="s">
        <v>71</v>
      </c>
      <c r="F65" s="3" t="s">
        <v>72</v>
      </c>
      <c r="G65" s="3" t="s">
        <v>58</v>
      </c>
      <c r="H65" s="3" t="s">
        <v>155</v>
      </c>
      <c r="I65" s="3" t="s">
        <v>156</v>
      </c>
      <c r="J65" s="4">
        <v>0</v>
      </c>
      <c r="K65" s="4">
        <v>6</v>
      </c>
      <c r="L65" s="4">
        <v>0</v>
      </c>
      <c r="M65" s="4">
        <f t="shared" si="4"/>
        <v>6</v>
      </c>
      <c r="N65" s="4">
        <f>IF((0-0)&gt;0, 0-0, 0)</f>
        <v>0</v>
      </c>
    </row>
    <row r="66" spans="1:14" x14ac:dyDescent="0.2">
      <c r="A66" s="2">
        <v>45103</v>
      </c>
      <c r="B66" s="2">
        <v>45138</v>
      </c>
      <c r="C66" s="3" t="s">
        <v>157</v>
      </c>
      <c r="D66" s="3" t="s">
        <v>71</v>
      </c>
      <c r="E66" s="3" t="s">
        <v>71</v>
      </c>
      <c r="F66" s="3" t="s">
        <v>72</v>
      </c>
      <c r="G66" s="3" t="s">
        <v>58</v>
      </c>
      <c r="H66" s="3" t="s">
        <v>97</v>
      </c>
      <c r="I66" s="3" t="s">
        <v>158</v>
      </c>
      <c r="J66" s="4">
        <v>1800</v>
      </c>
      <c r="K66" s="4">
        <v>6</v>
      </c>
      <c r="L66" s="4">
        <v>0</v>
      </c>
      <c r="M66" s="4">
        <f t="shared" si="4"/>
        <v>6</v>
      </c>
      <c r="N66" s="4">
        <f>IF((10800-0)&gt;0, 10800-0, 0)</f>
        <v>10800</v>
      </c>
    </row>
    <row r="67" spans="1:14" x14ac:dyDescent="0.2">
      <c r="A67" s="2">
        <v>45103</v>
      </c>
      <c r="B67" s="2">
        <v>45138</v>
      </c>
      <c r="C67" s="3" t="s">
        <v>157</v>
      </c>
      <c r="D67" s="3" t="s">
        <v>71</v>
      </c>
      <c r="E67" s="3" t="s">
        <v>71</v>
      </c>
      <c r="F67" s="3" t="s">
        <v>72</v>
      </c>
      <c r="G67" s="3" t="s">
        <v>58</v>
      </c>
      <c r="H67" s="3" t="s">
        <v>61</v>
      </c>
      <c r="I67" s="3" t="s">
        <v>62</v>
      </c>
      <c r="J67" s="4">
        <v>0</v>
      </c>
      <c r="K67" s="4">
        <v>6</v>
      </c>
      <c r="L67" s="4">
        <v>0</v>
      </c>
      <c r="M67" s="4">
        <f t="shared" si="4"/>
        <v>6</v>
      </c>
      <c r="N67" s="4">
        <f>IF((0-0)&gt;0, 0-0, 0)</f>
        <v>0</v>
      </c>
    </row>
    <row r="68" spans="1:14" x14ac:dyDescent="0.2">
      <c r="A68" s="2">
        <v>45107</v>
      </c>
      <c r="B68" s="2">
        <v>45114</v>
      </c>
      <c r="C68" s="3" t="s">
        <v>159</v>
      </c>
      <c r="D68" s="3" t="s">
        <v>160</v>
      </c>
      <c r="E68" s="3" t="s">
        <v>161</v>
      </c>
      <c r="F68" s="3" t="s">
        <v>162</v>
      </c>
      <c r="G68" s="3" t="s">
        <v>74</v>
      </c>
      <c r="H68" s="3" t="s">
        <v>163</v>
      </c>
      <c r="I68" s="3" t="s">
        <v>164</v>
      </c>
      <c r="J68" s="4">
        <v>52</v>
      </c>
      <c r="K68" s="4">
        <v>2</v>
      </c>
      <c r="L68" s="4">
        <v>0</v>
      </c>
      <c r="M68" s="4">
        <f t="shared" si="4"/>
        <v>2</v>
      </c>
      <c r="N68" s="4">
        <f>IF((104-0)&gt;0, 104-0, 0)</f>
        <v>104</v>
      </c>
    </row>
    <row r="69" spans="1:14" x14ac:dyDescent="0.2">
      <c r="A69" s="2">
        <v>45113</v>
      </c>
      <c r="B69" s="2">
        <v>45113</v>
      </c>
      <c r="C69" s="3" t="s">
        <v>165</v>
      </c>
      <c r="D69" s="3" t="s">
        <v>160</v>
      </c>
      <c r="E69" s="3" t="s">
        <v>166</v>
      </c>
      <c r="F69" s="3" t="s">
        <v>167</v>
      </c>
      <c r="G69" s="3" t="s">
        <v>168</v>
      </c>
      <c r="H69" s="3" t="s">
        <v>169</v>
      </c>
      <c r="I69" s="3" t="s">
        <v>170</v>
      </c>
      <c r="J69" s="4">
        <v>15</v>
      </c>
      <c r="K69" s="4">
        <v>1</v>
      </c>
      <c r="L69" s="4">
        <v>0</v>
      </c>
      <c r="M69" s="4">
        <f t="shared" si="4"/>
        <v>1</v>
      </c>
      <c r="N69" s="4">
        <f>IF((15-0)&gt;0, 15-0, 0)</f>
        <v>15</v>
      </c>
    </row>
    <row r="70" spans="1:14" x14ac:dyDescent="0.2">
      <c r="A70" s="2">
        <v>45113</v>
      </c>
      <c r="B70" s="2">
        <v>45113</v>
      </c>
      <c r="C70" s="3" t="s">
        <v>165</v>
      </c>
      <c r="D70" s="3" t="s">
        <v>160</v>
      </c>
      <c r="E70" s="3" t="s">
        <v>166</v>
      </c>
      <c r="F70" s="3" t="s">
        <v>167</v>
      </c>
      <c r="G70" s="3" t="s">
        <v>168</v>
      </c>
      <c r="H70" s="3" t="s">
        <v>171</v>
      </c>
      <c r="I70" s="3" t="s">
        <v>172</v>
      </c>
      <c r="J70" s="4">
        <v>35.5</v>
      </c>
      <c r="K70" s="4">
        <v>1</v>
      </c>
      <c r="L70" s="4">
        <v>0</v>
      </c>
      <c r="M70" s="4">
        <f t="shared" si="4"/>
        <v>1</v>
      </c>
      <c r="N70" s="4">
        <f>IF((35.5-0)&gt;0, 35.5-0, 0)</f>
        <v>35.5</v>
      </c>
    </row>
    <row r="71" spans="1:14" x14ac:dyDescent="0.2">
      <c r="A71" s="2">
        <v>45113</v>
      </c>
      <c r="B71" s="2">
        <v>45113</v>
      </c>
      <c r="C71" s="3" t="s">
        <v>165</v>
      </c>
      <c r="D71" s="3" t="s">
        <v>160</v>
      </c>
      <c r="E71" s="3" t="s">
        <v>166</v>
      </c>
      <c r="F71" s="3" t="s">
        <v>167</v>
      </c>
      <c r="G71" s="3" t="s">
        <v>168</v>
      </c>
      <c r="H71" s="3" t="s">
        <v>173</v>
      </c>
      <c r="I71" s="3" t="s">
        <v>174</v>
      </c>
      <c r="J71" s="4">
        <v>1.25</v>
      </c>
      <c r="K71" s="4">
        <v>4</v>
      </c>
      <c r="L71" s="4">
        <v>0</v>
      </c>
      <c r="M71" s="4">
        <f t="shared" si="4"/>
        <v>4</v>
      </c>
      <c r="N71" s="4">
        <f>IF((5-0)&gt;0, 5-0, 0)</f>
        <v>5</v>
      </c>
    </row>
    <row r="72" spans="1:14" x14ac:dyDescent="0.2">
      <c r="A72" s="2">
        <v>45113</v>
      </c>
      <c r="B72" s="2">
        <v>45113</v>
      </c>
      <c r="C72" s="3" t="s">
        <v>165</v>
      </c>
      <c r="D72" s="3" t="s">
        <v>160</v>
      </c>
      <c r="E72" s="3" t="s">
        <v>166</v>
      </c>
      <c r="F72" s="3" t="s">
        <v>167</v>
      </c>
      <c r="G72" s="3" t="s">
        <v>168</v>
      </c>
      <c r="H72" s="3" t="s">
        <v>175</v>
      </c>
      <c r="I72" s="3" t="s">
        <v>176</v>
      </c>
      <c r="J72" s="4">
        <v>28.25</v>
      </c>
      <c r="K72" s="4">
        <v>2</v>
      </c>
      <c r="L72" s="4">
        <v>0</v>
      </c>
      <c r="M72" s="4">
        <f t="shared" si="4"/>
        <v>2</v>
      </c>
      <c r="N72" s="4">
        <f>IF((56.5-0)&gt;0, 56.5-0, 0)</f>
        <v>56.5</v>
      </c>
    </row>
    <row r="73" spans="1:14" x14ac:dyDescent="0.2">
      <c r="A73" s="2">
        <v>45103</v>
      </c>
      <c r="B73" s="2">
        <v>45104</v>
      </c>
      <c r="C73" s="3" t="s">
        <v>177</v>
      </c>
      <c r="D73" s="3" t="s">
        <v>178</v>
      </c>
      <c r="E73" s="3" t="s">
        <v>179</v>
      </c>
      <c r="F73" s="3" t="s">
        <v>180</v>
      </c>
      <c r="G73" s="3" t="s">
        <v>168</v>
      </c>
      <c r="H73" s="3" t="s">
        <v>181</v>
      </c>
      <c r="I73" s="3" t="s">
        <v>182</v>
      </c>
      <c r="J73" s="4">
        <v>5.5</v>
      </c>
      <c r="K73" s="4">
        <v>35</v>
      </c>
      <c r="L73" s="4">
        <v>0</v>
      </c>
      <c r="M73" s="4">
        <f t="shared" si="4"/>
        <v>35</v>
      </c>
      <c r="N73" s="4">
        <f>IF((192.5-0)&gt;0, 192.5-0, 0)</f>
        <v>192.5</v>
      </c>
    </row>
    <row r="74" spans="1:14" x14ac:dyDescent="0.2">
      <c r="A74" s="2">
        <v>45107</v>
      </c>
      <c r="B74" s="2">
        <v>45114</v>
      </c>
      <c r="C74" s="3" t="s">
        <v>183</v>
      </c>
      <c r="D74" s="3" t="s">
        <v>73</v>
      </c>
      <c r="E74" s="3" t="s">
        <v>184</v>
      </c>
      <c r="F74" s="3" t="s">
        <v>185</v>
      </c>
      <c r="G74" s="3" t="s">
        <v>168</v>
      </c>
      <c r="H74" s="3" t="s">
        <v>186</v>
      </c>
      <c r="I74" s="3" t="s">
        <v>187</v>
      </c>
      <c r="J74" s="4">
        <v>20</v>
      </c>
      <c r="K74" s="4">
        <v>100</v>
      </c>
      <c r="L74" s="4">
        <v>0</v>
      </c>
      <c r="M74" s="4">
        <f t="shared" si="4"/>
        <v>100</v>
      </c>
      <c r="N74" s="4">
        <f>IF((2000-0)&gt;0, 2000-0, 0)</f>
        <v>2000</v>
      </c>
    </row>
    <row r="75" spans="1:14" ht="12" thickBot="1" x14ac:dyDescent="0.25">
      <c r="A75" s="8">
        <v>45112</v>
      </c>
      <c r="B75" s="8">
        <v>45114</v>
      </c>
      <c r="C75" s="9" t="s">
        <v>188</v>
      </c>
      <c r="D75" s="9" t="s">
        <v>178</v>
      </c>
      <c r="E75" s="9" t="s">
        <v>179</v>
      </c>
      <c r="F75" s="9" t="s">
        <v>180</v>
      </c>
      <c r="G75" s="9" t="s">
        <v>168</v>
      </c>
      <c r="H75" s="9" t="s">
        <v>189</v>
      </c>
      <c r="I75" s="9" t="s">
        <v>190</v>
      </c>
      <c r="J75" s="10">
        <v>11</v>
      </c>
      <c r="K75" s="10">
        <v>170</v>
      </c>
      <c r="L75" s="10">
        <v>0</v>
      </c>
      <c r="M75" s="10">
        <f t="shared" si="4"/>
        <v>170</v>
      </c>
      <c r="N75" s="10">
        <f>IF((1870-0)&gt;0, 1870-0, 0)</f>
        <v>1870</v>
      </c>
    </row>
  </sheetData>
  <pageMargins left="0.7" right="0.7" top="1.2222222222222223" bottom="0.65277777777777779" header="0.3" footer="0.3"/>
  <pageSetup orientation="landscape" horizontalDpi="0" verticalDpi="0" r:id="rId1"/>
  <headerFooter>
    <oddHeader>&amp;C&amp;"Times New Roman"&amp;10 Ergotronix Inc
&amp;12 Sales Order Report
&amp;10 Jul 6, 2023&amp;L&amp;"Times New Roman"&amp;10
&amp;12
&amp;10
&amp;"Times New Roman"&amp;8 Filter Criteria includes: 1) Item ID from  to . Report order is by Sales Order Number. Report is printed with shortened des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Open Sales Orders</vt:lpstr>
      <vt:lpstr>'Open Sales Orders'!Print_Titles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Tigrett</dc:creator>
  <cp:lastModifiedBy>Matt Tigrett</cp:lastModifiedBy>
  <dcterms:created xsi:type="dcterms:W3CDTF">2023-07-06T13:47:59Z</dcterms:created>
  <dcterms:modified xsi:type="dcterms:W3CDTF">2023-07-06T15:32:06Z</dcterms:modified>
</cp:coreProperties>
</file>