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benja\OneDrive\Documents\"/>
    </mc:Choice>
  </mc:AlternateContent>
  <xr:revisionPtr revIDLastSave="0" documentId="8_{D32DB166-0E57-4CF6-B23A-1B6FD56D8CF9}" xr6:coauthVersionLast="47" xr6:coauthVersionMax="47" xr10:uidLastSave="{00000000-0000-0000-0000-000000000000}"/>
  <bookViews>
    <workbookView xWindow="-120" yWindow="-120" windowWidth="29040" windowHeight="15840" xr2:uid="{B847B0C4-4570-45A6-9E83-BD9D15AB5EB8}"/>
  </bookViews>
  <sheets>
    <sheet name="Détails des 9 classes d'actif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10" i="1" l="1"/>
  <c r="S397" i="1" l="1"/>
  <c r="S394" i="1"/>
  <c r="S391" i="1"/>
  <c r="T391" i="1" s="1"/>
  <c r="S390" i="1"/>
  <c r="T390" i="1" s="1"/>
  <c r="S389" i="1"/>
  <c r="T389" i="1" s="1"/>
  <c r="S355" i="1"/>
  <c r="S352" i="1"/>
  <c r="S349" i="1"/>
  <c r="T349" i="1" s="1"/>
  <c r="S348" i="1"/>
  <c r="T348" i="1" s="1"/>
  <c r="S347" i="1"/>
  <c r="T347" i="1" s="1"/>
  <c r="S312" i="1"/>
  <c r="S309" i="1"/>
  <c r="S308" i="1"/>
  <c r="S282" i="1"/>
  <c r="S279" i="1"/>
  <c r="S276" i="1"/>
  <c r="T276" i="1" s="1"/>
  <c r="S275" i="1"/>
  <c r="T275" i="1" s="1"/>
  <c r="S274" i="1"/>
  <c r="T274" i="1" s="1"/>
  <c r="S253" i="1"/>
  <c r="T253" i="1"/>
  <c r="S254" i="1"/>
  <c r="T254" i="1"/>
  <c r="S255" i="1"/>
  <c r="T255" i="1" s="1"/>
  <c r="S256" i="1"/>
  <c r="T256" i="1"/>
  <c r="S257" i="1"/>
  <c r="T257" i="1"/>
  <c r="S258" i="1"/>
  <c r="T258" i="1"/>
  <c r="S259" i="1"/>
  <c r="T259" i="1"/>
  <c r="S260" i="1"/>
  <c r="T260" i="1"/>
  <c r="S261" i="1"/>
  <c r="T261" i="1" s="1"/>
  <c r="S262" i="1"/>
  <c r="T262" i="1"/>
  <c r="S263" i="1"/>
  <c r="T263" i="1"/>
  <c r="S264" i="1"/>
  <c r="T264" i="1"/>
  <c r="S265" i="1"/>
  <c r="T265" i="1"/>
  <c r="S252" i="1"/>
  <c r="T252" i="1" s="1"/>
  <c r="S251" i="1"/>
  <c r="T251" i="1" s="1"/>
  <c r="S250" i="1"/>
  <c r="T250" i="1" s="1"/>
  <c r="T249" i="1"/>
  <c r="S249" i="1"/>
  <c r="S248" i="1"/>
  <c r="T248" i="1" s="1"/>
  <c r="S177" i="1"/>
  <c r="S180" i="1" s="1"/>
  <c r="T215" i="1"/>
  <c r="P215" i="1"/>
  <c r="S218" i="1"/>
  <c r="S221" i="1" s="1"/>
  <c r="T134" i="1"/>
  <c r="S215" i="1"/>
  <c r="S174" i="1"/>
  <c r="T174" i="1" s="1"/>
  <c r="S173" i="1"/>
  <c r="T173" i="1" s="1"/>
  <c r="S140" i="1"/>
  <c r="S137" i="1"/>
  <c r="S94" i="1"/>
  <c r="S134" i="1"/>
  <c r="S133" i="1"/>
  <c r="T133" i="1" s="1"/>
  <c r="S91" i="1"/>
  <c r="S46" i="1"/>
  <c r="S49" i="1" s="1"/>
  <c r="S77" i="1"/>
  <c r="T77" i="1" s="1"/>
  <c r="S76" i="1"/>
  <c r="T76" i="1" s="1"/>
  <c r="S88" i="1"/>
  <c r="T88" i="1" s="1"/>
  <c r="S87" i="1"/>
  <c r="T87" i="1" s="1"/>
  <c r="S86" i="1"/>
  <c r="T86" i="1" s="1"/>
  <c r="O49" i="1"/>
  <c r="S43" i="1"/>
  <c r="T43" i="1" s="1"/>
  <c r="S42" i="1"/>
  <c r="T42" i="1" s="1"/>
  <c r="T41" i="1"/>
  <c r="S41" i="1"/>
  <c r="T10" i="1"/>
  <c r="S11" i="1"/>
  <c r="T11" i="1" s="1"/>
  <c r="S12" i="1"/>
  <c r="T12" i="1"/>
  <c r="S13" i="1"/>
  <c r="T13" i="1" s="1"/>
  <c r="S14" i="1"/>
  <c r="T14" i="1"/>
  <c r="S15" i="1"/>
  <c r="T15" i="1" s="1"/>
  <c r="S16" i="1"/>
  <c r="T16" i="1" s="1"/>
  <c r="S17" i="1"/>
  <c r="T17" i="1" s="1"/>
  <c r="S18" i="1"/>
  <c r="T18" i="1"/>
  <c r="S19" i="1"/>
  <c r="T19" i="1"/>
  <c r="S20" i="1"/>
  <c r="T20" i="1"/>
  <c r="S21" i="1"/>
  <c r="T21" i="1"/>
  <c r="S22" i="1"/>
  <c r="T22" i="1" s="1"/>
  <c r="S23" i="1"/>
  <c r="T23" i="1" s="1"/>
  <c r="S24" i="1"/>
  <c r="T24" i="1"/>
  <c r="S25" i="1"/>
  <c r="T25" i="1"/>
  <c r="S26" i="1"/>
  <c r="T26" i="1"/>
  <c r="S27" i="1"/>
  <c r="T27" i="1"/>
  <c r="S28" i="1"/>
  <c r="T28" i="1" s="1"/>
  <c r="S29" i="1"/>
  <c r="T29" i="1" s="1"/>
  <c r="T9" i="1"/>
  <c r="S9" i="1"/>
  <c r="O15" i="1"/>
  <c r="O215" i="1" l="1"/>
  <c r="F213" i="1" l="1"/>
  <c r="F212" i="1"/>
  <c r="F211" i="1"/>
  <c r="F210" i="1"/>
  <c r="F209" i="1"/>
  <c r="F208" i="1"/>
  <c r="F207" i="1"/>
  <c r="F206" i="1"/>
  <c r="F205" i="1"/>
  <c r="F204" i="1"/>
  <c r="F203" i="1"/>
  <c r="O134" i="1"/>
  <c r="O52" i="1" l="1"/>
  <c r="O400" i="1"/>
  <c r="F388" i="1"/>
  <c r="F392" i="1" s="1"/>
  <c r="O391" i="1"/>
  <c r="O390" i="1"/>
  <c r="O389" i="1"/>
  <c r="F346" i="1"/>
  <c r="O358" i="1"/>
  <c r="O349" i="1"/>
  <c r="O348" i="1"/>
  <c r="O347" i="1"/>
  <c r="O309" i="1"/>
  <c r="O308" i="1"/>
  <c r="F307" i="1"/>
  <c r="F310" i="1" s="1"/>
  <c r="O285" i="1"/>
  <c r="F273" i="1"/>
  <c r="O265" i="1"/>
  <c r="P265" i="1" s="1"/>
  <c r="O264" i="1"/>
  <c r="P264" i="1" s="1"/>
  <c r="O250" i="1"/>
  <c r="P250" i="1" s="1"/>
  <c r="O249" i="1"/>
  <c r="P249" i="1" s="1"/>
  <c r="O248" i="1"/>
  <c r="P248" i="1" s="1"/>
  <c r="O76" i="1"/>
  <c r="O276" i="1"/>
  <c r="O275" i="1"/>
  <c r="O274" i="1"/>
  <c r="O263" i="1"/>
  <c r="P263" i="1" s="1"/>
  <c r="O262" i="1"/>
  <c r="P262" i="1" s="1"/>
  <c r="O261" i="1"/>
  <c r="P261" i="1" s="1"/>
  <c r="O260" i="1"/>
  <c r="P260" i="1" s="1"/>
  <c r="O259" i="1"/>
  <c r="P259" i="1" s="1"/>
  <c r="O258" i="1"/>
  <c r="P258" i="1" s="1"/>
  <c r="O257" i="1"/>
  <c r="P257" i="1" s="1"/>
  <c r="O256" i="1"/>
  <c r="P256" i="1" s="1"/>
  <c r="O255" i="1"/>
  <c r="P255" i="1" s="1"/>
  <c r="O254" i="1"/>
  <c r="P254" i="1" s="1"/>
  <c r="O253" i="1"/>
  <c r="P253" i="1" s="1"/>
  <c r="O252" i="1"/>
  <c r="P252" i="1" s="1"/>
  <c r="O251" i="1"/>
  <c r="P251" i="1" s="1"/>
  <c r="O224" i="1"/>
  <c r="F172" i="1"/>
  <c r="F214" i="1"/>
  <c r="O183" i="1"/>
  <c r="O174" i="1"/>
  <c r="O173" i="1"/>
  <c r="O143" i="1"/>
  <c r="F132" i="1"/>
  <c r="O133" i="1"/>
  <c r="O97" i="1"/>
  <c r="O88" i="1"/>
  <c r="K87" i="1"/>
  <c r="O87" i="1" s="1"/>
  <c r="O77" i="1"/>
  <c r="O86" i="1"/>
  <c r="P174" i="1" l="1"/>
  <c r="P173" i="1"/>
  <c r="F175" i="1"/>
  <c r="P134" i="1"/>
  <c r="P133" i="1"/>
  <c r="P389" i="1"/>
  <c r="P390" i="1"/>
  <c r="P391" i="1"/>
  <c r="P349" i="1"/>
  <c r="P347" i="1"/>
  <c r="P348" i="1"/>
  <c r="O312" i="1"/>
  <c r="F350" i="1"/>
  <c r="P274" i="1"/>
  <c r="P275" i="1"/>
  <c r="P276" i="1"/>
  <c r="F277" i="1"/>
  <c r="F216" i="1"/>
  <c r="F135" i="1"/>
  <c r="P76" i="1"/>
  <c r="O394" i="1" l="1"/>
  <c r="O397" i="1" s="1"/>
  <c r="O352" i="1"/>
  <c r="O355" i="1" s="1"/>
  <c r="O279" i="1"/>
  <c r="O282" i="1" s="1"/>
  <c r="O177" i="1"/>
  <c r="O180" i="1" s="1"/>
  <c r="F85" i="1"/>
  <c r="F89" i="1" l="1"/>
  <c r="P88" i="1"/>
  <c r="P87" i="1"/>
  <c r="P86" i="1"/>
  <c r="O43" i="1"/>
  <c r="O42" i="1"/>
  <c r="O41" i="1"/>
  <c r="O29" i="1"/>
  <c r="P29" i="1" s="1"/>
  <c r="O28" i="1"/>
  <c r="P28" i="1" s="1"/>
  <c r="O27" i="1"/>
  <c r="P27" i="1" s="1"/>
  <c r="O24" i="1"/>
  <c r="P24" i="1" s="1"/>
  <c r="O25" i="1"/>
  <c r="P25" i="1" s="1"/>
  <c r="O26" i="1"/>
  <c r="P26" i="1" s="1"/>
  <c r="O23" i="1"/>
  <c r="P23" i="1" s="1"/>
  <c r="O11" i="1"/>
  <c r="P11" i="1" s="1"/>
  <c r="O13" i="1"/>
  <c r="P13" i="1" s="1"/>
  <c r="O14" i="1"/>
  <c r="P14" i="1" s="1"/>
  <c r="O16" i="1"/>
  <c r="P16" i="1" s="1"/>
  <c r="O17" i="1"/>
  <c r="P17" i="1" s="1"/>
  <c r="O18" i="1"/>
  <c r="P18" i="1" s="1"/>
  <c r="O19" i="1"/>
  <c r="P19" i="1" s="1"/>
  <c r="O20" i="1"/>
  <c r="P20" i="1" s="1"/>
  <c r="O21" i="1"/>
  <c r="P21" i="1" s="1"/>
  <c r="O12" i="1"/>
  <c r="P12" i="1" s="1"/>
  <c r="O10" i="1"/>
  <c r="P10" i="1" s="1"/>
  <c r="O22" i="1"/>
  <c r="P22" i="1" s="1"/>
  <c r="O9" i="1"/>
  <c r="P9" i="1" s="1"/>
  <c r="O218" i="1" l="1"/>
  <c r="O221" i="1" s="1"/>
  <c r="O91" i="1"/>
  <c r="O94" i="1" s="1"/>
  <c r="O137" i="1"/>
  <c r="O140" i="1" s="1"/>
  <c r="F40" i="1"/>
  <c r="N15" i="1"/>
  <c r="P15" i="1" s="1"/>
  <c r="P43" i="1" l="1"/>
  <c r="P42" i="1"/>
  <c r="P41" i="1"/>
  <c r="O46" i="1" s="1"/>
  <c r="I41" i="1"/>
  <c r="F4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ANTUNES Manuel</author>
    <author>Antunes Manuel</author>
  </authors>
  <commentList>
    <comment ref="F8" authorId="0" shapeId="0" xr:uid="{627BFDBC-FEFD-4D3D-AD1E-8819DDD216B8}">
      <text>
        <r>
          <rPr>
            <b/>
            <sz val="9"/>
            <color indexed="81"/>
            <rFont val="Tahoma"/>
            <family val="2"/>
          </rPr>
          <t>ANTUNES Manuel:</t>
        </r>
        <r>
          <rPr>
            <sz val="9"/>
            <color indexed="81"/>
            <rFont val="Tahoma"/>
            <family val="2"/>
          </rPr>
          <t xml:space="preserve">
Cette colonne me sert à mesurer le poids de chaque actif dans le portefeuille au moment de son évaluation.</t>
        </r>
      </text>
    </comment>
    <comment ref="G8" authorId="0" shapeId="0" xr:uid="{BD1F9F5C-7DB9-4A6F-AF32-FA63114A841E}">
      <text>
        <r>
          <rPr>
            <b/>
            <sz val="9"/>
            <color indexed="81"/>
            <rFont val="Tahoma"/>
            <family val="2"/>
          </rPr>
          <t>ANTUNES Manuel:</t>
        </r>
        <r>
          <rPr>
            <sz val="9"/>
            <color indexed="81"/>
            <rFont val="Tahoma"/>
            <family val="2"/>
          </rPr>
          <t xml:space="preserve">
Cette colonne n'est là qu'à titre indicatif, afin d'estimer la valeur du choc SCR (le stress adverse) sur la classe d'actifs ; et de la comparer éventuellement à la valeur du choc baseline obtenue.</t>
        </r>
      </text>
    </comment>
    <comment ref="J8" authorId="0" shapeId="0" xr:uid="{48E0F632-61FA-4991-B60C-1F8B6CC40ADD}">
      <text>
        <r>
          <rPr>
            <b/>
            <sz val="9"/>
            <color indexed="81"/>
            <rFont val="Tahoma"/>
            <family val="2"/>
          </rPr>
          <t>ANTUNES Manuel:</t>
        </r>
        <r>
          <rPr>
            <sz val="9"/>
            <color indexed="81"/>
            <rFont val="Tahoma"/>
            <family val="2"/>
          </rPr>
          <t xml:space="preserve">
L'approche la plus basique ; consiste à calculer la borne inférieure de l'intervalle de confiance de la PMV de l'actif.
Ceci en utilisant simplement la moyenne et la variance de l'échantillon. Ainsi que la table de la loi normale.
Cette approche a l'avantage d'être très facile à implémenter et de ne pas nécessiter d'hypothèse sur la distribution des log-rendements.
En revanche, il ne faut ni que la profondeur de l'historique soit trop faible en comparaison de l'horizon temporel de la VAR ; ni qu'elle soit trop grande, pour s'assurer que la loi de probabilité n'ait pas trop changé durant la période d'étude.
Des 5 méthodes de calcul, j'estime que c'est globalement celle qui est la moins crédible. C'est pourquoi je lui alouerai une pondération plutôt faible dans le résultat final.
Lorsque l'horizon temporel des données est trop faible, et ceci pour des sauts entre les valeurs trop élevés, la VAR obtenue par cette méthode est abérrante. Ainsi je griserai les cellules et ne les prendrai pas en compte quand c'est le cas.
</t>
        </r>
      </text>
    </comment>
    <comment ref="K8" authorId="0" shapeId="0" xr:uid="{9CE251F0-0B4E-489E-9B93-7CF674A1E0EF}">
      <text>
        <r>
          <rPr>
            <b/>
            <sz val="9"/>
            <color indexed="81"/>
            <rFont val="Tahoma"/>
            <family val="2"/>
          </rPr>
          <t>ANTUNES Manuel:</t>
        </r>
        <r>
          <rPr>
            <sz val="9"/>
            <color indexed="81"/>
            <rFont val="Tahoma"/>
            <family val="2"/>
          </rPr>
          <t xml:space="preserve">
A partir de l'échantillon des log-rendements en entrée, cette méthode consiste à répliquer n fois le tirage aléatoire (avec remise) de h valeurs dans cet échantillon.
Ici n = 100 000 et h = 252 (correspondant au nombre de jours d'ouverture de la bourse sur une année).
A chacun des tirages est calculé le quantile 0,05 des plus petites valeurs de rendements.
Le résultat final de cette approche est la moyenne des quantiles obtenus lors des n tirages.
L'avantage de cette méthode est de pouvoir lisser les asymétries dans la distribution des données historiques, et de simuler un très grand nombre de trajectoires de prix à partir d'un seul échantillon. La dépréciation probable qui en résulte est donc vraisemblablement plus crédible que celle obtenue uniquement sur l'échantillon d'origine.
A part les ressources informatiques qui sont plus gourmandes, je ne lui vois aucun inconvénient majeur. Même un échantillon de petite taille permet, par le tirage avec remise, de simuler suffisamment de données pour obtenir une estimation satisfaisante de la VAR.
Je lui alouerai donc une pondération plus élevée dans le résultat final.
 </t>
        </r>
      </text>
    </comment>
    <comment ref="L8" authorId="0" shapeId="0" xr:uid="{F1349DB4-BA4E-49A6-97B4-60D1A5CCF62B}">
      <text>
        <r>
          <rPr>
            <b/>
            <sz val="9"/>
            <color indexed="81"/>
            <rFont val="Tahoma"/>
            <charset val="1"/>
          </rPr>
          <t>ANTUNES Manuel:</t>
        </r>
        <r>
          <rPr>
            <sz val="9"/>
            <color indexed="81"/>
            <rFont val="Tahoma"/>
            <charset val="1"/>
          </rPr>
          <t xml:space="preserve">
La méthode analytique (ou paramétrique), consiste à définir une formule décrivant la distribution des pertes et profits, en supposant que ces variations suivent une loi normale.
En l'occurrence, mon programme calcule la volatilité historique de l'échantillon sur toute la période d'étude ; puis il la transforme en volatilité journalière. Et enfin il la ramène sur un horizon de un an (252 jours ouvrés à la bourse).
Inconvénient : cette méthode peut être inappropriée si la distribution des retours n'est pas normale. Plus généralement elle peut sous-estimer ou surestimer la dépréciation en fonction de la qualité des hypothèses de distribution.
De même qu'elle est également très sensible à la profondeur des données de cours, et des sauts importants entre les valeurs ; au même titre que l'approche historique.
Comme la qualité des hypothèses reste relativement incertaine pour ces données de cours (dont la profondeur est très variable), je lui alouerai donc une pondération plus faible que pour le bootstrap.
Je griserai également cette colonne lorsque les VAR sont abérrantes.</t>
        </r>
      </text>
    </comment>
    <comment ref="M8" authorId="0" shapeId="0" xr:uid="{FFB5041F-53C6-4770-840C-71F6733BC64B}">
      <text>
        <r>
          <rPr>
            <b/>
            <sz val="9"/>
            <color indexed="81"/>
            <rFont val="Tahoma"/>
            <charset val="1"/>
          </rPr>
          <t>ANTUNES Manuel:</t>
        </r>
        <r>
          <rPr>
            <sz val="9"/>
            <color indexed="81"/>
            <rFont val="Tahoma"/>
            <charset val="1"/>
          </rPr>
          <t xml:space="preserve">
Cette approche nécessite de calculer les moments d'ordre 3 et 4 de l'échantillon, qui correspondent au skewness et kurtosis (les coefficients d'asymétrie et d'applatissement) de la distribution.
Il en découle ensuite le coefficient de Cornish Fisher, lequel sera multiplié de la même façon que le quantile alpha de la loi normale dans la méthode historique.
Cette approche a l'avantage de prendre en compte les moments d'ordres supérieurs de la distribution, ce qui permet potentiellement de fournir des estimations plus précises de la VAR. 
D'après mes observations néanmoins, lors que le Kurtosis est trop élevé (ce qui se traduit graphiquement par de nombreux pics dans les cours), la VAR calculée n'est pas concluante.
C'est pourquoi selon les titres, je pondérerai cette VAR soit autant que pour l'approche du bootstrap, soit je ne la prendrai pas du tout en compte et griserai cette colonne.</t>
        </r>
      </text>
    </comment>
    <comment ref="N8" authorId="0" shapeId="0" xr:uid="{46148DED-C7C6-4747-B15D-18E2DF261507}">
      <text>
        <r>
          <rPr>
            <b/>
            <sz val="9"/>
            <color indexed="81"/>
            <rFont val="Tahoma"/>
            <family val="2"/>
          </rPr>
          <t>ANTUNES Manuel:</t>
        </r>
        <r>
          <rPr>
            <sz val="9"/>
            <color indexed="81"/>
            <rFont val="Tahoma"/>
            <family val="2"/>
          </rPr>
          <t xml:space="preserve">
** Exponentially Weigthed Moving Average
Ou moyenne exponentielle mobile, consiste à pondérer la valeur des rendements selon leur ancienneté ; de telle sorte à ce que les observations plus récentes aient un plus grand impact dans le résultat du calcul de la VAR.
La variance EWMA permet d'en déduire la volatilité, puis de la même façon que l'approche analytique, il en découle la VAR pour un horizon de un an.
Là encore, l'un des inconvénients est le changement possible dans la loi de probabilité, pour les données historiques profondes.
D'autre part j'ai pu constater des VAR abérrantes sur certains titres dont le nombre d'observations est faible (&lt; 100) et dont les sauts des valeurs entre chaque cours sont importants.
Lorsque c'est le cas, je grise la cellule.
Enfin, pour les plages de données profondes, je constate que l'approche EWMA a tendance à retourner une VAR plus faible que les autres approches ; ce qui est normal sachant que les fortes variabilités issues de conjonctures lointaines ne sont que peu prises en compte. Tandis que pour toutes les autres approches, elles ont le même poids que les données plus récentes. 
Ainsi même si j'estime que cette approche est plus crédible que les approches analytique et historique ; je lui préfère tout de même les approches de bootstrap et Cornish Fiser. Ceci car pour tout exercice de prudence, il vaut mieux surestimer légèrement la VAR finale, que de la sous-estimer.
J'ajusterai donc la pondération du résultat final en fonction de cela.
</t>
        </r>
      </text>
    </comment>
    <comment ref="O8" authorId="1" shapeId="0" xr:uid="{B2EC9D6C-2D43-4C35-B6EF-CE2736FBCCCD}">
      <text>
        <r>
          <rPr>
            <b/>
            <sz val="9"/>
            <color indexed="81"/>
            <rFont val="Tahoma"/>
            <charset val="1"/>
          </rPr>
          <t>Antunes Manuel:</t>
        </r>
        <r>
          <rPr>
            <sz val="9"/>
            <color indexed="81"/>
            <rFont val="Tahoma"/>
            <charset val="1"/>
          </rPr>
          <t xml:space="preserve">
Compte tenu de mes commentaires précédents, voici la pondération que j'utilise lorsque les 5 VAR ont pu être calculées correctement, et semblent afficher un résultat cohérent :
Approche historique : 1/10
Approche du bootstrap : 3/10
Approche analytique : 1/10
Approche de Cornish Fisher : 3/10
Approche EWMA : 2/10
Lorsqu'une ou plusieurs des approches sont manquantes, j'ajuste les coefficients en gardant globalement cet ordre de grandeur.</t>
        </r>
      </text>
    </comment>
    <comment ref="F40" authorId="0" shapeId="0" xr:uid="{925271E9-A34A-4CC3-A0B4-FCF1626D3248}">
      <text>
        <r>
          <rPr>
            <b/>
            <sz val="9"/>
            <color indexed="81"/>
            <rFont val="Tahoma"/>
            <family val="2"/>
          </rPr>
          <t>ANTUNES Manuel:</t>
        </r>
        <r>
          <rPr>
            <sz val="9"/>
            <color indexed="81"/>
            <rFont val="Tahoma"/>
            <family val="2"/>
          </rPr>
          <t xml:space="preserve">
Arbitrairement, je choisis de répartir en parts égales cette valeur entre les trois indices boursiers lors du calcul de la VAR finale.</t>
        </r>
      </text>
    </comment>
    <comment ref="F75" authorId="0" shapeId="0" xr:uid="{5AF393D6-758C-42F3-990C-AA5E45870DBF}">
      <text>
        <r>
          <rPr>
            <b/>
            <sz val="9"/>
            <color indexed="81"/>
            <rFont val="Tahoma"/>
            <family val="2"/>
          </rPr>
          <t>ANTUNES Manuel:</t>
        </r>
        <r>
          <rPr>
            <sz val="9"/>
            <color indexed="81"/>
            <rFont val="Tahoma"/>
            <family val="2"/>
          </rPr>
          <t xml:space="preserve">
Cette colonne me sert à mesurer le poids de chaque actif dans le portefeuille au moment de son évaluation.</t>
        </r>
      </text>
    </comment>
    <comment ref="G75" authorId="0" shapeId="0" xr:uid="{E19E0163-355A-454A-B01A-C75D261AB9D4}">
      <text>
        <r>
          <rPr>
            <b/>
            <sz val="9"/>
            <color indexed="81"/>
            <rFont val="Tahoma"/>
            <family val="2"/>
          </rPr>
          <t>ANTUNES Manuel:</t>
        </r>
        <r>
          <rPr>
            <sz val="9"/>
            <color indexed="81"/>
            <rFont val="Tahoma"/>
            <family val="2"/>
          </rPr>
          <t xml:space="preserve">
Cette colonne n'est là qu'à titre indicatif, afin d'estimer la valeur du choc SCR (le stress adverse) sur la classe d'actifs ; et de la comparer éventuellement à la valeur du choc baseline obtenue.</t>
        </r>
      </text>
    </comment>
    <comment ref="J75" authorId="0" shapeId="0" xr:uid="{13ABEABC-3380-4A7F-A412-A1C52006451B}">
      <text>
        <r>
          <rPr>
            <b/>
            <sz val="9"/>
            <color indexed="81"/>
            <rFont val="Tahoma"/>
            <family val="2"/>
          </rPr>
          <t>ANTUNES Manuel:</t>
        </r>
        <r>
          <rPr>
            <sz val="9"/>
            <color indexed="81"/>
            <rFont val="Tahoma"/>
            <family val="2"/>
          </rPr>
          <t xml:space="preserve">
L'approche la plus basique ; consiste à calculer la borne inférieure de l'intervalle de confiance de la PMV de l'actif.
Ceci en utilisant simplement la moyenne et la variance de l'échantillon. Ainsi que la table de la loi normale.
Cette approche a l'avantage d'être très facile à implémenter et de ne pas nécessiter d'hypothèse sur la distribution des log-rendements.
En revanche, il ne faut ni que la profondeur de l'historique soit trop faible en comparaison de l'horizon temporel de la VAR ; ni qu'elle soit trop grande, pour s'assurer que la loi de probabilité n'ait pas trop changé durant la période d'étude.
Des 5 méthodes de calcul, j'estime que c'est globalement celle qui est la moins crédible. C'est pourquoi je lui alouerai une pondération plutôt faible dans le résultat final.
Lorsque l'horizon temporel des données est trop faible, et ceci pour des sauts entre les valeurs trop élevés, la VAR obtenue par cette méthode est abérrante. Ainsi je griserai les cellules et ne les prendrai pas en compte quand c'est le cas.
</t>
        </r>
      </text>
    </comment>
    <comment ref="K75" authorId="0" shapeId="0" xr:uid="{5CC13EE5-74F8-4AF1-8FD4-08A0EFD8ABBD}">
      <text>
        <r>
          <rPr>
            <b/>
            <sz val="9"/>
            <color indexed="81"/>
            <rFont val="Tahoma"/>
            <family val="2"/>
          </rPr>
          <t>ANTUNES Manuel:</t>
        </r>
        <r>
          <rPr>
            <sz val="9"/>
            <color indexed="81"/>
            <rFont val="Tahoma"/>
            <family val="2"/>
          </rPr>
          <t xml:space="preserve">
A partir de l'échantillon des log-rendements en entrée, cette méthode consiste à répliquer n fois le tirage aléatoire (avec remise) de h valeurs dans cet échantillon.
Ici n = 100 000 et h = 252 (correspondant au nombre de jours d'ouverture de la bourse sur une année).
A chacun des tirages est calculé le quantile 0,05 des plus petites valeurs de rendements.
Le résultat final de cette approche est la moyenne des quantiles obtenus lors des n tirages.
L'avantage de cette méthode est de pouvoir lisser les asymétries dans la distribution des données historiques, et de simuler un très grand nombre de trajectoires de prix à partir d'un seul échantillon. La dépréciation probable qui en résulte est donc vraisemblablement plus crédible que celle obtenue uniquement sur l'échantillon d'origine.
A part les ressources informatiques qui sont plus gourmandes, je ne lui vois aucun inconvénient majeur. Même un échantillon de petite taille permet, par le tirage avec remise, de simuler suffisamment de données pour obtenir une estimation satisfaisante de la VAR.
Je lui alouerai donc une pondération plus élevée dans le résultat final.
 </t>
        </r>
      </text>
    </comment>
    <comment ref="L75" authorId="0" shapeId="0" xr:uid="{3AFDFC23-55D1-4D97-9389-A926CDA93685}">
      <text>
        <r>
          <rPr>
            <b/>
            <sz val="9"/>
            <color indexed="81"/>
            <rFont val="Tahoma"/>
            <charset val="1"/>
          </rPr>
          <t>ANTUNES Manuel:</t>
        </r>
        <r>
          <rPr>
            <sz val="9"/>
            <color indexed="81"/>
            <rFont val="Tahoma"/>
            <charset val="1"/>
          </rPr>
          <t xml:space="preserve">
La méthode analytique (ou paramétrique), consiste à définir une formule décrivant la distribution des pertes et profits, en supposant que ces variations suivent une loi normale.
En l'occurrence, mon programme calcule la volatilité historique de l'échantillon sur toute la période d'étude ; puis il la transforme en volatilité journalière. Et enfin il la ramène sur un horizon de un an (252 jours ouvrés à la bourse).
Inconvénient : cette méthode peut être inappropriée si la distribution des retours n'est pas normale. Plus généralement elle peut sous-estimer ou surestimer la dépréciation en fonction de la qualité des hypothèses de distribution.
De même qu'elle est également très sensible à la profondeur des données de cours, et des sauts importants entre les valeurs ; au même titre que l'approche historique.
Comme la qualité des hypothèses reste relativement incertaine pour ces données de cours (dont la profondeur est très variable), je lui alouerai donc une pondération plus faible que pour le bootstrap.
Je griserai également cette colonne lorsque les VAR sont abérrantes.</t>
        </r>
      </text>
    </comment>
    <comment ref="M75" authorId="0" shapeId="0" xr:uid="{B7C410F9-BE83-4708-84A2-4B73620E8E48}">
      <text>
        <r>
          <rPr>
            <b/>
            <sz val="9"/>
            <color indexed="81"/>
            <rFont val="Tahoma"/>
            <charset val="1"/>
          </rPr>
          <t>ANTUNES Manuel:</t>
        </r>
        <r>
          <rPr>
            <sz val="9"/>
            <color indexed="81"/>
            <rFont val="Tahoma"/>
            <charset val="1"/>
          </rPr>
          <t xml:space="preserve">
Cette approche nécessite de calculer les moments d'ordre 3 et 4 de l'échantillon, qui correspondent au skewness et kurtosis (les coefficients d'asymétrie et d'applatissement) de la distribution.
Il en découle ensuite le coefficient de Cornish Fisher, lequel sera multiplié de la même façon que le quantile alpha de la loi normale dans la méthode historique.
Cette approche a l'avantage de prendre en compte les moments d'ordres supérieurs de la distribution, ce qui permet potentiellement de fournir des estimations plus précises de la VAR. 
D'après mes observations néanmoins, lors que le Kurtosis est trop élevé (ce qui se traduit graphiquement par de nombreux pics dans les cours), la VAR calculée n'est pas concluante.
C'est pourquoi selon les titres, je pondérerai cette VAR soit autant que pour l'approche du bootstrap, soit je ne la prendrai pas du tout en compte et griserai cette colonne.</t>
        </r>
      </text>
    </comment>
    <comment ref="N75" authorId="0" shapeId="0" xr:uid="{53FA7FC0-0F3F-4D94-8B12-BCA38CE474FA}">
      <text>
        <r>
          <rPr>
            <b/>
            <sz val="9"/>
            <color indexed="81"/>
            <rFont val="Tahoma"/>
            <family val="2"/>
          </rPr>
          <t>ANTUNES Manuel:</t>
        </r>
        <r>
          <rPr>
            <sz val="9"/>
            <color indexed="81"/>
            <rFont val="Tahoma"/>
            <family val="2"/>
          </rPr>
          <t xml:space="preserve">
** Exponentially Weigthed Moving Average
Ou moyenne exponentielle mobile, consiste à pondérer la valeur des rendements selon leur ancienneté ; de telle sorte à ce que les observations plus récentes aient un plus grand impact dans le résultat du calcul de la VAR.
La variance EWMA permet d'en déduire la volatilité, puis de la même façon que l'approche analytique, il en découle la VAR pour un horizon de un an.
Là encore, l'un des inconvénients est le changement possible dans la loi de probabilité, pour les données historiques profondes.
D'autre part j'ai pu constater des VAR abérrantes sur certains titres dont le nombre d'observations est faible (&lt; 100) et dont les sauts des valeurs entre chaque cours sont importants.
Lorsque c'est le cas, je grise la cellule.
Enfin, pour les plages de données profondes, je constate que l'approche EWMA a tendance à retourner une VAR plus faible que les autres approches ; ce qui est normal sachant que les fortes variabilités issues de conjonctures lointaines ne sont que peu prises en compte. Tandis que pour toutes les autres approches, elles ont le même poids que les données plus récentes. 
Ainsi même si j'estime que cette approche est plus crédible que les approches analytique et historique ; je lui préfère tout de même les approches de bootstrap et Cornish Fiser. Ceci car pour tout exercice de prudence, il vaut mieux surestimer légèrement la VAR finale, que de la sous-estimer.
J'ajusterai donc la pondération du résultat final en fonction de cela.
</t>
        </r>
      </text>
    </comment>
    <comment ref="O75" authorId="1" shapeId="0" xr:uid="{7FF4A30B-A536-4F74-8981-0AC8A6EC6170}">
      <text>
        <r>
          <rPr>
            <b/>
            <sz val="9"/>
            <color indexed="81"/>
            <rFont val="Tahoma"/>
            <charset val="1"/>
          </rPr>
          <t>Antunes Manuel:</t>
        </r>
        <r>
          <rPr>
            <sz val="9"/>
            <color indexed="81"/>
            <rFont val="Tahoma"/>
            <charset val="1"/>
          </rPr>
          <t xml:space="preserve">
Compte tenu de mes commentaires précédents, voici la pondération que j'utilise lorsque les 5 VAR ont pu être calculées correctement, et semblent afficher un résultat cohérent :
Approche historique : 1/10
Approche du bootstrap : 3/10
Approche analytique : 1/10
Approche de Cornish Fisher : 3/10
Approche EWMA : 2/10
Lorsqu'une ou plusieurs des approches sont manquantes, j'ajuste les coefficients en gardant globalement cet ordre de grandeur.</t>
        </r>
      </text>
    </comment>
    <comment ref="F85" authorId="0" shapeId="0" xr:uid="{D1D2A2CD-1065-4126-B4DB-EDCF1908E194}">
      <text>
        <r>
          <rPr>
            <b/>
            <sz val="9"/>
            <color indexed="81"/>
            <rFont val="Tahoma"/>
            <family val="2"/>
          </rPr>
          <t>ANTUNES Manuel:</t>
        </r>
        <r>
          <rPr>
            <sz val="9"/>
            <color indexed="81"/>
            <rFont val="Tahoma"/>
            <family val="2"/>
          </rPr>
          <t xml:space="preserve">
Arbitrairement, je choisis d'accorder plus de crédit à l'indice S&amp;P qui occasionne la VAR la plus élevée ; ceci afin de ne pas prendre le risque de sous-estimer la VAR finale, quitte à la surestimer légèrement.</t>
        </r>
      </text>
    </comment>
    <comment ref="O97" authorId="0" shapeId="0" xr:uid="{7942C825-9743-44DB-8637-A77E4FDF0955}">
      <text>
        <r>
          <rPr>
            <b/>
            <sz val="9"/>
            <color indexed="81"/>
            <rFont val="Tahoma"/>
            <family val="2"/>
          </rPr>
          <t>ANTUNES Manuel:</t>
        </r>
        <r>
          <rPr>
            <sz val="9"/>
            <color indexed="81"/>
            <rFont val="Tahoma"/>
            <family val="2"/>
          </rPr>
          <t xml:space="preserve">
Pour cette classe d'actifs le choc SCR me semble anormalement élevé, ce qui laisse à penser que l'indicateur dont je me sers, la colonne (SCR spécifique) rapporté à la colonnne (Prix de revient CC inclus - Achat) n'est peut-être pas pertinent.
Je laisse comme ça pour l'instant, en attendant d'éventuels futurs développements.</t>
        </r>
      </text>
    </comment>
    <comment ref="F116" authorId="0" shapeId="0" xr:uid="{41A01BB1-260D-41EC-BE25-422ACDF4E6A4}">
      <text>
        <r>
          <rPr>
            <b/>
            <sz val="9"/>
            <color indexed="81"/>
            <rFont val="Tahoma"/>
            <family val="2"/>
          </rPr>
          <t>ANTUNES Manuel:</t>
        </r>
        <r>
          <rPr>
            <sz val="9"/>
            <color indexed="81"/>
            <rFont val="Tahoma"/>
            <family val="2"/>
          </rPr>
          <t xml:space="preserve">
Cette colonne me sert à mesurer le poids de chaque actif dans le portefeuille au moment de son évaluation.</t>
        </r>
      </text>
    </comment>
    <comment ref="G116" authorId="0" shapeId="0" xr:uid="{52100AC1-DCF3-4B47-9888-5B5375B96129}">
      <text>
        <r>
          <rPr>
            <b/>
            <sz val="9"/>
            <color indexed="81"/>
            <rFont val="Tahoma"/>
            <family val="2"/>
          </rPr>
          <t>ANTUNES Manuel:</t>
        </r>
        <r>
          <rPr>
            <sz val="9"/>
            <color indexed="81"/>
            <rFont val="Tahoma"/>
            <family val="2"/>
          </rPr>
          <t xml:space="preserve">
Cette colonne n'est là qu'à titre indicatif, afin d'estimer la valeur du choc SCR (le stress adverse) sur la classe d'actifs ; et de la comparer éventuellement à la valeur du choc baseline obtenue.</t>
        </r>
      </text>
    </comment>
    <comment ref="J116" authorId="0" shapeId="0" xr:uid="{792843A1-40FB-4A3F-993E-9F341FD99B0E}">
      <text>
        <r>
          <rPr>
            <b/>
            <sz val="9"/>
            <color indexed="81"/>
            <rFont val="Tahoma"/>
            <family val="2"/>
          </rPr>
          <t>ANTUNES Manuel:</t>
        </r>
        <r>
          <rPr>
            <sz val="9"/>
            <color indexed="81"/>
            <rFont val="Tahoma"/>
            <family val="2"/>
          </rPr>
          <t xml:space="preserve">
L'approche la plus basique ; consiste à calculer la borne inférieure de l'intervalle de confiance de la PMV de l'actif.
Ceci en utilisant simplement la moyenne et la variance de l'échantillon. Ainsi que la table de la loi normale.
Cette approche a l'avantage d'être très facile à implémenter et de ne pas nécessiter d'hypothèse sur la distribution des log-rendements.
En revanche, il ne faut ni que la profondeur de l'historique soit trop faible en comparaison de l'horizon temporel de la VAR ; ni qu'elle soit trop grande, pour s'assurer que la loi de probabilité n'ait pas trop changé durant la période d'étude.
Des 5 méthodes de calcul, j'estime que c'est globalement celle qui est la moins crédible. C'est pourquoi je lui alouerai une pondération plutôt faible dans le résultat final.
Lorsque l'horizon temporel des données est trop faible, et ceci pour des sauts entre les valeurs trop élevés, la VAR obtenue par cette méthode est abérrante. Ainsi je griserai les cellules et ne les prendrai pas en compte quand c'est le cas.
</t>
        </r>
      </text>
    </comment>
    <comment ref="K116" authorId="0" shapeId="0" xr:uid="{C9983A65-E524-48AF-B654-3E24061F4863}">
      <text>
        <r>
          <rPr>
            <b/>
            <sz val="9"/>
            <color indexed="81"/>
            <rFont val="Tahoma"/>
            <family val="2"/>
          </rPr>
          <t>ANTUNES Manuel:</t>
        </r>
        <r>
          <rPr>
            <sz val="9"/>
            <color indexed="81"/>
            <rFont val="Tahoma"/>
            <family val="2"/>
          </rPr>
          <t xml:space="preserve">
A partir de l'échantillon des log-rendements en entrée, cette méthode consiste à répliquer n fois le tirage aléatoire (avec remise) de h valeurs dans cet échantillon.
Ici n = 100 000 et h = 252 (correspondant au nombre de jours d'ouverture de la bourse sur une année).
A chacun des tirages est calculé le quantile 0,05 des plus petites valeurs de rendements.
Le résultat final de cette approche est la moyenne des quantiles obtenus lors des n tirages.
L'avantage de cette méthode est de pouvoir lisser les asymétries dans la distribution des données historiques, et de simuler un très grand nombre de trajectoires de prix à partir d'un seul échantillon. La dépréciation probable qui en résulte est donc vraisemblablement plus crédible que celle obtenue uniquement sur l'échantillon d'origine.
A part les ressources informatiques qui sont plus gourmandes, je ne lui vois aucun inconvénient majeur. Même un échantillon de petite taille permet, par le tirage avec remise, de simuler suffisamment de données pour obtenir une estimation satisfaisante de la VAR.
Je lui alouerai donc une pondération plus élevée dans le résultat final.
 </t>
        </r>
      </text>
    </comment>
    <comment ref="L116" authorId="0" shapeId="0" xr:uid="{8A586D18-295C-422F-B3B7-03E105F10807}">
      <text>
        <r>
          <rPr>
            <b/>
            <sz val="9"/>
            <color indexed="81"/>
            <rFont val="Tahoma"/>
            <charset val="1"/>
          </rPr>
          <t>ANTUNES Manuel:</t>
        </r>
        <r>
          <rPr>
            <sz val="9"/>
            <color indexed="81"/>
            <rFont val="Tahoma"/>
            <charset val="1"/>
          </rPr>
          <t xml:space="preserve">
La méthode analytique (ou paramétrique), consiste à définir une formule décrivant la distribution des pertes et profits, en supposant que ces variations suivent une loi normale.
En l'occurrence, mon programme calcule la volatilité historique de l'échantillon sur toute la période d'étude ; puis il la transforme en volatilité journalière. Et enfin il la ramène sur un horizon de un an (252 jours ouvrés à la bourse).
Inconvénient : cette méthode peut être inappropriée si la distribution des retours n'est pas normale. Plus généralement elle peut sous-estimer ou surestimer la dépréciation en fonction de la qualité des hypothèses de distribution.
De même qu'elle est également très sensible à la profondeur des données de cours, et des sauts importants entre les valeurs ; au même titre que l'approche historique.
Comme la qualité des hypothèses reste relativement incertaine pour ces données de cours (dont la profondeur est très variable), je lui alouerai donc une pondération plus faible que pour le bootstrap.
Je griserai également cette colonne lorsque les VAR sont abérrantes.</t>
        </r>
      </text>
    </comment>
    <comment ref="M116" authorId="0" shapeId="0" xr:uid="{DC6B2132-759F-4499-BBF7-E544655CA41E}">
      <text>
        <r>
          <rPr>
            <b/>
            <sz val="9"/>
            <color indexed="81"/>
            <rFont val="Tahoma"/>
            <charset val="1"/>
          </rPr>
          <t>ANTUNES Manuel:</t>
        </r>
        <r>
          <rPr>
            <sz val="9"/>
            <color indexed="81"/>
            <rFont val="Tahoma"/>
            <charset val="1"/>
          </rPr>
          <t xml:space="preserve">
Cette approche nécessite de calculer les moments d'ordre 3 et 4 de l'échantillon, qui correspondent au skewness et kurtosis (les coefficients d'asymétrie et d'applatissement) de la distribution.
Il en découle ensuite le coefficient de Cornish Fisher, lequel sera multiplié de la même façon que le quantile alpha de la loi normale dans la méthode historique.
Cette approche a l'avantage de prendre en compte les moments d'ordres supérieurs de la distribution, ce qui permet potentiellement de fournir des estimations plus précises de la VAR. 
D'après mes observations néanmoins, lors que le Kurtosis est trop élevé (ce qui se traduit graphiquement par de nombreux pics dans les cours), la VAR calculée n'est pas concluante.
C'est pourquoi selon les titres, je pondérerai cette VAR soit autant que pour l'approche du bootstrap, soit je ne la prendrai pas du tout en compte et griserai cette colonne.</t>
        </r>
      </text>
    </comment>
    <comment ref="N116" authorId="0" shapeId="0" xr:uid="{64B64568-B88B-4EA0-9831-C4C8A55B4536}">
      <text>
        <r>
          <rPr>
            <b/>
            <sz val="9"/>
            <color indexed="81"/>
            <rFont val="Tahoma"/>
            <family val="2"/>
          </rPr>
          <t>ANTUNES Manuel:</t>
        </r>
        <r>
          <rPr>
            <sz val="9"/>
            <color indexed="81"/>
            <rFont val="Tahoma"/>
            <family val="2"/>
          </rPr>
          <t xml:space="preserve">
** Exponentially Weigthed Moving Average
Ou moyenne exponentielle mobile, consiste à pondérer la valeur des rendements selon leur ancienneté ; de telle sorte à ce que les observations plus récentes aient un plus grand impact dans le résultat du calcul de la VAR.
La variance EWMA permet d'en déduire la volatilité, puis de la même façon que l'approche analytique, il en découle la VAR pour un horizon de un an.
Là encore, l'un des inconvénients est le changement possible dans la loi de probabilité, pour les données historiques profondes.
D'autre part j'ai pu constater des VAR abérrantes sur certains titres dont le nombre d'observations est faible (&lt; 100) et dont les sauts des valeurs entre chaque cours sont importants.
Lorsque c'est le cas, je grise la cellule.
Enfin, pour les plages de données profondes, je constate que l'approche EWMA a tendance à retourner une VAR plus faible que les autres approches ; ce qui est normal sachant que les fortes variabilités issues de conjonctures lointaines ne sont que peu prises en compte. Tandis que pour toutes les autres approches, elles ont le même poids que les données plus récentes. 
Ainsi même si j'estime que cette approche est plus crédible que les approches analytique et historique ; je lui préfère tout de même les approches de bootstrap et Cornish Fiser. Ceci car pour tout exercice de prudence, il vaut mieux surestimer légèrement la VAR finale, que de la sous-estimer.
J'ajusterai donc la pondération du résultat final en fonction de cela.
</t>
        </r>
      </text>
    </comment>
    <comment ref="O116" authorId="1" shapeId="0" xr:uid="{6E01C3D3-C5A2-4BAA-B5CC-2F13439B01E8}">
      <text>
        <r>
          <rPr>
            <b/>
            <sz val="9"/>
            <color indexed="81"/>
            <rFont val="Tahoma"/>
            <charset val="1"/>
          </rPr>
          <t xml:space="preserve">Antunes Manuel:
</t>
        </r>
        <r>
          <rPr>
            <sz val="9"/>
            <color indexed="81"/>
            <rFont val="Tahoma"/>
            <charset val="1"/>
          </rPr>
          <t xml:space="preserve">
Compte tenu de mes commentaires précédents, voici la pondération que j'utilise lorsque les 5 VAR ont pu être calculées correctement, et semblent afficher un résultat cohérent :
Approche historique : 1/10
Approche du bootstrap : 3/10
Approche analytique : 1/10
Approche de Cornish Fisher : 3/10
Approche EWMA : 2/10
Lorsqu'une ou plusieurs des approches sont manquantes, j'ajuste les coefficients en gardant globalement cet ordre de grandeur.</t>
        </r>
      </text>
    </comment>
    <comment ref="F132" authorId="0" shapeId="0" xr:uid="{C6A53008-101D-4FAD-B928-9470545CF2FF}">
      <text>
        <r>
          <rPr>
            <b/>
            <sz val="9"/>
            <color indexed="81"/>
            <rFont val="Tahoma"/>
            <family val="2"/>
          </rPr>
          <t>ANTUNES Manuel:</t>
        </r>
        <r>
          <rPr>
            <sz val="9"/>
            <color indexed="81"/>
            <rFont val="Tahoma"/>
            <family val="2"/>
          </rPr>
          <t xml:space="preserve">
Ces indices IEIF SIIC et IEIF SCPI sont coinjointement utilisés pour les deux classes Immobilier papier et pierre, dans un soucis d'homogénéité.
Néanmoins j'accorde plus de crédit au second, qui est moins volatil ; je lui affecte donc un pondération de 2/3 contre 1/3 pour le premier.</t>
        </r>
      </text>
    </comment>
    <comment ref="F165" authorId="0" shapeId="0" xr:uid="{E696A3D6-24AF-4E6C-AAE1-9E25E7145E7A}">
      <text>
        <r>
          <rPr>
            <b/>
            <sz val="9"/>
            <color indexed="81"/>
            <rFont val="Tahoma"/>
            <family val="2"/>
          </rPr>
          <t>ANTUNES Manuel:</t>
        </r>
        <r>
          <rPr>
            <sz val="9"/>
            <color indexed="81"/>
            <rFont val="Tahoma"/>
            <family val="2"/>
          </rPr>
          <t xml:space="preserve">
Cette colonne me sert à mesurer le poids de chaque actif dans le portefeuille au moment de son évaluation.</t>
        </r>
      </text>
    </comment>
    <comment ref="G165" authorId="0" shapeId="0" xr:uid="{3F0502CA-5829-4DE8-AFE3-5E381B6C81BD}">
      <text>
        <r>
          <rPr>
            <b/>
            <sz val="9"/>
            <color indexed="81"/>
            <rFont val="Tahoma"/>
            <family val="2"/>
          </rPr>
          <t>ANTUNES Manuel:</t>
        </r>
        <r>
          <rPr>
            <sz val="9"/>
            <color indexed="81"/>
            <rFont val="Tahoma"/>
            <family val="2"/>
          </rPr>
          <t xml:space="preserve">
Cette colonne n'est là qu'à titre indicatif, afin d'estimer la valeur du choc SCR (le stress adverse) sur la classe d'actifs ; et de la comparer éventuellement à la valeur du choc baseline obtenue.</t>
        </r>
      </text>
    </comment>
    <comment ref="J165" authorId="0" shapeId="0" xr:uid="{CB2F9396-48AA-4571-83C8-4ADF2B93FA5C}">
      <text>
        <r>
          <rPr>
            <b/>
            <sz val="9"/>
            <color indexed="81"/>
            <rFont val="Tahoma"/>
            <family val="2"/>
          </rPr>
          <t>ANTUNES Manuel:</t>
        </r>
        <r>
          <rPr>
            <sz val="9"/>
            <color indexed="81"/>
            <rFont val="Tahoma"/>
            <family val="2"/>
          </rPr>
          <t xml:space="preserve">
L'approche la plus basique ; consiste à calculer la borne inférieure de l'intervalle de confiance de la PMV de l'actif.
Ceci en utilisant simplement la moyenne et la variance de l'échantillon. Ainsi que la table de la loi normale.
Cette approche a l'avantage d'être très facile à implémenter et de ne pas nécessiter d'hypothèse sur la distribution des log-rendements.
En revanche, il ne faut ni que la profondeur de l'historique soit trop faible en comparaison de l'horizon temporel de la VAR ; ni qu'elle soit trop grande, pour s'assurer que la loi de probabilité n'ait pas trop changé durant la période d'étude.
Des 5 méthodes de calcul, j'estime que c'est globalement celle qui est la moins crédible. C'est pourquoi je lui alouerai une pondération plutôt faible dans le résultat final.
Lorsque l'horizon temporel des données est trop faible, et ceci pour des sauts entre les valeurs trop élevés, la VAR obtenue par cette méthode est abérrante. Ainsi je griserai les cellules et ne les prendrai pas en compte quand c'est le cas.
</t>
        </r>
      </text>
    </comment>
    <comment ref="K165" authorId="0" shapeId="0" xr:uid="{DF6BDB06-0F61-4342-9746-6695D00171B3}">
      <text>
        <r>
          <rPr>
            <b/>
            <sz val="9"/>
            <color indexed="81"/>
            <rFont val="Tahoma"/>
            <family val="2"/>
          </rPr>
          <t>ANTUNES Manuel:</t>
        </r>
        <r>
          <rPr>
            <sz val="9"/>
            <color indexed="81"/>
            <rFont val="Tahoma"/>
            <family val="2"/>
          </rPr>
          <t xml:space="preserve">
A partir de l'échantillon des log-rendements en entrée, cette méthode consiste à répliquer n fois le tirage aléatoire (avec remise) de h valeurs dans cet échantillon.
Ici n = 100 000 et h = 252 (correspondant au nombre de jours d'ouverture de la bourse sur une année).
A chacun des tirages est calculé le quantile 0,05 des plus petites valeurs de rendements.
Le résultat final de cette approche est la moyenne des quantiles obtenus lors des n tirages.
L'avantage de cette méthode est de pouvoir lisser les asymétries dans la distribution des données historiques, et de simuler un très grand nombre de trajectoires de prix à partir d'un seul échantillon. La dépréciation probable qui en résulte est donc vraisemblablement plus crédible que celle obtenue uniquement sur l'échantillon d'origine.
A part les ressources informatiques qui sont plus gourmandes, je ne lui vois aucun inconvénient majeur. Même un échantillon de petite taille permet, par le tirage avec remise, de simuler suffisamment de données pour obtenir une estimation satisfaisante de la VAR.
Je lui alouerai donc une pondération plus élevée dans le résultat final.
 </t>
        </r>
      </text>
    </comment>
    <comment ref="L165" authorId="0" shapeId="0" xr:uid="{50962C2F-13C4-48AA-AA13-D5DF1386E22A}">
      <text>
        <r>
          <rPr>
            <b/>
            <sz val="9"/>
            <color indexed="81"/>
            <rFont val="Tahoma"/>
            <charset val="1"/>
          </rPr>
          <t>ANTUNES Manuel:</t>
        </r>
        <r>
          <rPr>
            <sz val="9"/>
            <color indexed="81"/>
            <rFont val="Tahoma"/>
            <charset val="1"/>
          </rPr>
          <t xml:space="preserve">
La méthode analytique (ou paramétrique), consiste à définir une formule décrivant la distribution des pertes et profits, en supposant que ces variations suivent une loi normale.
En l'occurrence, mon programme calcule la volatilité historique de l'échantillon sur toute la période d'étude ; puis il la transforme en volatilité journalière. Et enfin il la ramène sur un horizon de un an (252 jours ouvrés à la bourse).
Inconvénient : cette méthode peut être inappropriée si la distribution des retours n'est pas normale. Plus généralement elle peut sous-estimer ou surestimer la dépréciation en fonction de la qualité des hypothèses de distribution.
De même qu'elle est également très sensible à la profondeur des données de cours, et des sauts importants entre les valeurs ; au même titre que l'approche historique.
Comme la qualité des hypothèses reste relativement incertaine pour ces données de cours (dont la profondeur est très variable), je lui alouerai donc une pondération plus faible que pour le bootstrap.
Je griserai également cette colonne lorsque les VAR sont abérrantes.</t>
        </r>
      </text>
    </comment>
    <comment ref="M165" authorId="0" shapeId="0" xr:uid="{62D5216A-D206-40EF-B2C7-0FF30CD2E69B}">
      <text>
        <r>
          <rPr>
            <b/>
            <sz val="9"/>
            <color indexed="81"/>
            <rFont val="Tahoma"/>
            <charset val="1"/>
          </rPr>
          <t>ANTUNES Manuel:</t>
        </r>
        <r>
          <rPr>
            <sz val="9"/>
            <color indexed="81"/>
            <rFont val="Tahoma"/>
            <charset val="1"/>
          </rPr>
          <t xml:space="preserve">
Cette approche nécessite de calculer les moments d'ordre 3 et 4 de l'échantillon, qui correspondent au skewness et kurtosis (les coefficients d'asymétrie et d'applatissement) de la distribution.
Il en découle ensuite le coefficient de Cornish Fisher, lequel sera multiplié de la même façon que le quantile alpha de la loi normale dans la méthode historique.
Cette approche a l'avantage de prendre en compte les moments d'ordres supérieurs de la distribution, ce qui permet potentiellement de fournir des estimations plus précises de la VAR. 
D'après mes observations néanmoins, lors que le Kurtosis est trop élevé (ce qui se traduit graphiquement par de nombreux pics dans les cours), la VAR calculée n'est pas concluante.
C'est pourquoi selon les titres, je pondérerai cette VAR soit autant que pour l'approche du bootstrap, soit je ne la prendrai pas du tout en compte et griserai cette colonne.</t>
        </r>
      </text>
    </comment>
    <comment ref="N165" authorId="0" shapeId="0" xr:uid="{A5064BD1-7FAA-4F5E-A54D-72910C7C6FC3}">
      <text>
        <r>
          <rPr>
            <b/>
            <sz val="9"/>
            <color indexed="81"/>
            <rFont val="Tahoma"/>
            <family val="2"/>
          </rPr>
          <t>ANTUNES Manuel:</t>
        </r>
        <r>
          <rPr>
            <sz val="9"/>
            <color indexed="81"/>
            <rFont val="Tahoma"/>
            <family val="2"/>
          </rPr>
          <t xml:space="preserve">
** Exponentially Weigthed Moving Average
Ou moyenne exponentielle mobile, consiste à pondérer la valeur des rendements selon leur ancienneté ; de telle sorte à ce que les observations plus récentes aient un plus grand impact dans le résultat du calcul de la VAR.
La variance EWMA permet d'en déduire la volatilité, puis de la même façon que l'approche analytique, il en découle la VAR pour un horizon de un an.
Là encore, l'un des inconvénients est le changement possible dans la loi de probabilité, pour les données historiques profondes.
D'autre part j'ai pu constater des VAR abérrantes sur certains titres dont le nombre d'observations est faible (&lt; 100) et dont les sauts des valeurs entre chaque cours sont importants.
Lorsque c'est le cas, je grise la cellule.
Enfin, pour les plages de données profondes, je constate que l'approche EWMA a tendance à retourner une VAR plus faible que les autres approches ; ce qui est normal sachant que les fortes variabilités issues de conjonctures lointaines ne sont que peu prises en compte. Tandis que pour toutes les autres approches, elles ont le même poids que les données plus récentes. 
Ainsi même si j'estime que cette approche est plus crédible que les approches analytique et historique ; je lui préfère tout de même les approches de bootstrap et Cornish Fiser. Ceci car pour tout exercice de prudence, il vaut mieux surestimer légèrement la VAR finale, que de la sous-estimer.
J'ajusterai donc la pondération du résultat final en fonction de cela.
</t>
        </r>
      </text>
    </comment>
    <comment ref="O165" authorId="1" shapeId="0" xr:uid="{EBA13431-6B3C-404B-B372-D95142AFC67B}">
      <text>
        <r>
          <rPr>
            <b/>
            <sz val="9"/>
            <color indexed="81"/>
            <rFont val="Tahoma"/>
            <charset val="1"/>
          </rPr>
          <t>Antunes Manuel:</t>
        </r>
        <r>
          <rPr>
            <sz val="9"/>
            <color indexed="81"/>
            <rFont val="Tahoma"/>
            <charset val="1"/>
          </rPr>
          <t xml:space="preserve">
Compte tenu de mes commentaires précédents, voici la pondération que j'utilise lorsque les 5 VAR ont pu être calculées correctement, et semblent afficher un résultat cohérent :
Approche historique : 1/10
Approche du bootstrap : 3/10
Approche analytique : 1/10
Approche de Cornish Fisher : 3/10
Approche EWMA : 2/10
Lorsqu'une ou plusieurs des approches sont manquantes, j'ajuste les coefficients en gardant globalement cet ordre de grandeur.</t>
        </r>
      </text>
    </comment>
    <comment ref="F172" authorId="0" shapeId="0" xr:uid="{0EB1A5B9-DE28-423C-B4F5-D2121BF85481}">
      <text>
        <r>
          <rPr>
            <b/>
            <sz val="9"/>
            <color indexed="81"/>
            <rFont val="Tahoma"/>
            <family val="2"/>
          </rPr>
          <t>ANTUNES Manuel:</t>
        </r>
        <r>
          <rPr>
            <sz val="9"/>
            <color indexed="81"/>
            <rFont val="Tahoma"/>
            <family val="2"/>
          </rPr>
          <t xml:space="preserve">
Ces indices IEIF SIIC et IEIF SCPI sont coinjointement utilisés pour les deux classes Immobilier papier et pierre, dans un soucis d'homogénéité.
Néanmoins j'accorde plus de crédit au second, qui est moins volatil ; je lui affecte donc un pondération de 2/3 contre 1/3 pour le premier.</t>
        </r>
      </text>
    </comment>
    <comment ref="F202" authorId="0" shapeId="0" xr:uid="{F6AEE48A-530F-4123-9029-A67B6C827453}">
      <text>
        <r>
          <rPr>
            <b/>
            <sz val="9"/>
            <color indexed="81"/>
            <rFont val="Tahoma"/>
            <family val="2"/>
          </rPr>
          <t>ANTUNES Manuel:</t>
        </r>
        <r>
          <rPr>
            <sz val="9"/>
            <color indexed="81"/>
            <rFont val="Tahoma"/>
            <family val="2"/>
          </rPr>
          <t xml:space="preserve">
Cette colonne me sert à mesurer le poids de chaque actif dans le portefeuille au moment de son évaluation.</t>
        </r>
      </text>
    </comment>
    <comment ref="G202" authorId="0" shapeId="0" xr:uid="{5BB0DDDB-9FB3-41F3-A530-526B8CE25815}">
      <text>
        <r>
          <rPr>
            <b/>
            <sz val="9"/>
            <color indexed="81"/>
            <rFont val="Tahoma"/>
            <family val="2"/>
          </rPr>
          <t>ANTUNES Manuel:</t>
        </r>
        <r>
          <rPr>
            <sz val="9"/>
            <color indexed="81"/>
            <rFont val="Tahoma"/>
            <family val="2"/>
          </rPr>
          <t xml:space="preserve">
Cette colonne n'est là qu'à titre indicatif, afin d'estimer la valeur du choc SCR (le stress adverse) sur la classe d'actifs ; et de la comparer éventuellement à la valeur du choc baseline obtenue.</t>
        </r>
      </text>
    </comment>
    <comment ref="J202" authorId="0" shapeId="0" xr:uid="{59FEDBD5-69CD-4347-8179-065B8B7CB724}">
      <text>
        <r>
          <rPr>
            <b/>
            <sz val="9"/>
            <color indexed="81"/>
            <rFont val="Tahoma"/>
            <family val="2"/>
          </rPr>
          <t>ANTUNES Manuel:</t>
        </r>
        <r>
          <rPr>
            <sz val="9"/>
            <color indexed="81"/>
            <rFont val="Tahoma"/>
            <family val="2"/>
          </rPr>
          <t xml:space="preserve">
L'approche la plus basique ; consiste à calculer la borne inférieure de l'intervalle de confiance de la PMV de l'actif.
Ceci en utilisant simplement la moyenne et la variance de l'échantillon. Ainsi que la table de la loi normale.
Cette approche a l'avantage d'être très facile à implémenter et de ne pas nécessiter d'hypothèse sur la distribution des log-rendements.
En revanche, il ne faut ni que la profondeur de l'historique soit trop faible en comparaison de l'horizon temporel de la VAR ; ni qu'elle soit trop grande, pour s'assurer que la loi de probabilité n'ait pas trop changé durant la période d'étude.
Des 5 méthodes de calcul, j'estime que c'est globalement celle qui est la moins crédible. C'est pourquoi je lui alouerai une pondération plutôt faible dans le résultat final.
Lorsque l'horizon temporel des données est trop faible, et ceci pour des sauts entre les valeurs trop élevés, la VAR obtenue par cette méthode est abérrante. Ainsi je griserai les cellules et ne les prendrai pas en compte quand c'est le cas.
</t>
        </r>
      </text>
    </comment>
    <comment ref="K202" authorId="0" shapeId="0" xr:uid="{CAB63A5C-E439-4BE0-B8A8-7CE76B2B81DD}">
      <text>
        <r>
          <rPr>
            <b/>
            <sz val="9"/>
            <color indexed="81"/>
            <rFont val="Tahoma"/>
            <family val="2"/>
          </rPr>
          <t>ANTUNES Manuel:</t>
        </r>
        <r>
          <rPr>
            <sz val="9"/>
            <color indexed="81"/>
            <rFont val="Tahoma"/>
            <family val="2"/>
          </rPr>
          <t xml:space="preserve">
A partir de l'échantillon des log-rendements en entrée, cette méthode consiste à répliquer n fois le tirage aléatoire (avec remise) de h valeurs dans cet échantillon.
Ici n = 100 000 et h = 252 (correspondant au nombre de jours d'ouverture de la bourse sur une année).
A chacun des tirages est calculé le quantile 0,05 des plus petites valeurs de rendements.
Le résultat final de cette approche est la moyenne des quantiles obtenus lors des n tirages.
L'avantage de cette méthode est de pouvoir lisser les asymétries dans la distribution des données historiques, et de simuler un très grand nombre de trajectoires de prix à partir d'un seul échantillon. La dépréciation probable qui en résulte est donc vraisemblablement plus crédible que celle obtenue uniquement sur l'échantillon d'origine.
A part les ressources informatiques qui sont plus gourmandes, je ne lui vois aucun inconvénient majeur. Même un échantillon de petite taille permet, par le tirage avec remise, de simuler suffisamment de données pour obtenir une estimation satisfaisante de la VAR.
Je lui alouerai donc une pondération plus élevée dans le résultat final.
 </t>
        </r>
      </text>
    </comment>
    <comment ref="L202" authorId="0" shapeId="0" xr:uid="{CEEEB312-C892-4056-854F-4A415F0EB7A5}">
      <text>
        <r>
          <rPr>
            <b/>
            <sz val="9"/>
            <color indexed="81"/>
            <rFont val="Tahoma"/>
            <charset val="1"/>
          </rPr>
          <t>ANTUNES Manuel:</t>
        </r>
        <r>
          <rPr>
            <sz val="9"/>
            <color indexed="81"/>
            <rFont val="Tahoma"/>
            <charset val="1"/>
          </rPr>
          <t xml:space="preserve">
La méthode analytique (ou paramétrique), consiste à définir une formule décrivant la distribution des pertes et profits, en supposant que ces variations suivent une loi normale.
En l'occurrence, mon programme calcule la volatilité historique de l'échantillon sur toute la période d'étude ; puis il la transforme en volatilité journalière. Et enfin il la ramène sur un horizon de un an (252 jours ouvrés à la bourse).
Inconvénient : cette méthode peut être inappropriée si la distribution des retours n'est pas normale. Plus généralement elle peut sous-estimer ou surestimer la dépréciation en fonction de la qualité des hypothèses de distribution.
De même qu'elle est également très sensible à la profondeur des données de cours, et des sauts importants entre les valeurs ; au même titre que l'approche historique.
Comme la qualité des hypothèses reste relativement incertaine pour ces données de cours (dont la profondeur est très variable), je lui alouerai donc une pondération plus faible que pour le bootstrap.
Je griserai également cette colonne lorsque les VAR sont abérrantes.</t>
        </r>
      </text>
    </comment>
    <comment ref="M202" authorId="0" shapeId="0" xr:uid="{7315A885-4BDB-40EB-987D-342D1800725C}">
      <text>
        <r>
          <rPr>
            <b/>
            <sz val="9"/>
            <color indexed="81"/>
            <rFont val="Tahoma"/>
            <charset val="1"/>
          </rPr>
          <t>ANTUNES Manuel:</t>
        </r>
        <r>
          <rPr>
            <sz val="9"/>
            <color indexed="81"/>
            <rFont val="Tahoma"/>
            <charset val="1"/>
          </rPr>
          <t xml:space="preserve">
Cette approche nécessite de calculer les moments d'ordre 3 et 4 de l'échantillon, qui correspondent au skewness et kurtosis (les coefficients d'asymétrie et d'applatissement) de la distribution.
Il en découle ensuite le coefficient de Cornish Fisher, lequel sera multiplié de la même façon que le quantile alpha de la loi normale dans la méthode historique.
Cette approche a l'avantage de prendre en compte les moments d'ordres supérieurs de la distribution, ce qui permet potentiellement de fournir des estimations plus précises de la VAR. 
D'après mes observations néanmoins, lors que le Kurtosis est trop élevé (ce qui se traduit graphiquement par de nombreux pics dans les cours), la VAR calculée n'est pas concluante.
C'est pourquoi selon les titres, je pondérerai cette VAR soit autant que pour l'approche du bootstrap, soit je ne la prendrai pas du tout en compte et griserai cette colonne.</t>
        </r>
      </text>
    </comment>
    <comment ref="N202" authorId="0" shapeId="0" xr:uid="{E850B344-064D-40EC-8B02-73CE7C1D3C82}">
      <text>
        <r>
          <rPr>
            <b/>
            <sz val="9"/>
            <color indexed="81"/>
            <rFont val="Tahoma"/>
            <family val="2"/>
          </rPr>
          <t>ANTUNES Manuel:</t>
        </r>
        <r>
          <rPr>
            <sz val="9"/>
            <color indexed="81"/>
            <rFont val="Tahoma"/>
            <family val="2"/>
          </rPr>
          <t xml:space="preserve">
** Exponentially Weigthed Moving Average
Ou moyenne exponentielle mobile, consiste à pondérer la valeur des rendements selon leur ancienneté ; de telle sorte à ce que les observations plus récentes aient un plus grand impact dans le résultat du calcul de la VAR.
La variance EWMA permet d'en déduire la volatilité, puis de la même façon que l'approche analytique, il en découle la VAR pour un horizon de un an.
Là encore, l'un des inconvénients est le changement possible dans la loi de probabilité, pour les données historiques profondes.
D'autre part j'ai pu constater des VAR abérrantes sur certains titres dont le nombre d'observations est faible (&lt; 100) et dont les sauts des valeurs entre chaque cours sont importants.
Lorsque c'est le cas, je grise la cellule.
Enfin, pour les plages de données profondes, je constate que l'approche EWMA a tendance à retourner une VAR plus faible que les autres approches ; ce qui est normal sachant que les fortes variabilités issues de conjonctures lointaines ne sont que peu prises en compte. Tandis que pour toutes les autres approches, elles ont le même poids que les données plus récentes. 
Ainsi même si j'estime que cette approche est plus crédible que les approches analytique et historique ; je lui préfère tout de même les approches de bootstrap et Cornish Fiser. Ceci car pour tout exercice de prudence, il vaut mieux surestimer légèrement la VAR finale, que de la sous-estimer.
J'ajusterai donc la pondération du résultat final en fonction de cela.
</t>
        </r>
      </text>
    </comment>
    <comment ref="O202" authorId="1" shapeId="0" xr:uid="{F499A59E-995C-41E1-92DD-985D6BCBEF6E}">
      <text>
        <r>
          <rPr>
            <b/>
            <sz val="9"/>
            <color indexed="81"/>
            <rFont val="Tahoma"/>
            <charset val="1"/>
          </rPr>
          <t>Antunes Manuel:</t>
        </r>
        <r>
          <rPr>
            <sz val="9"/>
            <color indexed="81"/>
            <rFont val="Tahoma"/>
            <charset val="1"/>
          </rPr>
          <t xml:space="preserve">
Compte tenu de mes commentaires précédents, voici la pondération que j'utilise lorsque les 5 VAR ont pu être calculées correctement, et semblent afficher un résultat cohérent :
Approche historique : 1/10
Approche du bootstrap : 3/10
Approche analytique : 1/10
Approche de Cornish Fisher : 3/10
Approche EWMA : 2/10
Lorsqu'une ou plusieurs des approches sont manquantes, j'ajuste les coefficients en gardant globalement cet ordre de grandeur.</t>
        </r>
      </text>
    </comment>
    <comment ref="F214" authorId="0" shapeId="0" xr:uid="{8B2B1C8F-4406-413C-85F7-352AF6E9BB64}">
      <text>
        <r>
          <rPr>
            <b/>
            <sz val="9"/>
            <color indexed="81"/>
            <rFont val="Tahoma"/>
            <family val="2"/>
          </rPr>
          <t>ANTUNES Manuel:</t>
        </r>
        <r>
          <rPr>
            <sz val="9"/>
            <color indexed="81"/>
            <rFont val="Tahoma"/>
            <family val="2"/>
          </rPr>
          <t xml:space="preserve">
En guise d'indice pour cette classe, j'utilise la valorisation de notre fonds de référence FIC Infralux.</t>
        </r>
      </text>
    </comment>
    <comment ref="O224" authorId="0" shapeId="0" xr:uid="{220109B3-990F-445D-8F44-5EC8A3356144}">
      <text>
        <r>
          <rPr>
            <b/>
            <sz val="9"/>
            <color indexed="81"/>
            <rFont val="Tahoma"/>
            <family val="2"/>
          </rPr>
          <t>ANTUNES Manuel:</t>
        </r>
        <r>
          <rPr>
            <sz val="9"/>
            <color indexed="81"/>
            <rFont val="Tahoma"/>
            <family val="2"/>
          </rPr>
          <t xml:space="preserve">
Pour cette classe d'actifs le choc SCR me semble anormalement élevé, ce qui laisse à penser que l'indicateur dont je me sers, la colonne (SCR spécifique) rapporté à la colonnne (Prix de revient CC inclus - Achat) n'est peut-être pas pertinent.
Je laisse comme ça pour l'instant, en attendant d'éventuels futurs développements.</t>
        </r>
      </text>
    </comment>
    <comment ref="O229" authorId="0" shapeId="0" xr:uid="{C4F35599-5A89-4A1E-9082-45D90758F177}">
      <text>
        <r>
          <rPr>
            <b/>
            <sz val="9"/>
            <color indexed="81"/>
            <rFont val="Tahoma"/>
            <charset val="1"/>
          </rPr>
          <t>ANTUNES Manuel:</t>
        </r>
        <r>
          <rPr>
            <sz val="9"/>
            <color indexed="81"/>
            <rFont val="Tahoma"/>
            <charset val="1"/>
          </rPr>
          <t xml:space="preserve">
Point de désaccord avec Mr Laforge car résultat beaucoup trop élevé.
A voir pour changer les indices de références ou les méthodes de valorisation des actifs pour obtenir in fine un paramètre plus vraisemblable.
</t>
        </r>
      </text>
    </comment>
    <comment ref="F247" authorId="0" shapeId="0" xr:uid="{F4AC43E4-E89D-4FEE-BFA2-7D6AEB62E36D}">
      <text>
        <r>
          <rPr>
            <b/>
            <sz val="9"/>
            <color indexed="81"/>
            <rFont val="Tahoma"/>
            <family val="2"/>
          </rPr>
          <t>ANTUNES Manuel:</t>
        </r>
        <r>
          <rPr>
            <sz val="9"/>
            <color indexed="81"/>
            <rFont val="Tahoma"/>
            <family val="2"/>
          </rPr>
          <t xml:space="preserve">
Cette colonne me sert à mesurer le poids de chaque actif dans le portefeuille au moment de son évaluation.</t>
        </r>
      </text>
    </comment>
    <comment ref="G247" authorId="0" shapeId="0" xr:uid="{BA709331-11D1-4408-812F-18622C4525B0}">
      <text>
        <r>
          <rPr>
            <b/>
            <sz val="9"/>
            <color indexed="81"/>
            <rFont val="Tahoma"/>
            <family val="2"/>
          </rPr>
          <t>ANTUNES Manuel:</t>
        </r>
        <r>
          <rPr>
            <sz val="9"/>
            <color indexed="81"/>
            <rFont val="Tahoma"/>
            <family val="2"/>
          </rPr>
          <t xml:space="preserve">
Cette colonne n'est là qu'à titre indicatif, afin d'estimer la valeur du choc SCR (le stress adverse) sur la classe d'actifs ; et de la comparer éventuellement à la valeur du choc baseline obtenue.</t>
        </r>
      </text>
    </comment>
    <comment ref="J247" authorId="0" shapeId="0" xr:uid="{D21BAB23-C22D-486C-A213-32FE9E01568D}">
      <text>
        <r>
          <rPr>
            <b/>
            <sz val="9"/>
            <color indexed="81"/>
            <rFont val="Tahoma"/>
            <family val="2"/>
          </rPr>
          <t>ANTUNES Manuel:</t>
        </r>
        <r>
          <rPr>
            <sz val="9"/>
            <color indexed="81"/>
            <rFont val="Tahoma"/>
            <family val="2"/>
          </rPr>
          <t xml:space="preserve">
L'approche la plus basique ; consiste à calculer la borne inférieure de l'intervalle de confiance de la PMV de l'actif.
Ceci en utilisant simplement la moyenne et la variance de l'échantillon. Ainsi que la table de la loi normale.
Cette approche a l'avantage d'être très facile à implémenter et de ne pas nécessiter d'hypothèse sur la distribution des log-rendements.
En revanche, il ne faut ni que la profondeur de l'historique soit trop faible en comparaison de l'horizon temporel de la VAR ; ni qu'elle soit trop grande, pour s'assurer que la loi de probabilité n'ait pas trop changé durant la période d'étude.
Des 5 méthodes de calcul, j'estime que c'est globalement celle qui est la moins crédible. C'est pourquoi je lui alouerai une pondération plutôt faible dans le résultat final.
Lorsque l'horizon temporel des données est trop faible, et ceci pour des sauts entre les valeurs trop élevés, la VAR obtenue par cette méthode est abérrante. Ainsi je griserai les cellules et ne les prendrai pas en compte quand c'est le cas.
</t>
        </r>
      </text>
    </comment>
    <comment ref="K247" authorId="0" shapeId="0" xr:uid="{055A50F0-D0AC-4F42-BAE9-E84F06E86235}">
      <text>
        <r>
          <rPr>
            <b/>
            <sz val="9"/>
            <color indexed="81"/>
            <rFont val="Tahoma"/>
            <family val="2"/>
          </rPr>
          <t>ANTUNES Manuel:</t>
        </r>
        <r>
          <rPr>
            <sz val="9"/>
            <color indexed="81"/>
            <rFont val="Tahoma"/>
            <family val="2"/>
          </rPr>
          <t xml:space="preserve">
A partir de l'échantillon des log-rendements en entrée, cette méthode consiste à répliquer n fois le tirage aléatoire (avec remise) de h valeurs dans cet échantillon.
Ici n = 100 000 et h = 252 (correspondant au nombre de jours d'ouverture de la bourse sur une année).
A chacun des tirages est calculé le quantile 0,05 des plus petites valeurs de rendements.
Le résultat final de cette approche est la moyenne des quantiles obtenus lors des n tirages.
L'avantage de cette méthode est de pouvoir lisser les asymétries dans la distribution des données historiques, et de simuler un très grand nombre de trajectoires de prix à partir d'un seul échantillon. La dépréciation probable qui en résulte est donc vraisemblablement plus crédible que celle obtenue uniquement sur l'échantillon d'origine.
A part les ressources informatiques qui sont plus gourmandes, je ne lui vois aucun inconvénient majeur. Même un échantillon de petite taille permet, par le tirage avec remise, de simuler suffisamment de données pour obtenir une estimation satisfaisante de la VAR.
Je lui alouerai donc une pondération plus élevée dans le résultat final.
 </t>
        </r>
      </text>
    </comment>
    <comment ref="L247" authorId="0" shapeId="0" xr:uid="{45877D90-506B-49B7-AB8A-97F3F44A0699}">
      <text>
        <r>
          <rPr>
            <b/>
            <sz val="9"/>
            <color indexed="81"/>
            <rFont val="Tahoma"/>
            <charset val="1"/>
          </rPr>
          <t>ANTUNES Manuel:</t>
        </r>
        <r>
          <rPr>
            <sz val="9"/>
            <color indexed="81"/>
            <rFont val="Tahoma"/>
            <charset val="1"/>
          </rPr>
          <t xml:space="preserve">
La méthode analytique (ou paramétrique), consiste à définir une formule décrivant la distribution des pertes et profits, en supposant que ces variations suivent une loi normale.
En l'occurrence, mon programme calcule la volatilité historique de l'échantillon sur toute la période d'étude ; puis il la transforme en volatilité journalière. Et enfin il la ramène sur un horizon de un an (252 jours ouvrés à la bourse).
Inconvénient : cette méthode peut être inappropriée si la distribution des retours n'est pas normale. Plus généralement elle peut sous-estimer ou surestimer la dépréciation en fonction de la qualité des hypothèses de distribution.
De même qu'elle est également très sensible à la profondeur des données de cours, et des sauts importants entre les valeurs ; au même titre que l'approche historique.
Comme la qualité des hypothèses reste relativement incertaine pour ces données de cours (dont la profondeur est très variable), je lui alouerai donc une pondération plus faible que pour le bootstrap.
Je griserai également cette colonne lorsque les VAR sont abérrantes.</t>
        </r>
      </text>
    </comment>
    <comment ref="M247" authorId="0" shapeId="0" xr:uid="{C9C00F93-3A99-4BE0-9DCA-B51CC48A96A5}">
      <text>
        <r>
          <rPr>
            <b/>
            <sz val="9"/>
            <color indexed="81"/>
            <rFont val="Tahoma"/>
            <charset val="1"/>
          </rPr>
          <t>ANTUNES Manuel:</t>
        </r>
        <r>
          <rPr>
            <sz val="9"/>
            <color indexed="81"/>
            <rFont val="Tahoma"/>
            <charset val="1"/>
          </rPr>
          <t xml:space="preserve">
Cette approche nécessite de calculer les moments d'ordre 3 et 4 de l'échantillon, qui correspondent au skewness et kurtosis (les coefficients d'asymétrie et d'applatissement) de la distribution.
Il en découle ensuite le coefficient de Cornish Fisher, lequel sera multiplié de la même façon que le quantile alpha de la loi normale dans la méthode historique.
Cette approche a l'avantage de prendre en compte les moments d'ordres supérieurs de la distribution, ce qui permet potentiellement de fournir des estimations plus précises de la VAR. 
D'après mes observations néanmoins, lors que le Kurtosis est trop élevé (ce qui se traduit graphiquement par de nombreux pics dans les cours), la VAR calculée n'est pas concluante.
C'est pourquoi selon les titres, je pondérerai cette VAR soit autant que pour l'approche du bootstrap, soit je ne la prendrai pas du tout en compte et griserai cette colonne.</t>
        </r>
      </text>
    </comment>
    <comment ref="N247" authorId="0" shapeId="0" xr:uid="{7AD7FE5F-1EEC-445E-AC01-B2F0834D7D78}">
      <text>
        <r>
          <rPr>
            <b/>
            <sz val="9"/>
            <color indexed="81"/>
            <rFont val="Tahoma"/>
            <family val="2"/>
          </rPr>
          <t>ANTUNES Manuel:</t>
        </r>
        <r>
          <rPr>
            <sz val="9"/>
            <color indexed="81"/>
            <rFont val="Tahoma"/>
            <family val="2"/>
          </rPr>
          <t xml:space="preserve">
** Exponentially Weigthed Moving Average
Ou moyenne exponentielle mobile, consiste à pondérer la valeur des rendements selon leur ancienneté ; de telle sorte à ce que les observations plus récentes aient un plus grand impact dans le résultat du calcul de la VAR.
La variance EWMA permet d'en déduire la volatilité, puis de la même façon que l'approche analytique, il en découle la VAR pour un horizon de un an.
Là encore, l'un des inconvénients est le changement possible dans la loi de probabilité, pour les données historiques profondes.
D'autre part j'ai pu constater des VAR abérrantes sur certains titres dont le nombre d'observations est faible (&lt; 100) et dont les sauts des valeurs entre chaque cours sont importants.
Lorsque c'est le cas, je grise la cellule.
Enfin, pour les plages de données profondes, je constate que l'approche EWMA a tendance à retourner une VAR plus faible que les autres approches ; ce qui est normal sachant que les fortes variabilités issues de conjonctures lointaines ne sont que peu prises en compte. Tandis que pour toutes les autres approches, elles ont le même poids que les données plus récentes. 
Ainsi même si j'estime que cette approche est plus crédible que les approches analytique et historique ; je lui préfère tout de même les approches de bootstrap et Cornish Fiser. Ceci car pour tout exercice de prudence, il vaut mieux surestimer légèrement la VAR finale, que de la sous-estimer.
J'ajusterai donc la pondération du résultat final en fonction de cela.
</t>
        </r>
      </text>
    </comment>
    <comment ref="O247" authorId="1" shapeId="0" xr:uid="{0420CD1E-2C22-4A9A-AF4C-4ECD6C604506}">
      <text>
        <r>
          <rPr>
            <b/>
            <sz val="9"/>
            <color indexed="81"/>
            <rFont val="Tahoma"/>
            <charset val="1"/>
          </rPr>
          <t>Antunes Manuel:</t>
        </r>
        <r>
          <rPr>
            <sz val="9"/>
            <color indexed="81"/>
            <rFont val="Tahoma"/>
            <charset val="1"/>
          </rPr>
          <t xml:space="preserve">
Compte tenu de mes commentaires précédents, voici la pondération que j'utilise lorsque les 5 VAR ont pu être calculées correctement, et semblent afficher un résultat cohérent :
Approche historique : 1/10
Approche du bootstrap : 3/10
Approche analytique : 1/10
Approche de Cornish Fisher : 3/10
Approche EWMA : 2/10
Lorsqu'une ou plusieurs des approches sont manquantes, j'ajuste les coefficients en gardant globalement cet ordre de grandeur.</t>
        </r>
      </text>
    </comment>
    <comment ref="F273" authorId="0" shapeId="0" xr:uid="{4160A598-5D88-4EFB-8D11-A91299A69772}">
      <text>
        <r>
          <rPr>
            <b/>
            <sz val="9"/>
            <color indexed="81"/>
            <rFont val="Tahoma"/>
            <family val="2"/>
          </rPr>
          <t>ANTUNES Manuel:</t>
        </r>
        <r>
          <rPr>
            <sz val="9"/>
            <color indexed="81"/>
            <rFont val="Tahoma"/>
            <family val="2"/>
          </rPr>
          <t xml:space="preserve">
Arbitrairement, je choisis de répartir en parts égales cette valeur entre les trois indices boursiers, lors du calcul de la VAR finale.</t>
        </r>
      </text>
    </comment>
    <comment ref="O285" authorId="1" shapeId="0" xr:uid="{25C0D794-13F0-4105-BE81-9E12848A1E85}">
      <text>
        <r>
          <rPr>
            <b/>
            <sz val="9"/>
            <color indexed="81"/>
            <rFont val="Tahoma"/>
            <family val="2"/>
          </rPr>
          <t>Antunes Manuel:</t>
        </r>
        <r>
          <rPr>
            <sz val="9"/>
            <color indexed="81"/>
            <rFont val="Tahoma"/>
            <family val="2"/>
          </rPr>
          <t xml:space="preserve">
Cette fois encore la valeur estimée du stress adverse semble incohérente ; puisqu'elle serait pratiquement égale à celle du stress baseline. Mais je la laisse telle quelle pour d'éventuels futurs développements.</t>
        </r>
      </text>
    </comment>
    <comment ref="F305" authorId="0" shapeId="0" xr:uid="{35C15E3C-B62C-4BAC-8E9B-1A878DC2C20F}">
      <text>
        <r>
          <rPr>
            <b/>
            <sz val="9"/>
            <color indexed="81"/>
            <rFont val="Tahoma"/>
            <family val="2"/>
          </rPr>
          <t>ANTUNES Manuel:</t>
        </r>
        <r>
          <rPr>
            <sz val="9"/>
            <color indexed="81"/>
            <rFont val="Tahoma"/>
            <family val="2"/>
          </rPr>
          <t xml:space="preserve">
Cette colonne me sert à mesurer le poids de chaque actif dans le portefeuille au moment de son évaluation.</t>
        </r>
      </text>
    </comment>
    <comment ref="G305" authorId="0" shapeId="0" xr:uid="{6EDF33EE-846F-46A4-A9BB-2EB50EFA7E18}">
      <text>
        <r>
          <rPr>
            <b/>
            <sz val="9"/>
            <color indexed="81"/>
            <rFont val="Tahoma"/>
            <family val="2"/>
          </rPr>
          <t>ANTUNES Manuel:</t>
        </r>
        <r>
          <rPr>
            <sz val="9"/>
            <color indexed="81"/>
            <rFont val="Tahoma"/>
            <family val="2"/>
          </rPr>
          <t xml:space="preserve">
Cette colonne n'est là qu'à titre indicatif, afin d'estimer la valeur du choc SCR (le stress adverse) sur la classe d'actifs ; et de la comparer éventuellement à la valeur du choc baseline obtenue.</t>
        </r>
      </text>
    </comment>
    <comment ref="J305" authorId="0" shapeId="0" xr:uid="{E2327044-9C3F-42E6-9D93-B79F6D6778DA}">
      <text>
        <r>
          <rPr>
            <b/>
            <sz val="9"/>
            <color indexed="81"/>
            <rFont val="Tahoma"/>
            <family val="2"/>
          </rPr>
          <t>ANTUNES Manuel:</t>
        </r>
        <r>
          <rPr>
            <sz val="9"/>
            <color indexed="81"/>
            <rFont val="Tahoma"/>
            <family val="2"/>
          </rPr>
          <t xml:space="preserve">
L'approche la plus basique ; consiste à calculer la borne inférieure de l'intervalle de confiance de la PMV de l'actif.
Ceci en utilisant simplement la moyenne et la variance de l'échantillon. Ainsi que la table de la loi normale.
Cette approche a l'avantage d'être très facile à implémenter et de ne pas nécessiter d'hypothèse sur la distribution des log-rendements.
En revanche, il ne faut ni que la profondeur de l'historique soit trop faible en comparaison de l'horizon temporel de la VAR ; ni qu'elle soit trop grande, pour s'assurer que la loi de probabilité n'ait pas trop changé durant la période d'étude.
Des 5 méthodes de calcul, j'estime que c'est globalement celle qui est la moins crédible. C'est pourquoi je lui alouerai une pondération plutôt faible dans le résultat final.
Lorsque l'horizon temporel des données est trop faible, et ceci pour des sauts entre les valeurs trop élevés, la VAR obtenue par cette méthode est abérrante. Ainsi je griserai les cellules et ne les prendrai pas en compte quand c'est le cas.
</t>
        </r>
      </text>
    </comment>
    <comment ref="K305" authorId="0" shapeId="0" xr:uid="{1AC58279-ADFE-4E58-A37C-0EE7661B377F}">
      <text>
        <r>
          <rPr>
            <b/>
            <sz val="9"/>
            <color indexed="81"/>
            <rFont val="Tahoma"/>
            <family val="2"/>
          </rPr>
          <t>ANTUNES Manuel:</t>
        </r>
        <r>
          <rPr>
            <sz val="9"/>
            <color indexed="81"/>
            <rFont val="Tahoma"/>
            <family val="2"/>
          </rPr>
          <t xml:space="preserve">
A partir de l'échantillon des log-rendements en entrée, cette méthode consiste à répliquer n fois le tirage aléatoire (avec remise) de h valeurs dans cet échantillon.
Ici n = 100 000 et h = 252 (correspondant au nombre de jours d'ouverture de la bourse sur une année).
A chacun des tirages est calculé le quantile 0,05 des plus petites valeurs de rendements.
Le résultat final de cette approche est la moyenne des quantiles obtenus lors des n tirages.
L'avantage de cette méthode est de pouvoir lisser les asymétries dans la distribution des données historiques, et de simuler un très grand nombre de trajectoires de prix à partir d'un seul échantillon. La dépréciation probable qui en résulte est donc vraisemblablement plus crédible que celle obtenue uniquement sur l'échantillon d'origine.
A part les ressources informatiques qui sont plus gourmandes, je ne lui vois aucun inconvénient majeur. Même un échantillon de petite taille permet, par le tirage avec remise, de simuler suffisamment de données pour obtenir une estimation satisfaisante de la VAR.
Je lui alouerai donc une pondération plus élevée dans le résultat final.
 </t>
        </r>
      </text>
    </comment>
    <comment ref="L305" authorId="0" shapeId="0" xr:uid="{9C152BA6-7EB9-414E-9104-DAA5EACB6B9C}">
      <text>
        <r>
          <rPr>
            <b/>
            <sz val="9"/>
            <color indexed="81"/>
            <rFont val="Tahoma"/>
            <charset val="1"/>
          </rPr>
          <t>ANTUNES Manuel:</t>
        </r>
        <r>
          <rPr>
            <sz val="9"/>
            <color indexed="81"/>
            <rFont val="Tahoma"/>
            <charset val="1"/>
          </rPr>
          <t xml:space="preserve">
La méthode analytique (ou paramétrique), consiste à définir une formule décrivant la distribution des pertes et profits, en supposant que ces variations suivent une loi normale.
En l'occurrence, mon programme calcule la volatilité historique de l'échantillon sur toute la période d'étude ; puis il la transforme en volatilité journalière. Et enfin il la ramène sur un horizon de un an (252 jours ouvrés à la bourse).
Inconvénient : cette méthode peut être inappropriée si la distribution des retours n'est pas normale. Plus généralement elle peut sous-estimer ou surestimer la dépréciation en fonction de la qualité des hypothèses de distribution.
De même qu'elle est également très sensible à la profondeur des données de cours, et des sauts importants entre les valeurs ; au même titre que l'approche historique.
Comme la qualité des hypothèses reste relativement incertaine pour ces données de cours (dont la profondeur est très variable), je lui alouerai donc une pondération plus faible que pour le bootstrap.
Je griserai également cette colonne lorsque les VAR sont abérrantes.</t>
        </r>
      </text>
    </comment>
    <comment ref="M305" authorId="0" shapeId="0" xr:uid="{E4BBAAE1-03F7-4C3C-90F4-B04E33CB5D5A}">
      <text>
        <r>
          <rPr>
            <b/>
            <sz val="9"/>
            <color indexed="81"/>
            <rFont val="Tahoma"/>
            <charset val="1"/>
          </rPr>
          <t>ANTUNES Manuel:</t>
        </r>
        <r>
          <rPr>
            <sz val="9"/>
            <color indexed="81"/>
            <rFont val="Tahoma"/>
            <charset val="1"/>
          </rPr>
          <t xml:space="preserve">
Cette approche nécessite de calculer les moments d'ordre 3 et 4 de l'échantillon, qui correspondent au skewness et kurtosis (les coefficients d'asymétrie et d'applatissement) de la distribution.
Il en découle ensuite le coefficient de Cornish Fisher, lequel sera multiplié de la même façon que le quantile alpha de la loi normale dans la méthode historique.
Cette approche a l'avantage de prendre en compte les moments d'ordres supérieurs de la distribution, ce qui permet potentiellement de fournir des estimations plus précises de la VAR. 
D'après mes observations néanmoins, lors que le Kurtosis est trop élevé (ce qui se traduit graphiquement par de nombreux pics dans les cours), la VAR calculée n'est pas concluante.
C'est pourquoi selon les titres, je pondérerai cette VAR soit autant que pour l'approche du bootstrap, soit je ne la prendrai pas du tout en compte et griserai cette colonne.</t>
        </r>
      </text>
    </comment>
    <comment ref="N305" authorId="0" shapeId="0" xr:uid="{C654D0DA-AE79-4531-BA32-D562D03DE719}">
      <text>
        <r>
          <rPr>
            <b/>
            <sz val="9"/>
            <color indexed="81"/>
            <rFont val="Tahoma"/>
            <family val="2"/>
          </rPr>
          <t>ANTUNES Manuel:</t>
        </r>
        <r>
          <rPr>
            <sz val="9"/>
            <color indexed="81"/>
            <rFont val="Tahoma"/>
            <family val="2"/>
          </rPr>
          <t xml:space="preserve">
** Exponentially Weigthed Moving Average
Ou moyenne exponentielle mobile, consiste à pondérer la valeur des rendements selon leur ancienneté ; de telle sorte à ce que les observations plus récentes aient un plus grand impact dans le résultat du calcul de la VAR.
La variance EWMA permet d'en déduire la volatilité, puis de la même façon que l'approche analytique, il en découle la VAR pour un horizon de un an.
Là encore, l'un des inconvénients est le changement possible dans la loi de probabilité, pour les données historiques profondes.
D'autre part j'ai pu constater des VAR abérrantes sur certains titres dont le nombre d'observations est faible (&lt; 100) et dont les sauts des valeurs entre chaque cours sont importants.
Lorsque c'est le cas, je grise la cellule.
Enfin, pour les plages de données profondes, je constate que l'approche EWMA a tendance à retourner une VAR plus faible que les autres approches ; ce qui est normal sachant que les fortes variabilités issues de conjonctures lointaines ne sont que peu prises en compte. Tandis que pour toutes les autres approches, elles ont le même poids que les données plus récentes. 
Ainsi même si j'estime que cette approche est plus crédible que les approches analytique et historique ; je lui préfère tout de même les approches de bootstrap et Cornish Fiser. Ceci car pour tout exercice de prudence, il vaut mieux surestimer légèrement la VAR finale, que de la sous-estimer.
J'ajusterai donc la pondération du résultat final en fonction de cela.
</t>
        </r>
      </text>
    </comment>
    <comment ref="O305" authorId="1" shapeId="0" xr:uid="{86492E36-5291-4512-8B42-A73F13E6DB29}">
      <text>
        <r>
          <rPr>
            <b/>
            <sz val="9"/>
            <color indexed="81"/>
            <rFont val="Tahoma"/>
            <charset val="1"/>
          </rPr>
          <t>Antunes Manuel:</t>
        </r>
        <r>
          <rPr>
            <sz val="9"/>
            <color indexed="81"/>
            <rFont val="Tahoma"/>
            <charset val="1"/>
          </rPr>
          <t xml:space="preserve">
Compte tenu de mes commentaires précédents, voici la pondération que j'utilise lorsque les 5 VAR ont pu être calculées correctement, et semblent afficher un résultat cohérent :
Approche historique : 1/10
Approche du bootstrap : 3/10
Approche analytique : 1/10
Approche de Cornish Fisher : 3/10
Approche EWMA : 2/10
Lorsqu'une ou plusieurs des approches sont manquantes, j'ajuste les coefficients en gardant globalement cet ordre de grandeur.</t>
        </r>
      </text>
    </comment>
    <comment ref="F338" authorId="0" shapeId="0" xr:uid="{E8F5F286-15B0-4A43-BAA9-B5CECFEE738E}">
      <text>
        <r>
          <rPr>
            <b/>
            <sz val="9"/>
            <color indexed="81"/>
            <rFont val="Tahoma"/>
            <family val="2"/>
          </rPr>
          <t>ANTUNES Manuel:</t>
        </r>
        <r>
          <rPr>
            <sz val="9"/>
            <color indexed="81"/>
            <rFont val="Tahoma"/>
            <family val="2"/>
          </rPr>
          <t xml:space="preserve">
Cette colonne me sert à mesurer le poids de chaque actif dans le portefeuille au moment de son évaluation.</t>
        </r>
      </text>
    </comment>
    <comment ref="G338" authorId="0" shapeId="0" xr:uid="{67D33D40-5426-43E9-B8B8-02743251EF2C}">
      <text>
        <r>
          <rPr>
            <b/>
            <sz val="9"/>
            <color indexed="81"/>
            <rFont val="Tahoma"/>
            <family val="2"/>
          </rPr>
          <t>ANTUNES Manuel:</t>
        </r>
        <r>
          <rPr>
            <sz val="9"/>
            <color indexed="81"/>
            <rFont val="Tahoma"/>
            <family val="2"/>
          </rPr>
          <t xml:space="preserve">
Cette colonne n'est là qu'à titre indicatif, afin d'estimer la valeur du choc SCR (le stress adverse) sur la classe d'actifs ; et de la comparer éventuellement à la valeur du choc baseline obtenue.</t>
        </r>
      </text>
    </comment>
    <comment ref="J338" authorId="0" shapeId="0" xr:uid="{84E849C0-EAC9-4501-8370-A3312BAABC56}">
      <text>
        <r>
          <rPr>
            <b/>
            <sz val="9"/>
            <color indexed="81"/>
            <rFont val="Tahoma"/>
            <family val="2"/>
          </rPr>
          <t>ANTUNES Manuel:</t>
        </r>
        <r>
          <rPr>
            <sz val="9"/>
            <color indexed="81"/>
            <rFont val="Tahoma"/>
            <family val="2"/>
          </rPr>
          <t xml:space="preserve">
L'approche la plus basique ; consiste à calculer la borne inférieure de l'intervalle de confiance de la PMV de l'actif.
Ceci en utilisant simplement la moyenne et la variance de l'échantillon. Ainsi que la table de la loi normale.
Cette approche a l'avantage d'être très facile à implémenter et de ne pas nécessiter d'hypothèse sur la distribution des log-rendements.
En revanche, il ne faut ni que la profondeur de l'historique soit trop faible en comparaison de l'horizon temporel de la VAR ; ni qu'elle soit trop grande, pour s'assurer que la loi de probabilité n'ait pas trop changé durant la période d'étude.
Des 5 méthodes de calcul, j'estime que c'est globalement celle qui est la moins crédible. C'est pourquoi je lui alouerai une pondération plutôt faible dans le résultat final.
Lorsque l'horizon temporel des données est trop faible, et ceci pour des sauts entre les valeurs trop élevés, la VAR obtenue par cette méthode est abérrante. Ainsi je griserai les cellules et ne les prendrai pas en compte quand c'est le cas.
</t>
        </r>
      </text>
    </comment>
    <comment ref="K338" authorId="0" shapeId="0" xr:uid="{D3505394-D050-4AB5-A0BF-46988D3D4819}">
      <text>
        <r>
          <rPr>
            <b/>
            <sz val="9"/>
            <color indexed="81"/>
            <rFont val="Tahoma"/>
            <family val="2"/>
          </rPr>
          <t>ANTUNES Manuel:</t>
        </r>
        <r>
          <rPr>
            <sz val="9"/>
            <color indexed="81"/>
            <rFont val="Tahoma"/>
            <family val="2"/>
          </rPr>
          <t xml:space="preserve">
A partir de l'échantillon des log-rendements en entrée, cette méthode consiste à répliquer n fois le tirage aléatoire (avec remise) de h valeurs dans cet échantillon.
Ici n = 100 000 et h = 252 (correspondant au nombre de jours d'ouverture de la bourse sur une année).
A chacun des tirages est calculé le quantile 0,05 des plus petites valeurs de rendements.
Le résultat final de cette approche est la moyenne des quantiles obtenus lors des n tirages.
L'avantage de cette méthode est de pouvoir lisser les asymétries dans la distribution des données historiques, et de simuler un très grand nombre de trajectoires de prix à partir d'un seul échantillon. La dépréciation probable qui en résulte est donc vraisemblablement plus crédible que celle obtenue uniquement sur l'échantillon d'origine.
A part les ressources informatiques qui sont plus gourmandes, je ne lui vois aucun inconvénient majeur. Même un échantillon de petite taille permet, par le tirage avec remise, de simuler suffisamment de données pour obtenir une estimation satisfaisante de la VAR.
Je lui alouerai donc une pondération plus élevée dans le résultat final.
 </t>
        </r>
      </text>
    </comment>
    <comment ref="L338" authorId="0" shapeId="0" xr:uid="{72225E35-A795-46FD-8D2C-19902815BD01}">
      <text>
        <r>
          <rPr>
            <b/>
            <sz val="9"/>
            <color indexed="81"/>
            <rFont val="Tahoma"/>
            <charset val="1"/>
          </rPr>
          <t>ANTUNES Manuel:</t>
        </r>
        <r>
          <rPr>
            <sz val="9"/>
            <color indexed="81"/>
            <rFont val="Tahoma"/>
            <charset val="1"/>
          </rPr>
          <t xml:space="preserve">
La méthode analytique (ou paramétrique), consiste à définir une formule décrivant la distribution des pertes et profits, en supposant que ces variations suivent une loi normale.
En l'occurrence, mon programme calcule la volatilité historique de l'échantillon sur toute la période d'étude ; puis il la transforme en volatilité journalière. Et enfin il la ramène sur un horizon de un an (252 jours ouvrés à la bourse).
Inconvénient : cette méthode peut être inappropriée si la distribution des retours n'est pas normale. Plus généralement elle peut sous-estimer ou surestimer la dépréciation en fonction de la qualité des hypothèses de distribution.
De même qu'elle est également très sensible à la profondeur des données de cours, et des sauts importants entre les valeurs ; au même titre que l'approche historique.
Comme la qualité des hypothèses reste relativement incertaine pour ces données de cours (dont la profondeur est très variable), je lui alouerai donc une pondération plus faible que pour le bootstrap.
Je griserai également cette colonne lorsque les VAR sont abérrantes.</t>
        </r>
      </text>
    </comment>
    <comment ref="M338" authorId="0" shapeId="0" xr:uid="{3BF243E2-7B48-4A62-80C9-720C90A83E55}">
      <text>
        <r>
          <rPr>
            <b/>
            <sz val="9"/>
            <color indexed="81"/>
            <rFont val="Tahoma"/>
            <charset val="1"/>
          </rPr>
          <t>ANTUNES Manuel:</t>
        </r>
        <r>
          <rPr>
            <sz val="9"/>
            <color indexed="81"/>
            <rFont val="Tahoma"/>
            <charset val="1"/>
          </rPr>
          <t xml:space="preserve">
Cette approche nécessite de calculer les moments d'ordre 3 et 4 de l'échantillon, qui correspondent au skewness et kurtosis (les coefficients d'asymétrie et d'applatissement) de la distribution.
Il en découle ensuite le coefficient de Cornish Fisher, lequel sera multiplié de la même façon que le quantile alpha de la loi normale dans la méthode historique.
Cette approche a l'avantage de prendre en compte les moments d'ordres supérieurs de la distribution, ce qui permet potentiellement de fournir des estimations plus précises de la VAR. 
D'après mes observations néanmoins, lors que le Kurtosis est trop élevé (ce qui se traduit graphiquement par de nombreux pics dans les cours), la VAR calculée n'est pas concluante.
C'est pourquoi selon les titres, je pondérerai cette VAR soit autant que pour l'approche du bootstrap, soit je ne la prendrai pas du tout en compte et griserai cette colonne.</t>
        </r>
      </text>
    </comment>
    <comment ref="N338" authorId="0" shapeId="0" xr:uid="{7D000173-2C49-4AD7-A927-704E43B2AC5D}">
      <text>
        <r>
          <rPr>
            <b/>
            <sz val="9"/>
            <color indexed="81"/>
            <rFont val="Tahoma"/>
            <family val="2"/>
          </rPr>
          <t>ANTUNES Manuel:</t>
        </r>
        <r>
          <rPr>
            <sz val="9"/>
            <color indexed="81"/>
            <rFont val="Tahoma"/>
            <family val="2"/>
          </rPr>
          <t xml:space="preserve">
** Exponentially Weigthed Moving Average
Ou moyenne exponentielle mobile, consiste à pondérer la valeur des rendements selon leur ancienneté ; de telle sorte à ce que les observations plus récentes aient un plus grand impact dans le résultat du calcul de la VAR.
La variance EWMA permet d'en déduire la volatilité, puis de la même façon que l'approche analytique, il en découle la VAR pour un horizon de un an.
Là encore, l'un des inconvénients est le changement possible dans la loi de probabilité, pour les données historiques profondes.
D'autre part j'ai pu constater des VAR abérrantes sur certains titres dont le nombre d'observations est faible (&lt; 100) et dont les sauts des valeurs entre chaque cours sont importants.
Lorsque c'est le cas, je grise la cellule.
Enfin, pour les plages de données profondes, je constate que l'approche EWMA a tendance à retourner une VAR plus faible que les autres approches ; ce qui est normal sachant que les fortes variabilités issues de conjonctures lointaines ne sont que peu prises en compte. Tandis que pour toutes les autres approches, elles ont le même poids que les données plus récentes. 
Ainsi même si j'estime que cette approche est plus crédible que les approches analytique et historique ; je lui préfère tout de même les approches de bootstrap et Cornish Fiser. Ceci car pour tout exercice de prudence, il vaut mieux surestimer légèrement la VAR finale, que de la sous-estimer.
J'ajusterai donc la pondération du résultat final en fonction de cela.
</t>
        </r>
      </text>
    </comment>
    <comment ref="O338" authorId="1" shapeId="0" xr:uid="{B2124C08-B13C-4EB7-A593-FA89570FAE03}">
      <text>
        <r>
          <rPr>
            <b/>
            <sz val="9"/>
            <color indexed="81"/>
            <rFont val="Tahoma"/>
            <charset val="1"/>
          </rPr>
          <t>Antunes Manuel:</t>
        </r>
        <r>
          <rPr>
            <sz val="9"/>
            <color indexed="81"/>
            <rFont val="Tahoma"/>
            <charset val="1"/>
          </rPr>
          <t xml:space="preserve">
Compte tenu de mes commentaires précédents, voici la pondération que j'utilise lorsque les 5 VAR ont pu être calculées correctement, et semblent afficher un résultat cohérent :
Approche historique : 1/10
Approche du bootstrap : 3/10
Approche analytique : 1/10
Approche de Cornish Fisher : 3/10
Approche EWMA : 2/10
Lorsqu'une ou plusieurs des approches sont manquantes, j'ajuste les coefficients en gardant globalement cet ordre de grandeur.</t>
        </r>
      </text>
    </comment>
    <comment ref="F346" authorId="0" shapeId="0" xr:uid="{CD4504D1-DC3D-47C1-A6DE-C45457216C9A}">
      <text>
        <r>
          <rPr>
            <b/>
            <sz val="9"/>
            <color indexed="81"/>
            <rFont val="Tahoma"/>
            <family val="2"/>
          </rPr>
          <t>ANTUNES Manuel:</t>
        </r>
        <r>
          <rPr>
            <sz val="9"/>
            <color indexed="81"/>
            <rFont val="Tahoma"/>
            <family val="2"/>
          </rPr>
          <t xml:space="preserve">
A la demande de Mr. Laforge, j'ai repris les indices de la classe Actions pour les calculs de celle-ci.</t>
        </r>
      </text>
    </comment>
    <comment ref="O358" authorId="0" shapeId="0" xr:uid="{B80B1441-EFFF-42BE-8A1F-9F0FC4B17558}">
      <text>
        <r>
          <rPr>
            <b/>
            <sz val="9"/>
            <color indexed="81"/>
            <rFont val="Tahoma"/>
            <family val="2"/>
          </rPr>
          <t xml:space="preserve">ANTUNES Manuel:
</t>
        </r>
        <r>
          <rPr>
            <sz val="9"/>
            <color indexed="81"/>
            <rFont val="Tahoma"/>
            <family val="2"/>
          </rPr>
          <t xml:space="preserve">
Cette fois encore la valeur estimée du stress adverse semble incohérente ; puisqu'elle serait pratiquement égale à celle du stress baseline. Mais je la laisse telle quelle pour d'éventuels futurs développements.</t>
        </r>
      </text>
    </comment>
    <comment ref="F377" authorId="0" shapeId="0" xr:uid="{666C9B22-13E6-4CB0-8AE1-8E267AFB3832}">
      <text>
        <r>
          <rPr>
            <b/>
            <sz val="9"/>
            <color indexed="81"/>
            <rFont val="Tahoma"/>
            <family val="2"/>
          </rPr>
          <t>ANTUNES Manuel:</t>
        </r>
        <r>
          <rPr>
            <sz val="9"/>
            <color indexed="81"/>
            <rFont val="Tahoma"/>
            <family val="2"/>
          </rPr>
          <t xml:space="preserve">
Cette colonne me sert à mesurer le poids de chaque actif dans le portefeuille au moment de son évaluation.</t>
        </r>
      </text>
    </comment>
    <comment ref="G377" authorId="0" shapeId="0" xr:uid="{B07F3570-7B00-49A0-A926-35A62691BBBA}">
      <text>
        <r>
          <rPr>
            <b/>
            <sz val="9"/>
            <color indexed="81"/>
            <rFont val="Tahoma"/>
            <family val="2"/>
          </rPr>
          <t>ANTUNES Manuel:</t>
        </r>
        <r>
          <rPr>
            <sz val="9"/>
            <color indexed="81"/>
            <rFont val="Tahoma"/>
            <family val="2"/>
          </rPr>
          <t xml:space="preserve">
Cette colonne n'est là qu'à titre indicatif, afin d'estimer la valeur du choc SCR (le stress adverse) sur la classe d'actifs ; et de la comparer éventuellement à la valeur du choc baseline obtenue.</t>
        </r>
      </text>
    </comment>
    <comment ref="J377" authorId="0" shapeId="0" xr:uid="{E000AE58-2DD6-4D02-8FDE-0F7A45FD0344}">
      <text>
        <r>
          <rPr>
            <b/>
            <sz val="9"/>
            <color indexed="81"/>
            <rFont val="Tahoma"/>
            <family val="2"/>
          </rPr>
          <t>ANTUNES Manuel:</t>
        </r>
        <r>
          <rPr>
            <sz val="9"/>
            <color indexed="81"/>
            <rFont val="Tahoma"/>
            <family val="2"/>
          </rPr>
          <t xml:space="preserve">
L'approche la plus basique ; consiste à calculer la borne inférieure de l'intervalle de confiance de la PMV de l'actif.
Ceci en utilisant simplement la moyenne et la variance de l'échantillon. Ainsi que la table de la loi normale.
Cette approche a l'avantage d'être très facile à implémenter et de ne pas nécessiter d'hypothèse sur la distribution des log-rendements.
En revanche, il ne faut ni que la profondeur de l'historique soit trop faible en comparaison de l'horizon temporel de la VAR ; ni qu'elle soit trop grande, pour s'assurer que la loi de probabilité n'ait pas trop changé durant la période d'étude.
Des 5 méthodes de calcul, j'estime que c'est globalement celle qui est la moins crédible. C'est pourquoi je lui alouerai une pondération plutôt faible dans le résultat final.
Lorsque l'horizon temporel des données est trop faible, et ceci pour des sauts entre les valeurs trop élevés, la VAR obtenue par cette méthode est abérrante. Ainsi je griserai les cellules et ne les prendrai pas en compte quand c'est le cas.
</t>
        </r>
      </text>
    </comment>
    <comment ref="K377" authorId="0" shapeId="0" xr:uid="{CE563C45-2584-432D-96F8-B4B5EA80EEFD}">
      <text>
        <r>
          <rPr>
            <b/>
            <sz val="9"/>
            <color indexed="81"/>
            <rFont val="Tahoma"/>
            <family val="2"/>
          </rPr>
          <t>ANTUNES Manuel:</t>
        </r>
        <r>
          <rPr>
            <sz val="9"/>
            <color indexed="81"/>
            <rFont val="Tahoma"/>
            <family val="2"/>
          </rPr>
          <t xml:space="preserve">
A partir de l'échantillon des log-rendements en entrée, cette méthode consiste à répliquer n fois le tirage aléatoire (avec remise) de h valeurs dans cet échantillon.
Ici n = 100 000 et h = 252 (correspondant au nombre de jours d'ouverture de la bourse sur une année).
A chacun des tirages est calculé le quantile 0,05 des plus petites valeurs de rendements.
Le résultat final de cette approche est la moyenne des quantiles obtenus lors des n tirages.
L'avantage de cette méthode est de pouvoir lisser les asymétries dans la distribution des données historiques, et de simuler un très grand nombre de trajectoires de prix à partir d'un seul échantillon. La dépréciation probable qui en résulte est donc vraisemblablement plus crédible que celle obtenue uniquement sur l'échantillon d'origine.
A part les ressources informatiques qui sont plus gourmandes, je ne lui vois aucun inconvénient majeur. Même un échantillon de petite taille permet, par le tirage avec remise, de simuler suffisamment de données pour obtenir une estimation satisfaisante de la VAR.
Je lui alouerai donc une pondération plus élevée dans le résultat final.
 </t>
        </r>
      </text>
    </comment>
    <comment ref="L377" authorId="0" shapeId="0" xr:uid="{E8A7E56E-77B0-4CD5-89B6-75FA49934FAA}">
      <text>
        <r>
          <rPr>
            <b/>
            <sz val="9"/>
            <color indexed="81"/>
            <rFont val="Tahoma"/>
            <charset val="1"/>
          </rPr>
          <t>ANTUNES Manuel:</t>
        </r>
        <r>
          <rPr>
            <sz val="9"/>
            <color indexed="81"/>
            <rFont val="Tahoma"/>
            <charset val="1"/>
          </rPr>
          <t xml:space="preserve">
La méthode analytique (ou paramétrique), consiste à définir une formule décrivant la distribution des pertes et profits, en supposant que ces variations suivent une loi normale.
En l'occurrence, mon programme calcule la volatilité historique de l'échantillon sur toute la période d'étude ; puis il la transforme en volatilité journalière. Et enfin il la ramène sur un horizon de un an (252 jours ouvrés à la bourse).
Inconvénient : cette méthode peut être inappropriée si la distribution des retours n'est pas normale. Plus généralement elle peut sous-estimer ou surestimer la dépréciation en fonction de la qualité des hypothèses de distribution.
De même qu'elle est également très sensible à la profondeur des données de cours, et des sauts importants entre les valeurs ; au même titre que l'approche historique.
Comme la qualité des hypothèses reste relativement incertaine pour ces données de cours (dont la profondeur est très variable), je lui alouerai donc une pondération plus faible que pour le bootstrap.
Je griserai également cette colonne lorsque les VAR sont abérrantes.</t>
        </r>
      </text>
    </comment>
    <comment ref="M377" authorId="0" shapeId="0" xr:uid="{68E65DA1-3032-40BA-A0BA-B3191986DDC7}">
      <text>
        <r>
          <rPr>
            <b/>
            <sz val="9"/>
            <color indexed="81"/>
            <rFont val="Tahoma"/>
            <charset val="1"/>
          </rPr>
          <t>ANTUNES Manuel:</t>
        </r>
        <r>
          <rPr>
            <sz val="9"/>
            <color indexed="81"/>
            <rFont val="Tahoma"/>
            <charset val="1"/>
          </rPr>
          <t xml:space="preserve">
Cette approche nécessite de calculer les moments d'ordre 3 et 4 de l'échantillon, qui correspondent au skewness et kurtosis (les coefficients d'asymétrie et d'applatissement) de la distribution.
Il en découle ensuite le coefficient de Cornish Fisher, lequel sera multiplié de la même façon que le quantile alpha de la loi normale dans la méthode historique.
Cette approche a l'avantage de prendre en compte les moments d'ordres supérieurs de la distribution, ce qui permet potentiellement de fournir des estimations plus précises de la VAR. 
D'après mes observations néanmoins, lors que le Kurtosis est trop élevé (ce qui se traduit graphiquement par de nombreux pics dans les cours), la VAR calculée n'est pas concluante.
C'est pourquoi selon les titres, je pondérerai cette VAR soit autant que pour l'approche du bootstrap, soit je ne la prendrai pas du tout en compte et griserai cette colonne.</t>
        </r>
      </text>
    </comment>
    <comment ref="N377" authorId="0" shapeId="0" xr:uid="{0D7C59BA-796E-4BBD-9BA6-CE4A4A2DFD06}">
      <text>
        <r>
          <rPr>
            <b/>
            <sz val="9"/>
            <color indexed="81"/>
            <rFont val="Tahoma"/>
            <family val="2"/>
          </rPr>
          <t>ANTUNES Manuel:</t>
        </r>
        <r>
          <rPr>
            <sz val="9"/>
            <color indexed="81"/>
            <rFont val="Tahoma"/>
            <family val="2"/>
          </rPr>
          <t xml:space="preserve">
** Exponentially Weigthed Moving Average
Ou moyenne exponentielle mobile, consiste à pondérer la valeur des rendements selon leur ancienneté ; de telle sorte à ce que les observations plus récentes aient un plus grand impact dans le résultat du calcul de la VAR.
La variance EWMA permet d'en déduire la volatilité, puis de la même façon que l'approche analytique, il en découle la VAR pour un horizon de un an.
Là encore, l'un des inconvénients est le changement possible dans la loi de probabilité, pour les données historiques profondes.
D'autre part j'ai pu constater des VAR abérrantes sur certains titres dont le nombre d'observations est faible (&lt; 100) et dont les sauts des valeurs entre chaque cours sont importants.
Lorsque c'est le cas, je grise la cellule.
Enfin, pour les plages de données profondes, je constate que l'approche EWMA a tendance à retourner une VAR plus faible que les autres approches ; ce qui est normal sachant que les fortes variabilités issues de conjonctures lointaines ne sont que peu prises en compte. Tandis que pour toutes les autres approches, elles ont le même poids que les données plus récentes. 
Ainsi même si j'estime que cette approche est plus crédible que les approches analytique et historique ; je lui préfère tout de même les approches de bootstrap et Cornish Fiser. Ceci car pour tout exercice de prudence, il vaut mieux surestimer légèrement la VAR finale, que de la sous-estimer.
J'ajusterai donc la pondération du résultat final en fonction de cela.
</t>
        </r>
      </text>
    </comment>
    <comment ref="O377" authorId="1" shapeId="0" xr:uid="{2043064F-2FD8-4F5A-8D3E-DD75E40AA806}">
      <text>
        <r>
          <rPr>
            <b/>
            <sz val="9"/>
            <color indexed="81"/>
            <rFont val="Tahoma"/>
            <charset val="1"/>
          </rPr>
          <t>Antunes Manuel:</t>
        </r>
        <r>
          <rPr>
            <sz val="9"/>
            <color indexed="81"/>
            <rFont val="Tahoma"/>
            <charset val="1"/>
          </rPr>
          <t xml:space="preserve">
Compte tenu de mes commentaires précédents, voici la pondération que j'utilise lorsque les 5 VAR ont pu être calculées correctement, et semblent afficher un résultat cohérent :
Approche historique : 1/10
Approche du bootstrap : 3/10
Approche analytique : 1/10
Approche de Cornish Fisher : 3/10
Approche EWMA : 2/10
Lorsqu'une ou plusieurs des approches sont manquantes, j'ajuste les coefficients en gardant globalement cet ordre de grandeur.</t>
        </r>
      </text>
    </comment>
    <comment ref="F388" authorId="0" shapeId="0" xr:uid="{DF2E6C00-3D2B-454F-8EBF-E60D9405F994}">
      <text>
        <r>
          <rPr>
            <b/>
            <sz val="9"/>
            <color indexed="81"/>
            <rFont val="Tahoma"/>
            <family val="2"/>
          </rPr>
          <t>ANTUNES Manuel:</t>
        </r>
        <r>
          <rPr>
            <sz val="9"/>
            <color indexed="81"/>
            <rFont val="Tahoma"/>
            <family val="2"/>
          </rPr>
          <t xml:space="preserve">
A la demande de Mr. Laforge, j'ai repris les indices de la classe Actions pour les calculs de celle-ci.</t>
        </r>
      </text>
    </comment>
  </commentList>
</comments>
</file>

<file path=xl/sharedStrings.xml><?xml version="1.0" encoding="utf-8"?>
<sst xmlns="http://schemas.openxmlformats.org/spreadsheetml/2006/main" count="643" uniqueCount="279">
  <si>
    <t>Actions et OPCVM actions</t>
  </si>
  <si>
    <t>Libellé</t>
  </si>
  <si>
    <t>Fonds Amiral Gestion</t>
  </si>
  <si>
    <t>FR0013385952</t>
  </si>
  <si>
    <t>Galaxy Plus Hedge Fund</t>
  </si>
  <si>
    <t>ESCA00008033</t>
  </si>
  <si>
    <t>Idsud</t>
  </si>
  <si>
    <t>FR0000062184</t>
  </si>
  <si>
    <t>Laffitte Risk Arbitrage</t>
  </si>
  <si>
    <t>LU2112746206</t>
  </si>
  <si>
    <t>LYXOR CAC 40</t>
  </si>
  <si>
    <t>FR0013380607</t>
  </si>
  <si>
    <t>Lyxor PEA NASDAQ-100 UCITS ETF</t>
  </si>
  <si>
    <t>FR0011871110</t>
  </si>
  <si>
    <t>LYXOR PEA S&amp;P500</t>
  </si>
  <si>
    <t>FR0011871128</t>
  </si>
  <si>
    <t>Promepar Avenir Dividendes FCP</t>
  </si>
  <si>
    <t>FR0013374998</t>
  </si>
  <si>
    <t>RCUB MULTI STRATEGIE</t>
  </si>
  <si>
    <t>FR00140017Y5</t>
  </si>
  <si>
    <t>RESCAP LIQ TU D.</t>
  </si>
  <si>
    <t>US7608412059</t>
  </si>
  <si>
    <t>Televerbier</t>
  </si>
  <si>
    <t>CH0008175645</t>
  </si>
  <si>
    <t>Tracker Lyxor STOXX European 600 Banks</t>
  </si>
  <si>
    <t>LU1834983477</t>
  </si>
  <si>
    <t>CITIGROUP  (EVOLUSIS 9)</t>
  </si>
  <si>
    <t>FR001400AFS0</t>
  </si>
  <si>
    <t>CITIGROUP GLOB MKT FND L (EVOLUSIS 8)</t>
  </si>
  <si>
    <t>FR0014007H63</t>
  </si>
  <si>
    <t>DOM QUANTALYS 30</t>
  </si>
  <si>
    <t>FR0010313726</t>
  </si>
  <si>
    <t>DOM QUANTALYS 60</t>
  </si>
  <si>
    <t>FR0010313734</t>
  </si>
  <si>
    <t>DOM QUANTALYS 80</t>
  </si>
  <si>
    <t>FR0010313718</t>
  </si>
  <si>
    <t>DOM SELECTION ACTION MIDCAP</t>
  </si>
  <si>
    <t>FR0010257527</t>
  </si>
  <si>
    <t>Placeuro Dom Performance Active</t>
  </si>
  <si>
    <t>LU1909083484</t>
  </si>
  <si>
    <t>BNP Structuré (Evolusis 6) 14/11/2033</t>
  </si>
  <si>
    <t>FR0014003DQ8</t>
  </si>
  <si>
    <t>GOLMAN Sachs Structuré (Evolusis 7) 01/12/2033</t>
  </si>
  <si>
    <t>FR0014004IB7</t>
  </si>
  <si>
    <t>DOM Finance - Esk Exclusif</t>
  </si>
  <si>
    <t>FR0011993237</t>
  </si>
  <si>
    <t>ESK EXCLUSIF - Part C</t>
  </si>
  <si>
    <t>FR0011539550</t>
  </si>
  <si>
    <t>ESK Exclusif Fond Part F</t>
  </si>
  <si>
    <t>FR0007038674</t>
  </si>
  <si>
    <t>H2O ADAGIO SP PART R FCP 4DEC</t>
  </si>
  <si>
    <t>FR0013534898</t>
  </si>
  <si>
    <t>H2O ADAGIO SP SR EUR FCP 4DEC</t>
  </si>
  <si>
    <t>FR0013535077</t>
  </si>
  <si>
    <t>H2O ALLEGRO SP SR EUR FCP 4DEC</t>
  </si>
  <si>
    <t>FR0013535655</t>
  </si>
  <si>
    <t>H2O MODERATO SP R FCP 4DEC</t>
  </si>
  <si>
    <t>FR0013535283</t>
  </si>
  <si>
    <t>H2O MODERATO SP SR EUR FCP 4D</t>
  </si>
  <si>
    <t>FR0013535176</t>
  </si>
  <si>
    <t>H2O MULTIBOND.SP SR EUR FCP 4D</t>
  </si>
  <si>
    <t>FR0013536109</t>
  </si>
  <si>
    <t>H2O MULTIBONDS SP R FCP 4DEC</t>
  </si>
  <si>
    <t>FR0013535952</t>
  </si>
  <si>
    <t>Quantité</t>
  </si>
  <si>
    <t>SCR spécifique EUR</t>
  </si>
  <si>
    <t>Nombre d'observations</t>
  </si>
  <si>
    <t>ISIN ou identifiant</t>
  </si>
  <si>
    <t>Oui</t>
  </si>
  <si>
    <t>Non</t>
  </si>
  <si>
    <t>CAC 40 GR</t>
  </si>
  <si>
    <t>MSCI World Net Total Return index</t>
  </si>
  <si>
    <t>STOXX 600</t>
  </si>
  <si>
    <t>SXXP</t>
  </si>
  <si>
    <t>PX1GR</t>
  </si>
  <si>
    <t>Approche historique</t>
  </si>
  <si>
    <t>Approche analytique</t>
  </si>
  <si>
    <t>Informations générales*</t>
  </si>
  <si>
    <t>Approche du bootstrap</t>
  </si>
  <si>
    <t>Approche de Cornish Fisher</t>
  </si>
  <si>
    <t>Approche EWMA**</t>
  </si>
  <si>
    <t>* Les informations générales s'appuient sur le rapport hebdomadaire du 16/01/2023</t>
  </si>
  <si>
    <t>Oui (hebdomadaires)</t>
  </si>
  <si>
    <t>Oui mais granularité irrégulière</t>
  </si>
  <si>
    <t>Oui mais granularité trop irrégulière</t>
  </si>
  <si>
    <t>Oui mais importants sauts entre les valeurs</t>
  </si>
  <si>
    <t>Total classe d'actifs :</t>
  </si>
  <si>
    <t>Pondération des approches</t>
  </si>
  <si>
    <t>Données de cours (Oui / Non / Défauts éventuels)</t>
  </si>
  <si>
    <t>VAR finale de l'actif</t>
  </si>
  <si>
    <t>Résultats</t>
  </si>
  <si>
    <t>VAR totale :</t>
  </si>
  <si>
    <t>Stress baseline</t>
  </si>
  <si>
    <t>Stress adverse (estimation)</t>
  </si>
  <si>
    <t xml:space="preserve">Valeur totale des titres substitués par les indices boursiers </t>
  </si>
  <si>
    <t>Estimation de la dépréciation maximale de l'actif sur un horizon de un an, au seuil de confiance 95% (à l'aide de 5 méthodes de calcul de la value at risk VAR)</t>
  </si>
  <si>
    <t>Dettes privées, fonds de dettes</t>
  </si>
  <si>
    <t>FASANARA</t>
  </si>
  <si>
    <t>LU2131876513</t>
  </si>
  <si>
    <t>France ECONOMIE REELLE (DELTA AM)</t>
  </si>
  <si>
    <t>FR0014003WN5</t>
  </si>
  <si>
    <t>KARTESIA Crédit Opportunities V</t>
  </si>
  <si>
    <t>LU2088686089</t>
  </si>
  <si>
    <t>KARTESIA KCO VI</t>
  </si>
  <si>
    <t>LU2563804983</t>
  </si>
  <si>
    <t>LFPI DEBT OPPORT SCA SICAV- RAID-A EUR DIS</t>
  </si>
  <si>
    <t>LU2386583657</t>
  </si>
  <si>
    <t>LOUVECIENNES DEV PERP (TP)</t>
  </si>
  <si>
    <t>ESCA00007774</t>
  </si>
  <si>
    <t>Nouvelle Energie II-1</t>
  </si>
  <si>
    <t>FR0013422169</t>
  </si>
  <si>
    <t>R Funds A</t>
  </si>
  <si>
    <t>FR0014002OF0</t>
  </si>
  <si>
    <t xml:space="preserve">iBoxx EUR Corporate Bond Yield Plus UCITS ETF 1D </t>
  </si>
  <si>
    <t>S&amp;P INTERNATIONAL CORPORATE BOND INDEX</t>
  </si>
  <si>
    <t>iShares Euro Investment Grade Corporate Bond Index</t>
  </si>
  <si>
    <t>IE00B3XPCW80</t>
  </si>
  <si>
    <t>IE00BYPHT736</t>
  </si>
  <si>
    <t>Oui (mensuelles)</t>
  </si>
  <si>
    <t>Oui mais sauts trop importants entre les valeurs</t>
  </si>
  <si>
    <t>Immobilier papier</t>
  </si>
  <si>
    <t>Suggestion de paramètre final pour le choc baseline :</t>
  </si>
  <si>
    <t>LD INVESTISSEMENT</t>
  </si>
  <si>
    <t>ESCA00007970</t>
  </si>
  <si>
    <t>PLEYEL INVESTISSEMENT</t>
  </si>
  <si>
    <t>ESCA00007839</t>
  </si>
  <si>
    <t>SCI DU QUAI KLEBER</t>
  </si>
  <si>
    <t>ESCA00007896</t>
  </si>
  <si>
    <t>SCI DUTILLEUL</t>
  </si>
  <si>
    <t>FRSCIDUTILLEUL</t>
  </si>
  <si>
    <t>SCPI RIVOLI AVENIR PATRIMOINE</t>
  </si>
  <si>
    <t>ESCA00007306</t>
  </si>
  <si>
    <t>SCPI EPARGNE PIERRE</t>
  </si>
  <si>
    <t>ESCA00008015</t>
  </si>
  <si>
    <t>SCPI EUROVALYS</t>
  </si>
  <si>
    <t>ESCA00008016</t>
  </si>
  <si>
    <t>SCPI FICOMMERCE</t>
  </si>
  <si>
    <t>ESCA00007976</t>
  </si>
  <si>
    <t>SCPI PFO2</t>
  </si>
  <si>
    <t>ESCA00007986</t>
  </si>
  <si>
    <t>SCPI PRIMOVIE</t>
  </si>
  <si>
    <t>ESCA00008006</t>
  </si>
  <si>
    <t>SCPI CREDIT MUTUEL PIERRE 1</t>
  </si>
  <si>
    <t>ESCA00008000</t>
  </si>
  <si>
    <t>SCI PERIAL EURO CARBONE EUR A</t>
  </si>
  <si>
    <t>FR0014002MX7</t>
  </si>
  <si>
    <t>SCI PYTHAGORE</t>
  </si>
  <si>
    <t>FR0014000F47</t>
  </si>
  <si>
    <t>SCI ViaGénérations</t>
  </si>
  <si>
    <t>FR0013305729</t>
  </si>
  <si>
    <t>SCPI EPARGNE FONCIERE</t>
  </si>
  <si>
    <t>ESCA00008020</t>
  </si>
  <si>
    <t>175 (mensuelles)</t>
  </si>
  <si>
    <t>IEIF SIIC France</t>
  </si>
  <si>
    <t>Indice EDHEC IEIF SCPI</t>
  </si>
  <si>
    <t>SIIC.PA</t>
  </si>
  <si>
    <t>Paris 16 rue de Marignan</t>
  </si>
  <si>
    <t>IM00000004BA</t>
  </si>
  <si>
    <t>Paris 16 rue de Marignan (Acomptes)</t>
  </si>
  <si>
    <t>IM00000004AC</t>
  </si>
  <si>
    <t>Strasbourg 2-18 rue des Pontonniers</t>
  </si>
  <si>
    <t>IM00000001BA</t>
  </si>
  <si>
    <t>Strasbourg 2-18 rue des Pontonniers (Acomptes)</t>
  </si>
  <si>
    <t>IM00000001AC</t>
  </si>
  <si>
    <t>Villeurbannes 115-119 Boulevard Stalingrad</t>
  </si>
  <si>
    <t>IM00000002BA</t>
  </si>
  <si>
    <t>Villeurbannes 115-119 Boulevard Stalingrad (Acomptes)</t>
  </si>
  <si>
    <t>IM00000002AC</t>
  </si>
  <si>
    <t>Immobilier pierre</t>
  </si>
  <si>
    <t>ANDERA Smart Infra</t>
  </si>
  <si>
    <t>FR0014002RF3</t>
  </si>
  <si>
    <t>ATLANTE INFRA LUX SCA SICAV-SIF - YIELD CORE</t>
  </si>
  <si>
    <t>LU2445116192</t>
  </si>
  <si>
    <t>Brownfields 4</t>
  </si>
  <si>
    <t>FR0014009WQ5</t>
  </si>
  <si>
    <t>Foncière des Générations</t>
  </si>
  <si>
    <t>FR0013508389</t>
  </si>
  <si>
    <t>InfraGreen V</t>
  </si>
  <si>
    <t>FR001400C643</t>
  </si>
  <si>
    <t>InfraVia European Fund V FCPI</t>
  </si>
  <si>
    <t>FR0014001DZ3</t>
  </si>
  <si>
    <t>Quaero European Infrastructure Fund</t>
  </si>
  <si>
    <t>FR0013425527</t>
  </si>
  <si>
    <t>Quantonation 1 (SWEN)</t>
  </si>
  <si>
    <t>FR0013516416</t>
  </si>
  <si>
    <t>UNIGESTION Secondary V FCPI - Europe part A</t>
  </si>
  <si>
    <t>FR0013514817</t>
  </si>
  <si>
    <t>UNIGESTION Secondary V FCPI - WORKD Ex Europe part A</t>
  </si>
  <si>
    <t>FR0013514767</t>
  </si>
  <si>
    <t>Olympia</t>
  </si>
  <si>
    <t>FR0013461662</t>
  </si>
  <si>
    <t>Infrastructures</t>
  </si>
  <si>
    <t>Obligations</t>
  </si>
  <si>
    <t>ACCOR 2,625% 30/04/2025 - TV PERP</t>
  </si>
  <si>
    <t>FR0013457157</t>
  </si>
  <si>
    <t>AEGON 5.625% 15/10/2029 - TV PERP</t>
  </si>
  <si>
    <t>XS1886478806</t>
  </si>
  <si>
    <t>AT&amp;T 2,875% 01/05/2025 - TV PERP</t>
  </si>
  <si>
    <t>XS2114413565</t>
  </si>
  <si>
    <t>CASINO CMS PERP</t>
  </si>
  <si>
    <t>FR0010154385</t>
  </si>
  <si>
    <t>Diamant Bleu Sub</t>
  </si>
  <si>
    <t>FR0013256245</t>
  </si>
  <si>
    <t>DSB LYXOR BUND Daily -2X</t>
  </si>
  <si>
    <t>FR0010869578</t>
  </si>
  <si>
    <t>LA MONDIALE 5.05% 17/12/2025 - TV PERP</t>
  </si>
  <si>
    <t>XS1155697243</t>
  </si>
  <si>
    <t>LAZARD CONVERTIBLE GLOB-ICHE</t>
  </si>
  <si>
    <t>FR0013185535</t>
  </si>
  <si>
    <t>Placeuro DOM Opportunités</t>
  </si>
  <si>
    <t>LU2004791492</t>
  </si>
  <si>
    <t>SOLVAY 4,25% 04/03/2024 - TV PERP</t>
  </si>
  <si>
    <t>BE6309987400</t>
  </si>
  <si>
    <t>SUDZUCKER FLOAT PERP</t>
  </si>
  <si>
    <t>XS0222524372</t>
  </si>
  <si>
    <t>TOTAL 3.369% 06/10/2026 - TV PERP</t>
  </si>
  <si>
    <t>XS1501166869</t>
  </si>
  <si>
    <t>ALTAROCCA RENDT 2023 FCP</t>
  </si>
  <si>
    <t>FR0013193679</t>
  </si>
  <si>
    <t>DOM ALPHA OBLIGATIONS CREDIT Part I</t>
  </si>
  <si>
    <t>FR0011451905</t>
  </si>
  <si>
    <t xml:space="preserve">ALLIANZ MONETAIRE C SI.3DEC     </t>
  </si>
  <si>
    <t>FR0000011884</t>
  </si>
  <si>
    <t>Oui mais très importants sauts entre les valeurs</t>
  </si>
  <si>
    <t>Xtrackers II Global Government Bond UCITS ETF 1C - EUR Hedged</t>
  </si>
  <si>
    <t>iBoxx Eurozone Government Bond Yield Plus 1-3 UCITS ETF 1C</t>
  </si>
  <si>
    <t>LU0925589839</t>
  </si>
  <si>
    <t>iShares World ex-Euro Government Bond Index Fund (IE)</t>
  </si>
  <si>
    <t>IE00BGR7K831</t>
  </si>
  <si>
    <t xml:space="preserve">OPC taux </t>
  </si>
  <si>
    <t>(Dans le périmètre de cette étude, aucun actif n'appartient à cette classe)</t>
  </si>
  <si>
    <t>Markit iBoxx EUR Eurozone</t>
  </si>
  <si>
    <t>192 (mensuelles)</t>
  </si>
  <si>
    <t>iShares Emerging Markets Government Bond Index Fund (LU)</t>
  </si>
  <si>
    <t>LU1387770735</t>
  </si>
  <si>
    <t>-</t>
  </si>
  <si>
    <t>Participations</t>
  </si>
  <si>
    <t>AVANTAGES</t>
  </si>
  <si>
    <t>ESCA00008008</t>
  </si>
  <si>
    <t>DIOT - SIACI TOP CO ADP B</t>
  </si>
  <si>
    <t>ESCA00008026</t>
  </si>
  <si>
    <t>FINANCIERE THEMIS</t>
  </si>
  <si>
    <t>ESCA00007965</t>
  </si>
  <si>
    <t>GROUPE BURRUS TECHNOLOGIES</t>
  </si>
  <si>
    <t>ESCA00007998</t>
  </si>
  <si>
    <t>INVESTCO SB</t>
  </si>
  <si>
    <t>ESCA00008023</t>
  </si>
  <si>
    <t>SERENITE INVESTISSEMENTS</t>
  </si>
  <si>
    <t>ESCA00007968</t>
  </si>
  <si>
    <t>FCPR La Financière Patrimoine d'Investissement</t>
  </si>
  <si>
    <t>ESCA00007454</t>
  </si>
  <si>
    <t>FCPR LFPI 1 PARTS A</t>
  </si>
  <si>
    <t>FR0010036269</t>
  </si>
  <si>
    <t>FCPR LFPI 1 PARTS B</t>
  </si>
  <si>
    <t>FR0010036285</t>
  </si>
  <si>
    <t>FCPR LFPI1 PNL</t>
  </si>
  <si>
    <t>ESCA00007566</t>
  </si>
  <si>
    <t>FCPR PLANTAGENET Pnl</t>
  </si>
  <si>
    <t>ESCA00006966</t>
  </si>
  <si>
    <t>FCPR ROBERTSAU INVEST.A1</t>
  </si>
  <si>
    <t>FR0007034301</t>
  </si>
  <si>
    <t>FCPR ROBERTSAU INVESTISSEMENT B</t>
  </si>
  <si>
    <t>FR0007042601</t>
  </si>
  <si>
    <t>FCPR VERMEER CAPITAL A</t>
  </si>
  <si>
    <t>FR0010591628</t>
  </si>
  <si>
    <t>FCPR VERMEER CAPITAL B</t>
  </si>
  <si>
    <t>FR0010591636</t>
  </si>
  <si>
    <t>FCPR VERMEER PNL</t>
  </si>
  <si>
    <t>ESCA00007807</t>
  </si>
  <si>
    <t>Private equity</t>
  </si>
  <si>
    <t>Prix de marché (fair value)</t>
  </si>
  <si>
    <t>Valeur de marché totale du titre</t>
  </si>
  <si>
    <t>DIOT - SIACI TOP CO ADP A</t>
  </si>
  <si>
    <t>ESCA00008025</t>
  </si>
  <si>
    <t>Valeur de marché totale du titre (CC inclus)</t>
  </si>
  <si>
    <t>FIC Infralux</t>
  </si>
  <si>
    <t>29 (trimestrielles)</t>
  </si>
  <si>
    <t>Résultats alternatifs</t>
  </si>
  <si>
    <t>Equi-pondération des approches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</si>
</sst>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0.00\ &quot;€&quot;"/>
    <numFmt numFmtId="165" formatCode="_-* #,##0_-;\-* #,##0_-;_-* &quot;-&quot;??_-;_-@_-"/>
    <numFmt numFmtId="166" formatCode="0.000%"/>
    <numFmt numFmtId="167" formatCode="\ \ \ #,##0.00\ &quot;€&quot;"/>
    <numFmt numFmtId="168" formatCode="\ \ 0.000%"/>
    <numFmt numFmtId="169" formatCode="\ 0.000%"/>
    <numFmt numFmtId="170" formatCode="\ 0%"/>
  </numFmts>
  <fonts count="39" x14ac:knownFonts="1">
    <font>
      <sz val="11"/>
      <color theme="1"/>
      <name val="Calibri"/>
      <family val="2"/>
      <scheme val="minor"/>
    </font>
    <font>
      <sz val="11"/>
      <color theme="1"/>
      <name val="Calibri"/>
      <family val="2"/>
      <scheme val="minor"/>
    </font>
    <font>
      <sz val="10"/>
      <color theme="1"/>
      <name val="Calibri"/>
      <family val="2"/>
      <scheme val="minor"/>
    </font>
    <font>
      <sz val="9"/>
      <color indexed="81"/>
      <name val="Tahoma"/>
      <family val="2"/>
    </font>
    <font>
      <b/>
      <sz val="9"/>
      <color indexed="81"/>
      <name val="Tahoma"/>
      <family val="2"/>
    </font>
    <font>
      <b/>
      <sz val="11"/>
      <color theme="0"/>
      <name val="Calibri"/>
      <family val="2"/>
      <scheme val="minor"/>
    </font>
    <font>
      <b/>
      <sz val="11"/>
      <color theme="1"/>
      <name val="Calibri"/>
      <family val="2"/>
      <scheme val="minor"/>
    </font>
    <font>
      <sz val="9"/>
      <color indexed="81"/>
      <name val="Tahoma"/>
      <charset val="1"/>
    </font>
    <font>
      <b/>
      <sz val="9"/>
      <color indexed="81"/>
      <name val="Tahoma"/>
      <charset val="1"/>
    </font>
    <font>
      <sz val="11"/>
      <name val="Calibri"/>
      <family val="2"/>
      <scheme val="minor"/>
    </font>
    <font>
      <sz val="13"/>
      <color rgb="FF796047"/>
      <name val="Calibri"/>
      <family val="2"/>
      <scheme val="minor"/>
    </font>
    <font>
      <b/>
      <sz val="14"/>
      <color rgb="FFC00000"/>
      <name val="Calibri"/>
      <family val="2"/>
      <scheme val="minor"/>
    </font>
    <font>
      <b/>
      <sz val="18"/>
      <color theme="5"/>
      <name val="Calibri"/>
      <family val="2"/>
      <scheme val="minor"/>
    </font>
    <font>
      <b/>
      <sz val="16"/>
      <color rgb="FF796047"/>
      <name val="Calibri"/>
      <family val="2"/>
      <scheme val="minor"/>
    </font>
    <font>
      <b/>
      <i/>
      <sz val="16"/>
      <color rgb="FFC00000"/>
      <name val="Calibri"/>
      <family val="2"/>
      <scheme val="minor"/>
    </font>
    <font>
      <b/>
      <sz val="16"/>
      <color rgb="FFB64816"/>
      <name val="Calibri"/>
      <family val="2"/>
      <scheme val="minor"/>
    </font>
    <font>
      <b/>
      <sz val="15"/>
      <color rgb="FFE39225"/>
      <name val="Calibri"/>
      <family val="2"/>
      <scheme val="minor"/>
    </font>
    <font>
      <b/>
      <sz val="13"/>
      <color rgb="FF796047"/>
      <name val="Calibri"/>
      <family val="2"/>
      <scheme val="minor"/>
    </font>
    <font>
      <b/>
      <sz val="12"/>
      <color theme="1"/>
      <name val="Calibri"/>
      <family val="2"/>
      <scheme val="minor"/>
    </font>
    <font>
      <b/>
      <sz val="12"/>
      <color rgb="FF796047"/>
      <name val="Calibri"/>
      <family val="2"/>
      <scheme val="minor"/>
    </font>
    <font>
      <b/>
      <i/>
      <sz val="14"/>
      <color theme="0" tint="-4.9989318521683403E-2"/>
      <name val="Calibri"/>
      <family val="2"/>
      <scheme val="minor"/>
    </font>
    <font>
      <b/>
      <i/>
      <sz val="16"/>
      <color theme="0" tint="-4.9989318521683403E-2"/>
      <name val="Calibri"/>
      <family val="2"/>
      <scheme val="minor"/>
    </font>
    <font>
      <b/>
      <sz val="14"/>
      <color theme="1" tint="4.9989318521683403E-2"/>
      <name val="Calibri"/>
      <family val="2"/>
      <scheme val="minor"/>
    </font>
    <font>
      <b/>
      <sz val="12"/>
      <color rgb="FF002060"/>
      <name val="Calibri"/>
      <family val="2"/>
      <scheme val="minor"/>
    </font>
    <font>
      <b/>
      <i/>
      <sz val="13"/>
      <color rgb="FF002060"/>
      <name val="Calibri"/>
      <family val="2"/>
      <scheme val="minor"/>
    </font>
    <font>
      <b/>
      <sz val="12"/>
      <name val="Calibri"/>
      <family val="2"/>
      <scheme val="minor"/>
    </font>
    <font>
      <b/>
      <i/>
      <sz val="16"/>
      <color theme="2"/>
      <name val="Calibri"/>
      <family val="2"/>
      <scheme val="minor"/>
    </font>
    <font>
      <b/>
      <i/>
      <sz val="14"/>
      <color theme="2"/>
      <name val="Calibri"/>
      <family val="2"/>
      <scheme val="minor"/>
    </font>
    <font>
      <b/>
      <i/>
      <sz val="12"/>
      <color theme="2"/>
      <name val="Calibri"/>
      <family val="2"/>
      <scheme val="minor"/>
    </font>
    <font>
      <b/>
      <sz val="22"/>
      <color theme="5" tint="-0.499984740745262"/>
      <name val="Calibri"/>
      <family val="2"/>
      <scheme val="minor"/>
    </font>
    <font>
      <b/>
      <i/>
      <sz val="13.5"/>
      <color theme="2"/>
      <name val="Calibri"/>
      <family val="2"/>
      <scheme val="minor"/>
    </font>
    <font>
      <b/>
      <i/>
      <sz val="22"/>
      <color theme="5" tint="-0.249977111117893"/>
      <name val="Calibri"/>
      <family val="2"/>
      <scheme val="minor"/>
    </font>
    <font>
      <sz val="22"/>
      <color theme="1"/>
      <name val="Calibri"/>
      <family val="2"/>
      <scheme val="minor"/>
    </font>
    <font>
      <i/>
      <sz val="22"/>
      <color theme="1"/>
      <name val="Calibri"/>
      <family val="2"/>
      <scheme val="minor"/>
    </font>
    <font>
      <sz val="11"/>
      <color rgb="FFFF0000"/>
      <name val="Calibri"/>
      <family val="2"/>
      <scheme val="minor"/>
    </font>
    <font>
      <b/>
      <sz val="12"/>
      <color rgb="FFFF0000"/>
      <name val="Calibri"/>
      <family val="2"/>
      <scheme val="minor"/>
    </font>
    <font>
      <b/>
      <sz val="11"/>
      <color rgb="FFFF0000"/>
      <name val="Calibri"/>
      <family val="2"/>
      <scheme val="minor"/>
    </font>
    <font>
      <b/>
      <sz val="10"/>
      <color rgb="FFFF0000"/>
      <name val="Calibri"/>
      <family val="2"/>
      <scheme val="minor"/>
    </font>
    <font>
      <sz val="14"/>
      <color theme="1"/>
      <name val="Calibri"/>
      <family val="2"/>
      <scheme val="minor"/>
    </font>
  </fonts>
  <fills count="19">
    <fill>
      <patternFill patternType="none"/>
    </fill>
    <fill>
      <patternFill patternType="gray125"/>
    </fill>
    <fill>
      <patternFill patternType="lightUp"/>
    </fill>
    <fill>
      <patternFill patternType="lightUp">
        <bgColor theme="5" tint="0.39997558519241921"/>
      </patternFill>
    </fill>
    <fill>
      <patternFill patternType="solid">
        <fgColor theme="5" tint="0.39997558519241921"/>
        <bgColor indexed="64"/>
      </patternFill>
    </fill>
    <fill>
      <patternFill patternType="solid">
        <fgColor theme="7"/>
        <bgColor indexed="64"/>
      </patternFill>
    </fill>
    <fill>
      <patternFill patternType="solid">
        <fgColor rgb="FFC00000"/>
        <bgColor indexed="64"/>
      </patternFill>
    </fill>
    <fill>
      <patternFill patternType="lightUp">
        <fgColor rgb="FFFF8585"/>
        <bgColor rgb="FFC00000"/>
      </patternFill>
    </fill>
    <fill>
      <patternFill patternType="lightUp">
        <fgColor rgb="FFFF8585"/>
        <bgColor rgb="FF000000"/>
      </patternFill>
    </fill>
    <fill>
      <patternFill patternType="solid">
        <fgColor rgb="FF796047"/>
        <bgColor indexed="64"/>
      </patternFill>
    </fill>
    <fill>
      <patternFill patternType="lightUp">
        <bgColor rgb="FF796047"/>
      </patternFill>
    </fill>
    <fill>
      <patternFill patternType="solid">
        <fgColor theme="7" tint="0.79998168889431442"/>
        <bgColor indexed="64"/>
      </patternFill>
    </fill>
    <fill>
      <patternFill patternType="solid">
        <fgColor theme="1" tint="0.249977111117893"/>
        <bgColor indexed="64"/>
      </patternFill>
    </fill>
    <fill>
      <patternFill patternType="solid">
        <fgColor theme="7" tint="0.79995117038483843"/>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theme="0" tint="-4.9989318521683403E-2"/>
        <bgColor indexed="64"/>
      </patternFill>
    </fill>
    <fill>
      <patternFill patternType="lightUp">
        <bgColor theme="4" tint="0.79995117038483843"/>
      </patternFill>
    </fill>
    <fill>
      <patternFill patternType="lightUp">
        <bgColor theme="7" tint="0.79995117038483843"/>
      </patternFill>
    </fill>
  </fills>
  <borders count="48">
    <border>
      <left/>
      <right/>
      <top/>
      <bottom/>
      <diagonal/>
    </border>
    <border>
      <left style="thin">
        <color auto="1"/>
      </left>
      <right/>
      <top/>
      <bottom/>
      <diagonal/>
    </border>
    <border>
      <left/>
      <right/>
      <top/>
      <bottom style="thin">
        <color indexed="64"/>
      </bottom>
      <diagonal/>
    </border>
    <border>
      <left style="thin">
        <color indexed="64"/>
      </left>
      <right style="thin">
        <color indexed="64"/>
      </right>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top style="medium">
        <color indexed="64"/>
      </top>
      <bottom style="thin">
        <color auto="1"/>
      </bottom>
      <diagonal/>
    </border>
    <border>
      <left style="thin">
        <color indexed="64"/>
      </left>
      <right style="medium">
        <color indexed="64"/>
      </right>
      <top style="medium">
        <color indexed="64"/>
      </top>
      <bottom style="thin">
        <color auto="1"/>
      </bottom>
      <diagonal/>
    </border>
    <border>
      <left style="medium">
        <color indexed="64"/>
      </left>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thin">
        <color auto="1"/>
      </top>
      <bottom style="medium">
        <color indexed="64"/>
      </bottom>
      <diagonal/>
    </border>
    <border>
      <left style="thin">
        <color indexed="64"/>
      </left>
      <right style="medium">
        <color indexed="64"/>
      </right>
      <top style="thin">
        <color auto="1"/>
      </top>
      <bottom style="medium">
        <color indexed="64"/>
      </bottom>
      <diagonal/>
    </border>
    <border>
      <left style="thin">
        <color auto="1"/>
      </left>
      <right/>
      <top style="medium">
        <color indexed="64"/>
      </top>
      <bottom/>
      <diagonal/>
    </border>
    <border>
      <left style="thin">
        <color auto="1"/>
      </left>
      <right style="medium">
        <color indexed="64"/>
      </right>
      <top style="medium">
        <color indexed="64"/>
      </top>
      <bottom/>
      <diagonal/>
    </border>
    <border>
      <left style="thin">
        <color auto="1"/>
      </left>
      <right style="thin">
        <color auto="1"/>
      </right>
      <top style="medium">
        <color indexed="64"/>
      </top>
      <bottom style="thin">
        <color auto="1"/>
      </bottom>
      <diagonal/>
    </border>
    <border>
      <left style="medium">
        <color indexed="64"/>
      </left>
      <right/>
      <top style="thin">
        <color indexed="64"/>
      </top>
      <bottom/>
      <diagonal/>
    </border>
    <border>
      <left style="medium">
        <color indexed="64"/>
      </left>
      <right/>
      <top/>
      <bottom style="thin">
        <color indexed="64"/>
      </bottom>
      <diagonal/>
    </border>
    <border>
      <left/>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thin">
        <color auto="1"/>
      </left>
      <right style="medium">
        <color indexed="64"/>
      </right>
      <top/>
      <bottom/>
      <diagonal/>
    </border>
    <border>
      <left style="thin">
        <color indexed="64"/>
      </left>
      <right style="thin">
        <color indexed="64"/>
      </right>
      <top/>
      <bottom style="medium">
        <color indexed="64"/>
      </bottom>
      <diagonal/>
    </border>
    <border>
      <left style="thin">
        <color auto="1"/>
      </left>
      <right/>
      <top/>
      <bottom style="medium">
        <color indexed="64"/>
      </bottom>
      <diagonal/>
    </border>
    <border>
      <left style="thin">
        <color auto="1"/>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indexed="64"/>
      </left>
      <right style="medium">
        <color indexed="64"/>
      </right>
      <top/>
      <bottom style="thin">
        <color auto="1"/>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medium">
        <color indexed="64"/>
      </left>
      <right style="thin">
        <color auto="1"/>
      </right>
      <top style="medium">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style="thin">
        <color auto="1"/>
      </left>
      <right style="medium">
        <color indexed="64"/>
      </right>
      <top style="thin">
        <color auto="1"/>
      </top>
      <bottom/>
      <diagonal/>
    </border>
    <border>
      <left/>
      <right/>
      <top style="thin">
        <color indexed="64"/>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63">
    <xf numFmtId="0" fontId="0" fillId="0" borderId="0" xfId="0"/>
    <xf numFmtId="0" fontId="0" fillId="2" borderId="10" xfId="0" applyFill="1" applyBorder="1"/>
    <xf numFmtId="0" fontId="0" fillId="4" borderId="1" xfId="0" applyFill="1" applyBorder="1" applyAlignment="1">
      <alignment horizontal="center"/>
    </xf>
    <xf numFmtId="0" fontId="0" fillId="2" borderId="0" xfId="0" applyFill="1"/>
    <xf numFmtId="165" fontId="0" fillId="0" borderId="0" xfId="1" applyNumberFormat="1" applyFont="1" applyAlignment="1">
      <alignment horizontal="center" vertical="center"/>
    </xf>
    <xf numFmtId="165" fontId="0" fillId="2" borderId="1" xfId="1" applyNumberFormat="1" applyFont="1" applyFill="1" applyBorder="1" applyAlignment="1">
      <alignment horizontal="center" vertical="center"/>
    </xf>
    <xf numFmtId="0" fontId="6" fillId="5" borderId="13" xfId="0" applyFont="1" applyFill="1" applyBorder="1" applyAlignment="1">
      <alignment horizontal="center" vertical="center" wrapText="1"/>
    </xf>
    <xf numFmtId="0" fontId="0" fillId="2" borderId="24" xfId="0" applyFill="1" applyBorder="1"/>
    <xf numFmtId="0" fontId="0" fillId="0" borderId="0" xfId="0" applyAlignment="1">
      <alignment horizontal="center"/>
    </xf>
    <xf numFmtId="0" fontId="0" fillId="4" borderId="1" xfId="0" applyFill="1" applyBorder="1" applyAlignment="1">
      <alignment horizontal="center" vertical="center" wrapText="1"/>
    </xf>
    <xf numFmtId="4" fontId="2" fillId="0" borderId="7" xfId="0" applyNumberFormat="1" applyFont="1" applyBorder="1" applyAlignment="1">
      <alignment vertical="center"/>
    </xf>
    <xf numFmtId="0" fontId="0" fillId="0" borderId="1" xfId="0" applyBorder="1" applyAlignment="1">
      <alignment horizontal="center" vertical="center" wrapText="1"/>
    </xf>
    <xf numFmtId="166" fontId="0" fillId="0" borderId="8" xfId="2" applyNumberFormat="1" applyFont="1" applyBorder="1" applyAlignment="1">
      <alignment horizontal="center" vertical="center"/>
    </xf>
    <xf numFmtId="4" fontId="2" fillId="0" borderId="22" xfId="0" applyNumberFormat="1" applyFont="1" applyBorder="1" applyAlignment="1">
      <alignment vertical="center"/>
    </xf>
    <xf numFmtId="0" fontId="0" fillId="0" borderId="0" xfId="0" applyAlignment="1">
      <alignment vertical="center"/>
    </xf>
    <xf numFmtId="0" fontId="0" fillId="0" borderId="1" xfId="0" applyBorder="1" applyAlignment="1">
      <alignment horizontal="center" vertical="center"/>
    </xf>
    <xf numFmtId="166" fontId="0" fillId="0" borderId="8" xfId="2" applyNumberFormat="1" applyFont="1" applyFill="1" applyBorder="1" applyAlignment="1">
      <alignment horizontal="center" vertical="center"/>
    </xf>
    <xf numFmtId="166" fontId="0" fillId="7" borderId="8" xfId="2" applyNumberFormat="1" applyFont="1" applyFill="1" applyBorder="1" applyAlignment="1">
      <alignment horizontal="center" vertical="center"/>
    </xf>
    <xf numFmtId="166" fontId="0" fillId="8" borderId="7" xfId="2" applyNumberFormat="1" applyFont="1" applyFill="1" applyBorder="1" applyAlignment="1">
      <alignment horizontal="center" vertical="center"/>
    </xf>
    <xf numFmtId="166" fontId="0" fillId="8" borderId="0" xfId="2" applyNumberFormat="1" applyFont="1" applyFill="1" applyBorder="1" applyAlignment="1">
      <alignment horizontal="center" vertical="center"/>
    </xf>
    <xf numFmtId="166" fontId="0" fillId="8" borderId="8" xfId="2" applyNumberFormat="1" applyFont="1" applyFill="1" applyBorder="1" applyAlignment="1">
      <alignment horizontal="center" vertical="center"/>
    </xf>
    <xf numFmtId="4" fontId="2" fillId="0" borderId="5" xfId="0" applyNumberFormat="1" applyFont="1" applyBorder="1" applyAlignment="1">
      <alignment vertical="center"/>
    </xf>
    <xf numFmtId="0" fontId="0" fillId="0" borderId="29" xfId="0" applyBorder="1" applyAlignment="1">
      <alignment horizontal="center" vertical="center"/>
    </xf>
    <xf numFmtId="166" fontId="0" fillId="0" borderId="3" xfId="2" applyNumberFormat="1" applyFont="1" applyBorder="1" applyAlignment="1">
      <alignment horizontal="center" vertical="center"/>
    </xf>
    <xf numFmtId="166" fontId="0" fillId="0" borderId="3" xfId="2" applyNumberFormat="1" applyFont="1" applyFill="1" applyBorder="1" applyAlignment="1">
      <alignment horizontal="center" vertical="center"/>
    </xf>
    <xf numFmtId="166" fontId="0" fillId="7" borderId="3" xfId="2" applyNumberFormat="1" applyFont="1" applyFill="1" applyBorder="1" applyAlignment="1">
      <alignment horizontal="center" vertical="center"/>
    </xf>
    <xf numFmtId="165" fontId="0" fillId="0" borderId="1" xfId="1" applyNumberFormat="1" applyFont="1" applyBorder="1" applyAlignment="1">
      <alignment vertical="center"/>
    </xf>
    <xf numFmtId="165" fontId="0" fillId="0" borderId="1" xfId="1" applyNumberFormat="1" applyFont="1" applyBorder="1" applyAlignment="1">
      <alignment horizontal="center" vertical="center"/>
    </xf>
    <xf numFmtId="165" fontId="9" fillId="0" borderId="1" xfId="1" applyNumberFormat="1" applyFont="1" applyBorder="1" applyAlignment="1">
      <alignment horizontal="center" vertical="center"/>
    </xf>
    <xf numFmtId="165" fontId="0" fillId="0" borderId="29" xfId="1" applyNumberFormat="1" applyFont="1" applyBorder="1" applyAlignment="1">
      <alignment horizontal="center" vertical="center"/>
    </xf>
    <xf numFmtId="166" fontId="0" fillId="0" borderId="33" xfId="2" applyNumberFormat="1" applyFont="1" applyBorder="1" applyAlignment="1">
      <alignment horizontal="center" vertical="center"/>
    </xf>
    <xf numFmtId="166" fontId="0" fillId="7" borderId="33" xfId="2" applyNumberFormat="1" applyFont="1" applyFill="1" applyBorder="1" applyAlignment="1">
      <alignment horizontal="center" vertical="center"/>
    </xf>
    <xf numFmtId="166" fontId="0" fillId="0" borderId="33" xfId="2" applyNumberFormat="1" applyFont="1" applyFill="1" applyBorder="1" applyAlignment="1">
      <alignment horizontal="center" vertical="center"/>
    </xf>
    <xf numFmtId="166" fontId="0" fillId="2" borderId="5" xfId="2" applyNumberFormat="1" applyFont="1" applyFill="1" applyBorder="1" applyAlignment="1">
      <alignment horizontal="center"/>
    </xf>
    <xf numFmtId="166" fontId="0" fillId="2" borderId="4" xfId="2" applyNumberFormat="1" applyFont="1" applyFill="1" applyBorder="1" applyAlignment="1">
      <alignment horizontal="center"/>
    </xf>
    <xf numFmtId="166" fontId="0" fillId="2" borderId="6" xfId="2" applyNumberFormat="1" applyFont="1" applyFill="1" applyBorder="1" applyAlignment="1">
      <alignment horizontal="center"/>
    </xf>
    <xf numFmtId="0" fontId="6" fillId="5" borderId="34" xfId="0" applyFont="1" applyFill="1" applyBorder="1" applyAlignment="1">
      <alignment horizontal="center" vertical="center" wrapText="1"/>
    </xf>
    <xf numFmtId="0" fontId="6" fillId="5" borderId="35" xfId="0" applyFont="1" applyFill="1" applyBorder="1" applyAlignment="1">
      <alignment horizontal="center" vertical="center" wrapText="1"/>
    </xf>
    <xf numFmtId="0" fontId="6" fillId="5" borderId="36" xfId="0" applyFont="1" applyFill="1" applyBorder="1" applyAlignment="1">
      <alignment horizontal="center" vertical="center" wrapText="1"/>
    </xf>
    <xf numFmtId="165" fontId="6" fillId="5" borderId="35" xfId="1" applyNumberFormat="1" applyFont="1" applyFill="1" applyBorder="1" applyAlignment="1">
      <alignment horizontal="center" vertical="center" wrapText="1"/>
    </xf>
    <xf numFmtId="0" fontId="5" fillId="6" borderId="37" xfId="0" applyFont="1" applyFill="1" applyBorder="1" applyAlignment="1">
      <alignment horizontal="center" vertical="center" wrapText="1"/>
    </xf>
    <xf numFmtId="0" fontId="5" fillId="6" borderId="36" xfId="0" applyFont="1" applyFill="1" applyBorder="1" applyAlignment="1">
      <alignment horizontal="center" vertical="center" wrapText="1"/>
    </xf>
    <xf numFmtId="0" fontId="5" fillId="6" borderId="38" xfId="0" applyFont="1" applyFill="1" applyBorder="1" applyAlignment="1">
      <alignment horizontal="center" vertical="center" wrapText="1"/>
    </xf>
    <xf numFmtId="0" fontId="5" fillId="6" borderId="35" xfId="0" applyFont="1" applyFill="1" applyBorder="1" applyAlignment="1">
      <alignment horizontal="center" vertical="center" wrapText="1"/>
    </xf>
    <xf numFmtId="0" fontId="5" fillId="6" borderId="39" xfId="0" applyFont="1" applyFill="1" applyBorder="1" applyAlignment="1">
      <alignment horizontal="center" vertical="center" wrapText="1"/>
    </xf>
    <xf numFmtId="0" fontId="5" fillId="9" borderId="37" xfId="0" applyFont="1" applyFill="1" applyBorder="1" applyAlignment="1">
      <alignment horizontal="center" vertical="center" wrapText="1"/>
    </xf>
    <xf numFmtId="0" fontId="5" fillId="9" borderId="39" xfId="0" applyFont="1" applyFill="1" applyBorder="1" applyAlignment="1">
      <alignment horizontal="center" vertical="center" wrapText="1"/>
    </xf>
    <xf numFmtId="166" fontId="10" fillId="10" borderId="7" xfId="2" applyNumberFormat="1" applyFont="1" applyFill="1" applyBorder="1" applyAlignment="1">
      <alignment horizontal="center"/>
    </xf>
    <xf numFmtId="166" fontId="10" fillId="2" borderId="7" xfId="2" applyNumberFormat="1" applyFont="1" applyFill="1" applyBorder="1" applyAlignment="1">
      <alignment horizontal="center"/>
    </xf>
    <xf numFmtId="0" fontId="0" fillId="4" borderId="19" xfId="0" applyFill="1" applyBorder="1" applyAlignment="1">
      <alignment horizontal="center"/>
    </xf>
    <xf numFmtId="165" fontId="0" fillId="3" borderId="20" xfId="1" applyNumberFormat="1" applyFont="1" applyFill="1" applyBorder="1" applyAlignment="1">
      <alignment horizontal="center" vertical="center"/>
    </xf>
    <xf numFmtId="165" fontId="0" fillId="3" borderId="27" xfId="1" applyNumberFormat="1" applyFont="1" applyFill="1" applyBorder="1" applyAlignment="1">
      <alignment horizontal="center" vertical="center"/>
    </xf>
    <xf numFmtId="0" fontId="0" fillId="4" borderId="29" xfId="0" applyFill="1" applyBorder="1" applyAlignment="1">
      <alignment horizontal="center"/>
    </xf>
    <xf numFmtId="165" fontId="0" fillId="3" borderId="30" xfId="1" applyNumberFormat="1" applyFont="1" applyFill="1" applyBorder="1" applyAlignment="1">
      <alignment horizontal="center" vertical="center"/>
    </xf>
    <xf numFmtId="166" fontId="0" fillId="8" borderId="12" xfId="2" applyNumberFormat="1" applyFont="1" applyFill="1" applyBorder="1" applyAlignment="1">
      <alignment horizontal="center" vertical="center"/>
    </xf>
    <xf numFmtId="166" fontId="0" fillId="8" borderId="25" xfId="2" applyNumberFormat="1" applyFont="1" applyFill="1" applyBorder="1" applyAlignment="1">
      <alignment horizontal="center" vertical="center"/>
    </xf>
    <xf numFmtId="166" fontId="0" fillId="8" borderId="26" xfId="2" applyNumberFormat="1" applyFont="1" applyFill="1" applyBorder="1" applyAlignment="1">
      <alignment horizontal="center" vertical="center"/>
    </xf>
    <xf numFmtId="166" fontId="10" fillId="10" borderId="12" xfId="2" applyNumberFormat="1" applyFont="1" applyFill="1" applyBorder="1" applyAlignment="1">
      <alignment horizontal="center"/>
    </xf>
    <xf numFmtId="166" fontId="0" fillId="8" borderId="5" xfId="2" applyNumberFormat="1" applyFont="1" applyFill="1" applyBorder="1" applyAlignment="1">
      <alignment horizontal="center" vertical="center"/>
    </xf>
    <xf numFmtId="166" fontId="0" fillId="8" borderId="4" xfId="2" applyNumberFormat="1" applyFont="1" applyFill="1" applyBorder="1" applyAlignment="1">
      <alignment horizontal="center" vertical="center"/>
    </xf>
    <xf numFmtId="166" fontId="0" fillId="8" borderId="6" xfId="2" applyNumberFormat="1" applyFont="1" applyFill="1" applyBorder="1" applyAlignment="1">
      <alignment horizontal="center" vertical="center"/>
    </xf>
    <xf numFmtId="0" fontId="6" fillId="10" borderId="20" xfId="0" applyFont="1" applyFill="1" applyBorder="1"/>
    <xf numFmtId="0" fontId="6" fillId="10" borderId="27" xfId="0" applyFont="1" applyFill="1" applyBorder="1"/>
    <xf numFmtId="0" fontId="6" fillId="10" borderId="30" xfId="0" applyFont="1" applyFill="1" applyBorder="1"/>
    <xf numFmtId="0" fontId="6" fillId="2" borderId="27" xfId="0" applyFont="1" applyFill="1" applyBorder="1"/>
    <xf numFmtId="166" fontId="10" fillId="10" borderId="7" xfId="2" applyNumberFormat="1" applyFont="1" applyFill="1" applyBorder="1" applyAlignment="1">
      <alignment horizontal="center" vertical="center"/>
    </xf>
    <xf numFmtId="0" fontId="6" fillId="10" borderId="27" xfId="0" applyFont="1" applyFill="1" applyBorder="1" applyAlignment="1">
      <alignment vertical="center"/>
    </xf>
    <xf numFmtId="4" fontId="2" fillId="0" borderId="28" xfId="0" applyNumberFormat="1" applyFont="1" applyBorder="1" applyAlignment="1">
      <alignment horizontal="center" vertical="center"/>
    </xf>
    <xf numFmtId="0" fontId="0" fillId="4" borderId="19" xfId="0" applyFill="1" applyBorder="1" applyAlignment="1">
      <alignment horizontal="center" vertical="center"/>
    </xf>
    <xf numFmtId="0" fontId="0" fillId="4" borderId="1" xfId="0" applyFill="1" applyBorder="1" applyAlignment="1">
      <alignment horizontal="center" vertical="center"/>
    </xf>
    <xf numFmtId="0" fontId="0" fillId="4" borderId="29" xfId="0" applyFill="1" applyBorder="1" applyAlignment="1">
      <alignment horizontal="center" vertical="center"/>
    </xf>
    <xf numFmtId="43" fontId="18" fillId="0" borderId="27" xfId="1" applyFont="1" applyBorder="1" applyAlignment="1">
      <alignment vertical="center"/>
    </xf>
    <xf numFmtId="166" fontId="19" fillId="0" borderId="7" xfId="2" applyNumberFormat="1" applyFont="1" applyBorder="1" applyAlignment="1">
      <alignment horizontal="center" vertical="center"/>
    </xf>
    <xf numFmtId="166" fontId="19" fillId="10" borderId="12" xfId="2" applyNumberFormat="1" applyFont="1" applyFill="1" applyBorder="1" applyAlignment="1">
      <alignment horizontal="center"/>
    </xf>
    <xf numFmtId="166" fontId="19" fillId="10" borderId="7" xfId="2" applyNumberFormat="1" applyFont="1" applyFill="1" applyBorder="1" applyAlignment="1">
      <alignment horizontal="center"/>
    </xf>
    <xf numFmtId="166" fontId="19" fillId="10" borderId="5" xfId="2" applyNumberFormat="1" applyFont="1" applyFill="1" applyBorder="1" applyAlignment="1">
      <alignment horizontal="center"/>
    </xf>
    <xf numFmtId="166" fontId="19" fillId="2" borderId="7" xfId="2" applyNumberFormat="1" applyFont="1" applyFill="1" applyBorder="1" applyAlignment="1">
      <alignment horizontal="center"/>
    </xf>
    <xf numFmtId="4" fontId="2" fillId="11" borderId="12" xfId="0" applyNumberFormat="1" applyFont="1" applyFill="1" applyBorder="1"/>
    <xf numFmtId="4" fontId="2" fillId="11" borderId="7" xfId="0" applyNumberFormat="1" applyFont="1" applyFill="1" applyBorder="1" applyAlignment="1">
      <alignment vertical="center"/>
    </xf>
    <xf numFmtId="4" fontId="2" fillId="11" borderId="7" xfId="0" applyNumberFormat="1" applyFont="1" applyFill="1" applyBorder="1"/>
    <xf numFmtId="4" fontId="2" fillId="11" borderId="5" xfId="0" applyNumberFormat="1" applyFont="1" applyFill="1" applyBorder="1"/>
    <xf numFmtId="4" fontId="2" fillId="13" borderId="12" xfId="0" applyNumberFormat="1" applyFont="1" applyFill="1" applyBorder="1" applyAlignment="1">
      <alignment vertical="center"/>
    </xf>
    <xf numFmtId="4" fontId="2" fillId="13" borderId="7" xfId="0" applyNumberFormat="1" applyFont="1" applyFill="1" applyBorder="1" applyAlignment="1">
      <alignment vertical="center"/>
    </xf>
    <xf numFmtId="4" fontId="2" fillId="13" borderId="5" xfId="0" applyNumberFormat="1" applyFont="1" applyFill="1" applyBorder="1" applyAlignment="1">
      <alignment vertical="center"/>
    </xf>
    <xf numFmtId="4" fontId="23" fillId="14" borderId="23" xfId="0" applyNumberFormat="1" applyFont="1" applyFill="1" applyBorder="1" applyAlignment="1">
      <alignment vertical="center"/>
    </xf>
    <xf numFmtId="4" fontId="23" fillId="14" borderId="15" xfId="0" applyNumberFormat="1" applyFont="1" applyFill="1" applyBorder="1" applyAlignment="1">
      <alignment vertical="center"/>
    </xf>
    <xf numFmtId="4" fontId="23" fillId="14" borderId="17" xfId="0" applyNumberFormat="1" applyFont="1" applyFill="1" applyBorder="1" applyAlignment="1">
      <alignment vertical="center"/>
    </xf>
    <xf numFmtId="0" fontId="23" fillId="14" borderId="40" xfId="0" applyFont="1" applyFill="1" applyBorder="1" applyAlignment="1">
      <alignment horizontal="center" vertical="center"/>
    </xf>
    <xf numFmtId="0" fontId="23" fillId="14" borderId="16" xfId="0" applyFont="1" applyFill="1" applyBorder="1" applyAlignment="1">
      <alignment horizontal="center" vertical="center"/>
    </xf>
    <xf numFmtId="0" fontId="23" fillId="14" borderId="18" xfId="0" applyFont="1" applyFill="1" applyBorder="1" applyAlignment="1">
      <alignment horizontal="center" vertical="center"/>
    </xf>
    <xf numFmtId="166" fontId="19" fillId="14" borderId="13" xfId="2" applyNumberFormat="1" applyFont="1" applyFill="1" applyBorder="1" applyAlignment="1">
      <alignment horizontal="center" vertical="center"/>
    </xf>
    <xf numFmtId="166" fontId="19" fillId="14" borderId="15" xfId="2" applyNumberFormat="1" applyFont="1" applyFill="1" applyBorder="1" applyAlignment="1">
      <alignment horizontal="center" vertical="center"/>
    </xf>
    <xf numFmtId="166" fontId="19" fillId="14" borderId="5" xfId="2" applyNumberFormat="1" applyFont="1" applyFill="1" applyBorder="1" applyAlignment="1">
      <alignment horizontal="center" vertical="center"/>
    </xf>
    <xf numFmtId="165" fontId="23" fillId="14" borderId="13" xfId="1" applyNumberFormat="1" applyFont="1" applyFill="1" applyBorder="1" applyAlignment="1">
      <alignment horizontal="center" vertical="center"/>
    </xf>
    <xf numFmtId="166" fontId="23" fillId="14" borderId="13" xfId="2" applyNumberFormat="1" applyFont="1" applyFill="1" applyBorder="1" applyAlignment="1">
      <alignment horizontal="center" vertical="center"/>
    </xf>
    <xf numFmtId="166" fontId="23" fillId="14" borderId="21" xfId="2" applyNumberFormat="1" applyFont="1" applyFill="1" applyBorder="1" applyAlignment="1">
      <alignment horizontal="center" vertical="center"/>
    </xf>
    <xf numFmtId="166" fontId="23" fillId="14" borderId="14" xfId="2" applyNumberFormat="1" applyFont="1" applyFill="1" applyBorder="1" applyAlignment="1">
      <alignment horizontal="center" vertical="center"/>
    </xf>
    <xf numFmtId="165" fontId="23" fillId="14" borderId="15" xfId="1" applyNumberFormat="1" applyFont="1" applyFill="1" applyBorder="1" applyAlignment="1">
      <alignment horizontal="center" vertical="center"/>
    </xf>
    <xf numFmtId="166" fontId="23" fillId="14" borderId="15" xfId="2" applyNumberFormat="1" applyFont="1" applyFill="1" applyBorder="1" applyAlignment="1">
      <alignment horizontal="center" vertical="center"/>
    </xf>
    <xf numFmtId="166" fontId="23" fillId="14" borderId="31" xfId="2" applyNumberFormat="1" applyFont="1" applyFill="1" applyBorder="1" applyAlignment="1">
      <alignment horizontal="center" vertical="center"/>
    </xf>
    <xf numFmtId="166" fontId="23" fillId="14" borderId="16" xfId="2" applyNumberFormat="1" applyFont="1" applyFill="1" applyBorder="1" applyAlignment="1">
      <alignment horizontal="center" vertical="center"/>
    </xf>
    <xf numFmtId="165" fontId="23" fillId="14" borderId="17" xfId="1" applyNumberFormat="1" applyFont="1" applyFill="1" applyBorder="1" applyAlignment="1">
      <alignment horizontal="center" vertical="center"/>
    </xf>
    <xf numFmtId="166" fontId="23" fillId="14" borderId="5" xfId="2" applyNumberFormat="1" applyFont="1" applyFill="1" applyBorder="1" applyAlignment="1">
      <alignment horizontal="center" vertical="center"/>
    </xf>
    <xf numFmtId="166" fontId="23" fillId="14" borderId="28" xfId="2" applyNumberFormat="1" applyFont="1" applyFill="1" applyBorder="1" applyAlignment="1">
      <alignment horizontal="center" vertical="center"/>
    </xf>
    <xf numFmtId="166" fontId="23" fillId="14" borderId="30" xfId="2" applyNumberFormat="1" applyFont="1" applyFill="1" applyBorder="1" applyAlignment="1">
      <alignment horizontal="center" vertical="center"/>
    </xf>
    <xf numFmtId="166" fontId="0" fillId="2" borderId="7" xfId="2" applyNumberFormat="1" applyFont="1" applyFill="1" applyBorder="1" applyAlignment="1">
      <alignment horizontal="center"/>
    </xf>
    <xf numFmtId="166" fontId="0" fillId="2" borderId="0" xfId="2" applyNumberFormat="1" applyFont="1" applyFill="1" applyBorder="1" applyAlignment="1">
      <alignment horizontal="center"/>
    </xf>
    <xf numFmtId="166" fontId="0" fillId="2" borderId="8" xfId="2" applyNumberFormat="1" applyFont="1" applyFill="1" applyBorder="1" applyAlignment="1">
      <alignment horizontal="center"/>
    </xf>
    <xf numFmtId="165" fontId="23" fillId="14" borderId="44" xfId="1" applyNumberFormat="1" applyFont="1" applyFill="1" applyBorder="1" applyAlignment="1">
      <alignment horizontal="center" vertical="center"/>
    </xf>
    <xf numFmtId="166" fontId="23" fillId="14" borderId="43" xfId="2" applyNumberFormat="1" applyFont="1" applyFill="1" applyBorder="1" applyAlignment="1">
      <alignment horizontal="center" vertical="center"/>
    </xf>
    <xf numFmtId="166" fontId="23" fillId="14" borderId="33" xfId="2" applyNumberFormat="1" applyFont="1" applyFill="1" applyBorder="1" applyAlignment="1">
      <alignment horizontal="center" vertical="center"/>
    </xf>
    <xf numFmtId="166" fontId="23" fillId="14" borderId="42" xfId="2" applyNumberFormat="1" applyFont="1" applyFill="1" applyBorder="1" applyAlignment="1">
      <alignment horizontal="center" vertical="center"/>
    </xf>
    <xf numFmtId="166" fontId="23" fillId="14" borderId="32" xfId="2" applyNumberFormat="1" applyFont="1" applyFill="1" applyBorder="1" applyAlignment="1">
      <alignment horizontal="center" vertical="center"/>
    </xf>
    <xf numFmtId="166" fontId="23" fillId="14" borderId="3" xfId="2" applyNumberFormat="1" applyFont="1" applyFill="1" applyBorder="1" applyAlignment="1">
      <alignment horizontal="center" vertical="center"/>
    </xf>
    <xf numFmtId="166" fontId="23" fillId="14" borderId="19" xfId="2" applyNumberFormat="1" applyFont="1" applyFill="1" applyBorder="1" applyAlignment="1">
      <alignment horizontal="center" vertical="center"/>
    </xf>
    <xf numFmtId="164" fontId="24" fillId="0" borderId="9" xfId="0" applyNumberFormat="1" applyFont="1" applyBorder="1" applyAlignment="1">
      <alignment horizontal="center" vertical="center"/>
    </xf>
    <xf numFmtId="4" fontId="2" fillId="0" borderId="3" xfId="0" applyNumberFormat="1" applyFont="1" applyBorder="1" applyAlignment="1">
      <alignment horizontal="center" vertical="center"/>
    </xf>
    <xf numFmtId="43" fontId="25" fillId="14" borderId="14" xfId="1" applyFont="1" applyFill="1" applyBorder="1" applyAlignment="1">
      <alignment vertical="center"/>
    </xf>
    <xf numFmtId="43" fontId="25" fillId="14" borderId="16" xfId="1" applyFont="1" applyFill="1" applyBorder="1" applyAlignment="1">
      <alignment vertical="center"/>
    </xf>
    <xf numFmtId="43" fontId="25" fillId="14" borderId="30" xfId="1" applyFont="1" applyFill="1" applyBorder="1" applyAlignment="1">
      <alignment vertical="center"/>
    </xf>
    <xf numFmtId="4" fontId="2" fillId="11" borderId="32" xfId="0" applyNumberFormat="1" applyFont="1" applyFill="1" applyBorder="1" applyAlignment="1">
      <alignment horizontal="center"/>
    </xf>
    <xf numFmtId="4" fontId="2" fillId="11" borderId="3" xfId="0" applyNumberFormat="1" applyFont="1" applyFill="1" applyBorder="1" applyAlignment="1">
      <alignment horizontal="center" vertical="center"/>
    </xf>
    <xf numFmtId="4" fontId="2" fillId="11" borderId="3" xfId="0" applyNumberFormat="1" applyFont="1" applyFill="1" applyBorder="1" applyAlignment="1">
      <alignment horizontal="center"/>
    </xf>
    <xf numFmtId="4" fontId="2" fillId="11" borderId="28" xfId="0" applyNumberFormat="1" applyFont="1" applyFill="1" applyBorder="1" applyAlignment="1">
      <alignment horizontal="center"/>
    </xf>
    <xf numFmtId="4" fontId="2" fillId="13" borderId="32" xfId="0" applyNumberFormat="1" applyFont="1" applyFill="1" applyBorder="1" applyAlignment="1">
      <alignment horizontal="center" vertical="center"/>
    </xf>
    <xf numFmtId="4" fontId="2" fillId="13" borderId="3" xfId="0" applyNumberFormat="1" applyFont="1" applyFill="1" applyBorder="1" applyAlignment="1">
      <alignment horizontal="center" vertical="center"/>
    </xf>
    <xf numFmtId="4" fontId="2" fillId="13" borderId="28" xfId="0" applyNumberFormat="1" applyFont="1" applyFill="1" applyBorder="1" applyAlignment="1">
      <alignment horizontal="center" vertical="center"/>
    </xf>
    <xf numFmtId="4" fontId="2" fillId="0" borderId="1" xfId="0" applyNumberFormat="1" applyFont="1" applyBorder="1" applyAlignment="1">
      <alignment horizontal="center" vertical="center"/>
    </xf>
    <xf numFmtId="4" fontId="2" fillId="0" borderId="29" xfId="0" applyNumberFormat="1" applyFont="1" applyBorder="1" applyAlignment="1">
      <alignment horizontal="center" vertical="center"/>
    </xf>
    <xf numFmtId="4" fontId="2" fillId="11" borderId="19" xfId="0" applyNumberFormat="1" applyFont="1" applyFill="1" applyBorder="1" applyAlignment="1">
      <alignment horizontal="center"/>
    </xf>
    <xf numFmtId="4" fontId="2" fillId="11" borderId="1" xfId="0" applyNumberFormat="1" applyFont="1" applyFill="1" applyBorder="1" applyAlignment="1">
      <alignment horizontal="center" vertical="center"/>
    </xf>
    <xf numFmtId="4" fontId="2" fillId="11" borderId="1" xfId="0" applyNumberFormat="1" applyFont="1" applyFill="1" applyBorder="1" applyAlignment="1">
      <alignment horizontal="center"/>
    </xf>
    <xf numFmtId="4" fontId="2" fillId="11" borderId="29" xfId="0" applyNumberFormat="1" applyFont="1" applyFill="1" applyBorder="1" applyAlignment="1">
      <alignment horizontal="center"/>
    </xf>
    <xf numFmtId="0" fontId="0" fillId="2" borderId="2" xfId="0" applyFill="1" applyBorder="1" applyAlignment="1">
      <alignment horizontal="center"/>
    </xf>
    <xf numFmtId="0" fontId="0" fillId="2" borderId="10" xfId="0" applyFill="1" applyBorder="1" applyAlignment="1">
      <alignment horizontal="center"/>
    </xf>
    <xf numFmtId="0" fontId="0" fillId="2" borderId="24" xfId="0" applyFill="1" applyBorder="1" applyAlignment="1">
      <alignment horizontal="center"/>
    </xf>
    <xf numFmtId="4" fontId="2" fillId="13" borderId="19" xfId="0" applyNumberFormat="1" applyFont="1" applyFill="1" applyBorder="1" applyAlignment="1">
      <alignment horizontal="center" vertical="center"/>
    </xf>
    <xf numFmtId="4" fontId="2" fillId="13" borderId="1" xfId="0" applyNumberFormat="1" applyFont="1" applyFill="1" applyBorder="1" applyAlignment="1">
      <alignment horizontal="center" vertical="center"/>
    </xf>
    <xf numFmtId="4" fontId="2" fillId="13" borderId="29" xfId="0" applyNumberFormat="1" applyFont="1" applyFill="1" applyBorder="1" applyAlignment="1">
      <alignment horizontal="center" vertical="center"/>
    </xf>
    <xf numFmtId="166" fontId="19" fillId="14" borderId="12" xfId="2" applyNumberFormat="1" applyFont="1" applyFill="1" applyBorder="1" applyAlignment="1">
      <alignment horizontal="center" vertical="center"/>
    </xf>
    <xf numFmtId="166" fontId="19" fillId="14" borderId="7" xfId="2" applyNumberFormat="1" applyFont="1" applyFill="1" applyBorder="1" applyAlignment="1">
      <alignment horizontal="center" vertical="center"/>
    </xf>
    <xf numFmtId="43" fontId="25" fillId="14" borderId="20" xfId="1" applyFont="1" applyFill="1" applyBorder="1" applyAlignment="1">
      <alignment vertical="center"/>
    </xf>
    <xf numFmtId="43" fontId="25" fillId="14" borderId="27" xfId="1" applyFont="1" applyFill="1" applyBorder="1" applyAlignment="1">
      <alignment vertical="center"/>
    </xf>
    <xf numFmtId="166" fontId="17" fillId="14" borderId="5" xfId="2" applyNumberFormat="1" applyFont="1" applyFill="1" applyBorder="1" applyAlignment="1">
      <alignment horizontal="center" vertical="center"/>
    </xf>
    <xf numFmtId="0" fontId="6" fillId="5" borderId="12" xfId="0" applyFont="1" applyFill="1" applyBorder="1" applyAlignment="1">
      <alignment horizontal="center" vertical="center" wrapText="1"/>
    </xf>
    <xf numFmtId="0" fontId="6" fillId="5" borderId="19" xfId="0" applyFont="1" applyFill="1" applyBorder="1" applyAlignment="1">
      <alignment horizontal="center" vertical="center" wrapText="1"/>
    </xf>
    <xf numFmtId="0" fontId="6" fillId="5" borderId="32" xfId="0" applyFont="1" applyFill="1" applyBorder="1" applyAlignment="1">
      <alignment horizontal="center" vertical="center" wrapText="1"/>
    </xf>
    <xf numFmtId="165" fontId="6" fillId="5" borderId="19" xfId="1" applyNumberFormat="1" applyFont="1" applyFill="1" applyBorder="1" applyAlignment="1">
      <alignment horizontal="center" vertical="center" wrapText="1"/>
    </xf>
    <xf numFmtId="4" fontId="23" fillId="14" borderId="17" xfId="0" applyNumberFormat="1" applyFont="1" applyFill="1" applyBorder="1" applyAlignment="1">
      <alignment vertical="center" wrapText="1"/>
    </xf>
    <xf numFmtId="0" fontId="0" fillId="2" borderId="24" xfId="0" applyFill="1" applyBorder="1" applyAlignment="1">
      <alignment horizontal="center" wrapText="1"/>
    </xf>
    <xf numFmtId="0" fontId="0" fillId="2" borderId="24" xfId="0" applyFill="1" applyBorder="1" applyAlignment="1">
      <alignment wrapText="1"/>
    </xf>
    <xf numFmtId="165" fontId="23" fillId="14" borderId="9" xfId="1" applyNumberFormat="1" applyFont="1" applyFill="1" applyBorder="1" applyAlignment="1">
      <alignment horizontal="center" vertical="center" wrapText="1"/>
    </xf>
    <xf numFmtId="166" fontId="23" fillId="14" borderId="42" xfId="2" applyNumberFormat="1" applyFont="1" applyFill="1" applyBorder="1" applyAlignment="1">
      <alignment horizontal="center" vertical="center" wrapText="1"/>
    </xf>
    <xf numFmtId="166" fontId="23" fillId="14" borderId="28" xfId="2" applyNumberFormat="1" applyFont="1" applyFill="1" applyBorder="1" applyAlignment="1">
      <alignment horizontal="center" vertical="center" wrapText="1"/>
    </xf>
    <xf numFmtId="166" fontId="23" fillId="14" borderId="29" xfId="2" applyNumberFormat="1" applyFont="1" applyFill="1" applyBorder="1" applyAlignment="1">
      <alignment horizontal="center" vertical="center" wrapText="1"/>
    </xf>
    <xf numFmtId="166" fontId="17" fillId="14" borderId="5" xfId="2" applyNumberFormat="1" applyFont="1" applyFill="1" applyBorder="1" applyAlignment="1">
      <alignment horizontal="center" vertical="center" wrapText="1"/>
    </xf>
    <xf numFmtId="43" fontId="25" fillId="14" borderId="30" xfId="1" applyFont="1" applyFill="1" applyBorder="1" applyAlignment="1">
      <alignment vertical="center" wrapText="1"/>
    </xf>
    <xf numFmtId="0" fontId="0" fillId="0" borderId="0" xfId="0" applyAlignment="1">
      <alignment wrapText="1"/>
    </xf>
    <xf numFmtId="0" fontId="6" fillId="5" borderId="43" xfId="0" applyFont="1" applyFill="1" applyBorder="1" applyAlignment="1">
      <alignment horizontal="center" vertical="center" wrapText="1"/>
    </xf>
    <xf numFmtId="165" fontId="23" fillId="14" borderId="12" xfId="1" applyNumberFormat="1" applyFont="1" applyFill="1" applyBorder="1" applyAlignment="1">
      <alignment horizontal="center" vertical="center"/>
    </xf>
    <xf numFmtId="165" fontId="23" fillId="14" borderId="7" xfId="1" applyNumberFormat="1" applyFont="1" applyFill="1" applyBorder="1" applyAlignment="1">
      <alignment horizontal="center" vertical="center"/>
    </xf>
    <xf numFmtId="165" fontId="23" fillId="14" borderId="5" xfId="1" applyNumberFormat="1" applyFont="1" applyFill="1" applyBorder="1" applyAlignment="1">
      <alignment horizontal="center" vertical="center"/>
    </xf>
    <xf numFmtId="166" fontId="0" fillId="7" borderId="27" xfId="2" applyNumberFormat="1" applyFont="1" applyFill="1" applyBorder="1" applyAlignment="1">
      <alignment horizontal="center" vertical="center"/>
    </xf>
    <xf numFmtId="166" fontId="23" fillId="14" borderId="20" xfId="2" applyNumberFormat="1" applyFont="1" applyFill="1" applyBorder="1" applyAlignment="1">
      <alignment horizontal="center" vertical="center"/>
    </xf>
    <xf numFmtId="166" fontId="23" fillId="14" borderId="27" xfId="2" applyNumberFormat="1" applyFont="1" applyFill="1" applyBorder="1" applyAlignment="1">
      <alignment horizontal="center" vertical="center"/>
    </xf>
    <xf numFmtId="0" fontId="12" fillId="16" borderId="5" xfId="0" applyFont="1" applyFill="1" applyBorder="1" applyAlignment="1">
      <alignment vertical="center"/>
    </xf>
    <xf numFmtId="0" fontId="12" fillId="16" borderId="4" xfId="0" applyFont="1" applyFill="1" applyBorder="1" applyAlignment="1">
      <alignment vertical="center"/>
    </xf>
    <xf numFmtId="0" fontId="6" fillId="5" borderId="37" xfId="0" applyFont="1" applyFill="1" applyBorder="1" applyAlignment="1">
      <alignment horizontal="center" vertical="center" wrapText="1"/>
    </xf>
    <xf numFmtId="165" fontId="6" fillId="5" borderId="39" xfId="1" applyNumberFormat="1" applyFont="1" applyFill="1" applyBorder="1" applyAlignment="1">
      <alignment horizontal="center" vertical="center" wrapText="1"/>
    </xf>
    <xf numFmtId="0" fontId="23" fillId="17" borderId="16" xfId="0" applyFont="1" applyFill="1" applyBorder="1" applyAlignment="1">
      <alignment horizontal="center" vertical="center"/>
    </xf>
    <xf numFmtId="0" fontId="23" fillId="17" borderId="18" xfId="0" applyFont="1" applyFill="1" applyBorder="1" applyAlignment="1">
      <alignment horizontal="center" vertical="center" wrapText="1"/>
    </xf>
    <xf numFmtId="0" fontId="31" fillId="0" borderId="0" xfId="0" applyFont="1" applyAlignment="1">
      <alignment horizontal="center" vertical="center"/>
    </xf>
    <xf numFmtId="0" fontId="32" fillId="0" borderId="0" xfId="0" applyFont="1" applyAlignment="1">
      <alignment horizontal="center"/>
    </xf>
    <xf numFmtId="0" fontId="32" fillId="0" borderId="0" xfId="0" applyFont="1" applyAlignment="1">
      <alignment horizontal="center" vertical="center"/>
    </xf>
    <xf numFmtId="0" fontId="32" fillId="0" borderId="0" xfId="0" applyFont="1" applyAlignment="1">
      <alignment horizontal="center" wrapText="1"/>
    </xf>
    <xf numFmtId="0" fontId="31" fillId="0" borderId="0" xfId="0" applyFont="1" applyAlignment="1">
      <alignment horizontal="left" vertical="center"/>
    </xf>
    <xf numFmtId="0" fontId="33" fillId="0" borderId="0" xfId="0" applyFont="1" applyAlignment="1">
      <alignment horizontal="center"/>
    </xf>
    <xf numFmtId="0" fontId="6" fillId="10" borderId="27" xfId="0" applyFont="1" applyFill="1" applyBorder="1" applyAlignment="1">
      <alignment horizontal="center"/>
    </xf>
    <xf numFmtId="0" fontId="6" fillId="10" borderId="27" xfId="0" applyFont="1" applyFill="1" applyBorder="1" applyAlignment="1">
      <alignment horizontal="center" vertical="center"/>
    </xf>
    <xf numFmtId="0" fontId="0" fillId="2" borderId="0" xfId="0" applyFill="1" applyAlignment="1">
      <alignment horizontal="center"/>
    </xf>
    <xf numFmtId="0" fontId="6" fillId="2" borderId="27" xfId="0" applyFont="1" applyFill="1" applyBorder="1" applyAlignment="1">
      <alignment horizontal="center"/>
    </xf>
    <xf numFmtId="4" fontId="2" fillId="13" borderId="7" xfId="0" applyNumberFormat="1" applyFont="1" applyFill="1" applyBorder="1" applyAlignment="1">
      <alignment horizontal="left" vertical="center"/>
    </xf>
    <xf numFmtId="4" fontId="2" fillId="13" borderId="5" xfId="0" applyNumberFormat="1" applyFont="1" applyFill="1" applyBorder="1" applyAlignment="1">
      <alignment horizontal="left" vertical="center"/>
    </xf>
    <xf numFmtId="166" fontId="34" fillId="0" borderId="33" xfId="2" applyNumberFormat="1" applyFont="1" applyBorder="1" applyAlignment="1">
      <alignment horizontal="center" vertical="center"/>
    </xf>
    <xf numFmtId="166" fontId="34" fillId="0" borderId="3" xfId="2" applyNumberFormat="1" applyFont="1" applyBorder="1" applyAlignment="1">
      <alignment horizontal="center" vertical="center"/>
    </xf>
    <xf numFmtId="166" fontId="34" fillId="0" borderId="8" xfId="2" applyNumberFormat="1" applyFont="1" applyBorder="1" applyAlignment="1">
      <alignment horizontal="center" vertical="center"/>
    </xf>
    <xf numFmtId="166" fontId="35" fillId="0" borderId="7" xfId="2" applyNumberFormat="1" applyFont="1" applyBorder="1" applyAlignment="1">
      <alignment horizontal="center" vertical="center"/>
    </xf>
    <xf numFmtId="43" fontId="35" fillId="0" borderId="27" xfId="1" applyFont="1" applyBorder="1" applyAlignment="1">
      <alignment vertical="center"/>
    </xf>
    <xf numFmtId="0" fontId="36" fillId="0" borderId="1" xfId="0" applyFont="1" applyBorder="1" applyAlignment="1">
      <alignment horizontal="center" vertical="center" wrapText="1"/>
    </xf>
    <xf numFmtId="4" fontId="37" fillId="0" borderId="7" xfId="0" applyNumberFormat="1" applyFont="1" applyBorder="1" applyAlignment="1">
      <alignment vertical="center"/>
    </xf>
    <xf numFmtId="4" fontId="23" fillId="14" borderId="23" xfId="0" applyNumberFormat="1" applyFont="1" applyFill="1" applyBorder="1" applyAlignment="1">
      <alignment vertical="center" wrapText="1"/>
    </xf>
    <xf numFmtId="4" fontId="23" fillId="14" borderId="15" xfId="0" applyNumberFormat="1" applyFont="1" applyFill="1" applyBorder="1" applyAlignment="1">
      <alignment vertical="center" wrapText="1"/>
    </xf>
    <xf numFmtId="0" fontId="23" fillId="17" borderId="40" xfId="0" applyFont="1" applyFill="1" applyBorder="1" applyAlignment="1">
      <alignment horizontal="center" vertical="center"/>
    </xf>
    <xf numFmtId="166" fontId="0" fillId="8" borderId="37" xfId="2" applyNumberFormat="1" applyFont="1" applyFill="1" applyBorder="1" applyAlignment="1">
      <alignment horizontal="center" vertical="center"/>
    </xf>
    <xf numFmtId="166" fontId="0" fillId="8" borderId="38" xfId="2" applyNumberFormat="1" applyFont="1" applyFill="1" applyBorder="1" applyAlignment="1">
      <alignment horizontal="center" vertical="center"/>
    </xf>
    <xf numFmtId="166" fontId="0" fillId="8" borderId="45" xfId="2" applyNumberFormat="1" applyFont="1" applyFill="1" applyBorder="1" applyAlignment="1">
      <alignment horizontal="center" vertical="center"/>
    </xf>
    <xf numFmtId="166" fontId="10" fillId="10" borderId="37" xfId="2" applyNumberFormat="1" applyFont="1" applyFill="1" applyBorder="1" applyAlignment="1">
      <alignment horizontal="center"/>
    </xf>
    <xf numFmtId="0" fontId="6" fillId="10" borderId="39" xfId="0" applyFont="1" applyFill="1" applyBorder="1" applyAlignment="1">
      <alignment horizontal="center"/>
    </xf>
    <xf numFmtId="0" fontId="38" fillId="0" borderId="0" xfId="0" applyFont="1" applyAlignment="1">
      <alignment horizontal="left"/>
    </xf>
    <xf numFmtId="4" fontId="2" fillId="18" borderId="37" xfId="0" applyNumberFormat="1" applyFont="1" applyFill="1" applyBorder="1" applyAlignment="1">
      <alignment horizontal="left" vertical="center"/>
    </xf>
    <xf numFmtId="4" fontId="2" fillId="18" borderId="36" xfId="0" applyNumberFormat="1" applyFont="1" applyFill="1" applyBorder="1" applyAlignment="1">
      <alignment horizontal="center" vertical="center"/>
    </xf>
    <xf numFmtId="4" fontId="2" fillId="18" borderId="35" xfId="0" applyNumberFormat="1" applyFont="1" applyFill="1" applyBorder="1" applyAlignment="1">
      <alignment horizontal="center" vertical="center"/>
    </xf>
    <xf numFmtId="165" fontId="23" fillId="14" borderId="12" xfId="1" applyNumberFormat="1" applyFont="1" applyFill="1" applyBorder="1" applyAlignment="1">
      <alignment horizontal="center" vertical="center" wrapText="1"/>
    </xf>
    <xf numFmtId="165" fontId="23" fillId="14" borderId="5" xfId="1" applyNumberFormat="1" applyFont="1" applyFill="1" applyBorder="1" applyAlignment="1">
      <alignment horizontal="center" vertical="center" wrapText="1"/>
    </xf>
    <xf numFmtId="166" fontId="23" fillId="17" borderId="28" xfId="2" applyNumberFormat="1" applyFont="1" applyFill="1" applyBorder="1" applyAlignment="1">
      <alignment horizontal="center" vertical="center"/>
    </xf>
    <xf numFmtId="4" fontId="2" fillId="13" borderId="12" xfId="0" applyNumberFormat="1" applyFont="1" applyFill="1" applyBorder="1" applyAlignment="1">
      <alignment horizontal="left" vertical="center"/>
    </xf>
    <xf numFmtId="0" fontId="0" fillId="4" borderId="19" xfId="0" applyFill="1" applyBorder="1" applyAlignment="1">
      <alignment horizontal="center" vertical="center" wrapText="1"/>
    </xf>
    <xf numFmtId="0" fontId="0" fillId="4" borderId="29" xfId="0" applyFill="1" applyBorder="1" applyAlignment="1">
      <alignment horizontal="center" vertical="center" wrapText="1"/>
    </xf>
    <xf numFmtId="0" fontId="6" fillId="10" borderId="20" xfId="0" applyFont="1" applyFill="1" applyBorder="1" applyAlignment="1">
      <alignment horizontal="center"/>
    </xf>
    <xf numFmtId="166" fontId="10" fillId="10" borderId="5" xfId="2" applyNumberFormat="1" applyFont="1" applyFill="1" applyBorder="1" applyAlignment="1">
      <alignment horizontal="center" vertical="center"/>
    </xf>
    <xf numFmtId="0" fontId="6" fillId="10" borderId="30" xfId="0" applyFont="1" applyFill="1" applyBorder="1" applyAlignment="1">
      <alignment horizontal="center" vertical="center"/>
    </xf>
    <xf numFmtId="0" fontId="21" fillId="12" borderId="0" xfId="0" applyFont="1" applyFill="1" applyAlignment="1">
      <alignment horizontal="center" vertical="center"/>
    </xf>
    <xf numFmtId="0" fontId="21" fillId="12" borderId="4" xfId="0" applyFont="1" applyFill="1" applyBorder="1" applyAlignment="1">
      <alignment horizontal="center" vertical="center"/>
    </xf>
    <xf numFmtId="165" fontId="23" fillId="14" borderId="44" xfId="1" applyNumberFormat="1" applyFont="1" applyFill="1" applyBorder="1" applyAlignment="1">
      <alignment horizontal="center" vertical="center" wrapText="1"/>
    </xf>
    <xf numFmtId="4" fontId="2" fillId="2" borderId="1" xfId="0" applyNumberFormat="1" applyFont="1" applyFill="1" applyBorder="1" applyAlignment="1">
      <alignment horizontal="center" vertical="center"/>
    </xf>
    <xf numFmtId="4" fontId="23" fillId="14" borderId="22" xfId="0" applyNumberFormat="1" applyFont="1" applyFill="1" applyBorder="1" applyAlignment="1">
      <alignment vertical="center"/>
    </xf>
    <xf numFmtId="0" fontId="23" fillId="14" borderId="46" xfId="0" applyFont="1" applyFill="1" applyBorder="1" applyAlignment="1">
      <alignment horizontal="center" vertical="center"/>
    </xf>
    <xf numFmtId="0" fontId="0" fillId="2" borderId="47" xfId="0" applyFill="1" applyBorder="1" applyAlignment="1">
      <alignment horizontal="center"/>
    </xf>
    <xf numFmtId="166" fontId="10" fillId="10" borderId="5" xfId="2" applyNumberFormat="1" applyFont="1" applyFill="1" applyBorder="1" applyAlignment="1">
      <alignment horizontal="center"/>
    </xf>
    <xf numFmtId="0" fontId="23" fillId="17" borderId="18" xfId="0" applyFont="1" applyFill="1" applyBorder="1" applyAlignment="1">
      <alignment horizontal="center" vertical="center"/>
    </xf>
    <xf numFmtId="166" fontId="23" fillId="14" borderId="29" xfId="2" applyNumberFormat="1" applyFont="1" applyFill="1" applyBorder="1" applyAlignment="1">
      <alignment horizontal="center" vertical="center"/>
    </xf>
    <xf numFmtId="43" fontId="25" fillId="14" borderId="26" xfId="1" applyFont="1" applyFill="1" applyBorder="1" applyAlignment="1">
      <alignment vertical="center"/>
    </xf>
    <xf numFmtId="43" fontId="25" fillId="14" borderId="8" xfId="1" applyFont="1" applyFill="1" applyBorder="1" applyAlignment="1">
      <alignment vertical="center"/>
    </xf>
    <xf numFmtId="43" fontId="25" fillId="14" borderId="6" xfId="1" applyFont="1" applyFill="1" applyBorder="1" applyAlignment="1">
      <alignment vertical="center"/>
    </xf>
    <xf numFmtId="166" fontId="23" fillId="14" borderId="26" xfId="2" applyNumberFormat="1" applyFont="1" applyFill="1" applyBorder="1" applyAlignment="1">
      <alignment horizontal="center" vertical="center"/>
    </xf>
    <xf numFmtId="166" fontId="23" fillId="14" borderId="8" xfId="2" applyNumberFormat="1" applyFont="1" applyFill="1" applyBorder="1" applyAlignment="1">
      <alignment horizontal="center" vertical="center"/>
    </xf>
    <xf numFmtId="166" fontId="23" fillId="14" borderId="6" xfId="2" applyNumberFormat="1" applyFont="1" applyFill="1" applyBorder="1" applyAlignment="1">
      <alignment horizontal="center" vertical="center"/>
    </xf>
    <xf numFmtId="166" fontId="19" fillId="14" borderId="44" xfId="2" applyNumberFormat="1" applyFont="1" applyFill="1" applyBorder="1" applyAlignment="1">
      <alignment horizontal="center" vertical="center"/>
    </xf>
    <xf numFmtId="166" fontId="19" fillId="14" borderId="11" xfId="2" applyNumberFormat="1" applyFont="1" applyFill="1" applyBorder="1" applyAlignment="1">
      <alignment horizontal="center" vertical="center"/>
    </xf>
    <xf numFmtId="166" fontId="19" fillId="14" borderId="9" xfId="2" applyNumberFormat="1" applyFont="1" applyFill="1" applyBorder="1" applyAlignment="1">
      <alignment horizontal="center" vertical="center"/>
    </xf>
    <xf numFmtId="0" fontId="6" fillId="10" borderId="30" xfId="0" applyFont="1" applyFill="1" applyBorder="1" applyAlignment="1">
      <alignment horizontal="center"/>
    </xf>
    <xf numFmtId="165" fontId="23" fillId="14" borderId="37" xfId="1" applyNumberFormat="1" applyFont="1" applyFill="1" applyBorder="1" applyAlignment="1">
      <alignment horizontal="center" vertical="center"/>
    </xf>
    <xf numFmtId="166" fontId="23" fillId="14" borderId="34" xfId="2" applyNumberFormat="1" applyFont="1" applyFill="1" applyBorder="1" applyAlignment="1">
      <alignment horizontal="center" vertical="center"/>
    </xf>
    <xf numFmtId="166" fontId="23" fillId="14" borderId="36" xfId="2" applyNumberFormat="1" applyFont="1" applyFill="1" applyBorder="1" applyAlignment="1">
      <alignment horizontal="center" vertical="center"/>
    </xf>
    <xf numFmtId="166" fontId="23" fillId="14" borderId="39" xfId="2" applyNumberFormat="1" applyFont="1" applyFill="1" applyBorder="1" applyAlignment="1">
      <alignment horizontal="center" vertical="center"/>
    </xf>
    <xf numFmtId="166" fontId="19" fillId="14" borderId="37" xfId="2" applyNumberFormat="1" applyFont="1" applyFill="1" applyBorder="1" applyAlignment="1">
      <alignment horizontal="center" vertical="center"/>
    </xf>
    <xf numFmtId="43" fontId="25" fillId="14" borderId="39" xfId="1" applyFont="1" applyFill="1" applyBorder="1" applyAlignment="1">
      <alignment vertical="center"/>
    </xf>
    <xf numFmtId="0" fontId="13" fillId="16" borderId="12" xfId="0" applyFont="1" applyFill="1" applyBorder="1" applyAlignment="1">
      <alignment horizontal="center" vertical="center"/>
    </xf>
    <xf numFmtId="0" fontId="13" fillId="16" borderId="26" xfId="0" applyFont="1" applyFill="1" applyBorder="1" applyAlignment="1">
      <alignment horizontal="center" vertical="center"/>
    </xf>
    <xf numFmtId="0" fontId="13" fillId="16" borderId="7" xfId="0" applyFont="1" applyFill="1" applyBorder="1" applyAlignment="1">
      <alignment horizontal="center" vertical="center"/>
    </xf>
    <xf numFmtId="0" fontId="13" fillId="16" borderId="8" xfId="0" applyFont="1" applyFill="1" applyBorder="1" applyAlignment="1">
      <alignment horizontal="center" vertical="center"/>
    </xf>
    <xf numFmtId="0" fontId="13" fillId="16" borderId="5" xfId="0" applyFont="1" applyFill="1" applyBorder="1" applyAlignment="1">
      <alignment horizontal="center" vertical="center"/>
    </xf>
    <xf numFmtId="0" fontId="13" fillId="16" borderId="6" xfId="0" applyFont="1" applyFill="1" applyBorder="1" applyAlignment="1">
      <alignment horizontal="center" vertical="center"/>
    </xf>
    <xf numFmtId="167" fontId="14" fillId="0" borderId="12" xfId="0" applyNumberFormat="1" applyFont="1" applyBorder="1" applyAlignment="1">
      <alignment horizontal="center" vertical="center"/>
    </xf>
    <xf numFmtId="167" fontId="14" fillId="0" borderId="26" xfId="0" applyNumberFormat="1"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168" fontId="15" fillId="0" borderId="12" xfId="2" applyNumberFormat="1" applyFont="1" applyBorder="1" applyAlignment="1">
      <alignment horizontal="center" vertical="center"/>
    </xf>
    <xf numFmtId="168" fontId="15" fillId="0" borderId="26" xfId="2" applyNumberFormat="1" applyFont="1" applyBorder="1" applyAlignment="1">
      <alignment horizontal="center" vertical="center"/>
    </xf>
    <xf numFmtId="168" fontId="15" fillId="0" borderId="7" xfId="2" applyNumberFormat="1" applyFont="1" applyBorder="1" applyAlignment="1">
      <alignment horizontal="center" vertical="center"/>
    </xf>
    <xf numFmtId="168" fontId="15" fillId="0" borderId="8" xfId="2" applyNumberFormat="1" applyFont="1" applyBorder="1" applyAlignment="1">
      <alignment horizontal="center" vertical="center"/>
    </xf>
    <xf numFmtId="168" fontId="15" fillId="0" borderId="5" xfId="2" applyNumberFormat="1" applyFont="1" applyBorder="1" applyAlignment="1">
      <alignment horizontal="center" vertical="center"/>
    </xf>
    <xf numFmtId="168" fontId="15" fillId="0" borderId="6" xfId="2" applyNumberFormat="1" applyFont="1" applyBorder="1" applyAlignment="1">
      <alignment horizontal="center" vertical="center"/>
    </xf>
    <xf numFmtId="10" fontId="14" fillId="0" borderId="12" xfId="0" applyNumberFormat="1" applyFont="1" applyBorder="1" applyAlignment="1">
      <alignment horizontal="center" vertical="center"/>
    </xf>
    <xf numFmtId="10" fontId="14" fillId="0" borderId="26" xfId="0" applyNumberFormat="1" applyFont="1" applyBorder="1" applyAlignment="1">
      <alignment horizontal="center" vertical="center"/>
    </xf>
    <xf numFmtId="10" fontId="14" fillId="0" borderId="7" xfId="0" applyNumberFormat="1" applyFont="1" applyBorder="1" applyAlignment="1">
      <alignment horizontal="center" vertical="center"/>
    </xf>
    <xf numFmtId="10" fontId="14" fillId="0" borderId="8" xfId="0" applyNumberFormat="1" applyFont="1" applyBorder="1" applyAlignment="1">
      <alignment horizontal="center" vertical="center"/>
    </xf>
    <xf numFmtId="10" fontId="14" fillId="0" borderId="5" xfId="0" applyNumberFormat="1" applyFont="1" applyBorder="1" applyAlignment="1">
      <alignment horizontal="center" vertical="center"/>
    </xf>
    <xf numFmtId="10" fontId="14" fillId="0" borderId="6" xfId="0" applyNumberFormat="1" applyFont="1" applyBorder="1" applyAlignment="1">
      <alignment horizontal="center" vertical="center"/>
    </xf>
    <xf numFmtId="166" fontId="10" fillId="0" borderId="43" xfId="2" applyNumberFormat="1" applyFont="1" applyBorder="1" applyAlignment="1">
      <alignment horizontal="center" vertical="center"/>
    </xf>
    <xf numFmtId="166" fontId="10" fillId="0" borderId="42" xfId="2" applyNumberFormat="1" applyFont="1" applyBorder="1" applyAlignment="1">
      <alignment horizontal="center" vertical="center"/>
    </xf>
    <xf numFmtId="43" fontId="6" fillId="0" borderId="20" xfId="1" applyFont="1" applyBorder="1" applyAlignment="1">
      <alignment horizontal="center" vertical="center"/>
    </xf>
    <xf numFmtId="43" fontId="6" fillId="0" borderId="30" xfId="1" applyFont="1" applyBorder="1" applyAlignment="1">
      <alignment horizontal="center" vertical="center"/>
    </xf>
    <xf numFmtId="0" fontId="20" fillId="15" borderId="5" xfId="0" applyFont="1" applyFill="1" applyBorder="1" applyAlignment="1">
      <alignment horizontal="center" vertical="center" wrapText="1"/>
    </xf>
    <xf numFmtId="0" fontId="20" fillId="15" borderId="4" xfId="0" applyFont="1" applyFill="1" applyBorder="1" applyAlignment="1">
      <alignment horizontal="center" vertical="center" wrapText="1"/>
    </xf>
    <xf numFmtId="0" fontId="20" fillId="15" borderId="6" xfId="0" applyFont="1" applyFill="1" applyBorder="1" applyAlignment="1">
      <alignment horizontal="center" vertical="center" wrapText="1"/>
    </xf>
    <xf numFmtId="4" fontId="2" fillId="0" borderId="32" xfId="0" applyNumberFormat="1" applyFont="1" applyBorder="1" applyAlignment="1">
      <alignment horizontal="center" vertical="center"/>
    </xf>
    <xf numFmtId="4" fontId="2" fillId="0" borderId="28" xfId="0" applyNumberFormat="1" applyFont="1" applyBorder="1" applyAlignment="1">
      <alignment horizontal="center" vertical="center"/>
    </xf>
    <xf numFmtId="0" fontId="0" fillId="0" borderId="32" xfId="0" applyBorder="1" applyAlignment="1">
      <alignment horizontal="center" vertical="center"/>
    </xf>
    <xf numFmtId="0" fontId="0" fillId="0" borderId="28" xfId="0" applyBorder="1" applyAlignment="1">
      <alignment horizontal="center" vertical="center"/>
    </xf>
    <xf numFmtId="0" fontId="21" fillId="12" borderId="7" xfId="0" applyFont="1" applyFill="1" applyBorder="1" applyAlignment="1">
      <alignment horizontal="center" vertical="center"/>
    </xf>
    <xf numFmtId="0" fontId="21" fillId="12" borderId="0" xfId="0" applyFont="1" applyFill="1" applyAlignment="1">
      <alignment horizontal="center" vertical="center"/>
    </xf>
    <xf numFmtId="0" fontId="21" fillId="12" borderId="5" xfId="0" applyFont="1" applyFill="1" applyBorder="1" applyAlignment="1">
      <alignment horizontal="center" vertical="center"/>
    </xf>
    <xf numFmtId="0" fontId="21" fillId="12" borderId="4" xfId="0" applyFont="1" applyFill="1" applyBorder="1" applyAlignment="1">
      <alignment horizontal="center" vertical="center"/>
    </xf>
    <xf numFmtId="164" fontId="22" fillId="0" borderId="44" xfId="0" applyNumberFormat="1" applyFont="1" applyBorder="1" applyAlignment="1">
      <alignment horizontal="center" vertical="center"/>
    </xf>
    <xf numFmtId="164" fontId="22" fillId="0" borderId="9" xfId="0" applyNumberFormat="1" applyFont="1" applyBorder="1" applyAlignment="1">
      <alignment horizontal="center" vertical="center"/>
    </xf>
    <xf numFmtId="4" fontId="2" fillId="0" borderId="41" xfId="0" applyNumberFormat="1" applyFont="1" applyBorder="1" applyAlignment="1">
      <alignment horizontal="center" vertical="center"/>
    </xf>
    <xf numFmtId="4" fontId="2" fillId="0" borderId="42" xfId="0" applyNumberFormat="1" applyFont="1" applyBorder="1" applyAlignment="1">
      <alignment horizontal="center" vertical="center"/>
    </xf>
    <xf numFmtId="165" fontId="0" fillId="0" borderId="19" xfId="1" applyNumberFormat="1" applyFont="1" applyBorder="1" applyAlignment="1">
      <alignment horizontal="center" vertical="center"/>
    </xf>
    <xf numFmtId="165" fontId="0" fillId="0" borderId="29" xfId="1" applyNumberFormat="1" applyFont="1" applyBorder="1" applyAlignment="1">
      <alignment horizontal="center" vertical="center"/>
    </xf>
    <xf numFmtId="0" fontId="20" fillId="12" borderId="12" xfId="0" applyFont="1" applyFill="1" applyBorder="1" applyAlignment="1">
      <alignment horizontal="center" vertical="center"/>
    </xf>
    <xf numFmtId="0" fontId="20" fillId="12" borderId="26" xfId="0" applyFont="1" applyFill="1" applyBorder="1" applyAlignment="1">
      <alignment horizontal="center" vertical="center"/>
    </xf>
    <xf numFmtId="0" fontId="20" fillId="12" borderId="7" xfId="0" applyFont="1" applyFill="1" applyBorder="1" applyAlignment="1">
      <alignment horizontal="center" vertical="center"/>
    </xf>
    <xf numFmtId="0" fontId="20" fillId="12" borderId="8" xfId="0" applyFont="1" applyFill="1" applyBorder="1" applyAlignment="1">
      <alignment horizontal="center" vertical="center"/>
    </xf>
    <xf numFmtId="0" fontId="20" fillId="12" borderId="5" xfId="0" applyFont="1" applyFill="1" applyBorder="1" applyAlignment="1">
      <alignment horizontal="center" vertical="center"/>
    </xf>
    <xf numFmtId="0" fontId="20" fillId="12" borderId="6" xfId="0" applyFont="1" applyFill="1" applyBorder="1" applyAlignment="1">
      <alignment horizontal="center" vertical="center"/>
    </xf>
    <xf numFmtId="164" fontId="22" fillId="0" borderId="11" xfId="0" applyNumberFormat="1" applyFont="1" applyBorder="1" applyAlignment="1">
      <alignment horizontal="center" vertical="center"/>
    </xf>
    <xf numFmtId="0" fontId="11" fillId="16" borderId="12" xfId="0" applyFont="1" applyFill="1" applyBorder="1" applyAlignment="1">
      <alignment horizontal="center" vertical="center" wrapText="1"/>
    </xf>
    <xf numFmtId="0" fontId="11" fillId="16" borderId="25" xfId="0" applyFont="1" applyFill="1" applyBorder="1" applyAlignment="1">
      <alignment horizontal="center" vertical="center" wrapText="1"/>
    </xf>
    <xf numFmtId="0" fontId="11" fillId="16" borderId="26" xfId="0" applyFont="1" applyFill="1" applyBorder="1" applyAlignment="1">
      <alignment horizontal="center" vertical="center" wrapText="1"/>
    </xf>
    <xf numFmtId="0" fontId="11" fillId="16" borderId="7" xfId="0" applyFont="1" applyFill="1" applyBorder="1" applyAlignment="1">
      <alignment horizontal="center" vertical="center" wrapText="1"/>
    </xf>
    <xf numFmtId="0" fontId="11" fillId="16" borderId="0" xfId="0" applyFont="1" applyFill="1" applyAlignment="1">
      <alignment horizontal="center" vertical="center" wrapText="1"/>
    </xf>
    <xf numFmtId="0" fontId="11" fillId="16" borderId="8" xfId="0" applyFont="1" applyFill="1" applyBorder="1" applyAlignment="1">
      <alignment horizontal="center" vertical="center" wrapText="1"/>
    </xf>
    <xf numFmtId="0" fontId="11" fillId="16" borderId="5" xfId="0" applyFont="1" applyFill="1" applyBorder="1" applyAlignment="1">
      <alignment horizontal="center" vertical="center" wrapText="1"/>
    </xf>
    <xf numFmtId="0" fontId="11" fillId="16" borderId="4" xfId="0" applyFont="1" applyFill="1" applyBorder="1" applyAlignment="1">
      <alignment horizontal="center" vertical="center" wrapText="1"/>
    </xf>
    <xf numFmtId="0" fontId="11" fillId="16" borderId="6" xfId="0" applyFont="1" applyFill="1" applyBorder="1" applyAlignment="1">
      <alignment horizontal="center" vertical="center" wrapText="1"/>
    </xf>
    <xf numFmtId="0" fontId="20" fillId="15" borderId="37" xfId="0" applyFont="1" applyFill="1" applyBorder="1" applyAlignment="1">
      <alignment horizontal="center" vertical="center" wrapText="1"/>
    </xf>
    <xf numFmtId="0" fontId="20" fillId="15" borderId="38" xfId="0" applyFont="1" applyFill="1" applyBorder="1" applyAlignment="1">
      <alignment horizontal="center" vertical="center" wrapText="1"/>
    </xf>
    <xf numFmtId="0" fontId="20" fillId="15" borderId="45" xfId="0" applyFont="1" applyFill="1" applyBorder="1" applyAlignment="1">
      <alignment horizontal="center" vertical="center" wrapText="1"/>
    </xf>
    <xf numFmtId="0" fontId="21" fillId="12" borderId="8" xfId="0" applyFont="1" applyFill="1" applyBorder="1" applyAlignment="1">
      <alignment horizontal="center" vertical="center"/>
    </xf>
    <xf numFmtId="0" fontId="21" fillId="12" borderId="6" xfId="0" applyFont="1" applyFill="1" applyBorder="1" applyAlignment="1">
      <alignment horizontal="center" vertical="center"/>
    </xf>
    <xf numFmtId="0" fontId="12" fillId="16" borderId="12" xfId="0" applyFont="1" applyFill="1" applyBorder="1" applyAlignment="1">
      <alignment horizontal="center" vertical="center"/>
    </xf>
    <xf numFmtId="0" fontId="12" fillId="16" borderId="25" xfId="0" applyFont="1" applyFill="1" applyBorder="1" applyAlignment="1">
      <alignment horizontal="center" vertical="center"/>
    </xf>
    <xf numFmtId="0" fontId="12" fillId="16" borderId="26" xfId="0" applyFont="1" applyFill="1" applyBorder="1" applyAlignment="1">
      <alignment horizontal="center" vertical="center"/>
    </xf>
    <xf numFmtId="0" fontId="12" fillId="16" borderId="7" xfId="0" applyFont="1" applyFill="1" applyBorder="1" applyAlignment="1">
      <alignment horizontal="center" vertical="center"/>
    </xf>
    <xf numFmtId="0" fontId="12" fillId="16" borderId="0" xfId="0" applyFont="1" applyFill="1" applyAlignment="1">
      <alignment horizontal="center" vertical="center"/>
    </xf>
    <xf numFmtId="0" fontId="12" fillId="16" borderId="8" xfId="0" applyFont="1" applyFill="1" applyBorder="1" applyAlignment="1">
      <alignment horizontal="center" vertical="center"/>
    </xf>
    <xf numFmtId="0" fontId="25" fillId="16" borderId="4" xfId="0" applyFont="1" applyFill="1" applyBorder="1" applyAlignment="1">
      <alignment horizontal="center" vertical="center"/>
    </xf>
    <xf numFmtId="0" fontId="25" fillId="16" borderId="6" xfId="0" applyFont="1" applyFill="1" applyBorder="1" applyAlignment="1">
      <alignment horizontal="center" vertical="center"/>
    </xf>
    <xf numFmtId="0" fontId="26" fillId="12" borderId="12" xfId="0" applyFont="1" applyFill="1" applyBorder="1" applyAlignment="1">
      <alignment horizontal="center" vertical="center"/>
    </xf>
    <xf numFmtId="0" fontId="26" fillId="12" borderId="26" xfId="0" applyFont="1" applyFill="1" applyBorder="1" applyAlignment="1">
      <alignment horizontal="center" vertical="center"/>
    </xf>
    <xf numFmtId="0" fontId="26" fillId="12" borderId="7" xfId="0" applyFont="1" applyFill="1" applyBorder="1" applyAlignment="1">
      <alignment horizontal="center" vertical="center"/>
    </xf>
    <xf numFmtId="0" fontId="26" fillId="12" borderId="8" xfId="0" applyFont="1" applyFill="1" applyBorder="1" applyAlignment="1">
      <alignment horizontal="center" vertical="center"/>
    </xf>
    <xf numFmtId="0" fontId="26" fillId="12" borderId="5" xfId="0" applyFont="1" applyFill="1" applyBorder="1" applyAlignment="1">
      <alignment horizontal="center" vertical="center"/>
    </xf>
    <xf numFmtId="0" fontId="26" fillId="12" borderId="6" xfId="0" applyFont="1" applyFill="1" applyBorder="1" applyAlignment="1">
      <alignment horizontal="center" vertical="center"/>
    </xf>
    <xf numFmtId="0" fontId="27" fillId="12" borderId="12" xfId="0" applyFont="1" applyFill="1" applyBorder="1" applyAlignment="1">
      <alignment horizontal="center" vertical="center"/>
    </xf>
    <xf numFmtId="0" fontId="27" fillId="12" borderId="26" xfId="0" applyFont="1" applyFill="1" applyBorder="1" applyAlignment="1">
      <alignment horizontal="center" vertical="center"/>
    </xf>
    <xf numFmtId="0" fontId="27" fillId="12" borderId="7" xfId="0" applyFont="1" applyFill="1" applyBorder="1" applyAlignment="1">
      <alignment horizontal="center" vertical="center"/>
    </xf>
    <xf numFmtId="0" fontId="27" fillId="12" borderId="8" xfId="0" applyFont="1" applyFill="1" applyBorder="1" applyAlignment="1">
      <alignment horizontal="center" vertical="center"/>
    </xf>
    <xf numFmtId="0" fontId="27" fillId="12" borderId="5" xfId="0" applyFont="1" applyFill="1" applyBorder="1" applyAlignment="1">
      <alignment horizontal="center" vertical="center"/>
    </xf>
    <xf numFmtId="0" fontId="27" fillId="12" borderId="6" xfId="0" applyFont="1" applyFill="1" applyBorder="1" applyAlignment="1">
      <alignment horizontal="center" vertical="center"/>
    </xf>
    <xf numFmtId="0" fontId="28" fillId="12" borderId="12" xfId="0" applyFont="1" applyFill="1" applyBorder="1" applyAlignment="1">
      <alignment horizontal="center" vertical="center" wrapText="1"/>
    </xf>
    <xf numFmtId="0" fontId="28" fillId="12" borderId="26" xfId="0" applyFont="1" applyFill="1" applyBorder="1" applyAlignment="1">
      <alignment horizontal="center" vertical="center" wrapText="1"/>
    </xf>
    <xf numFmtId="0" fontId="28" fillId="12" borderId="7" xfId="0" applyFont="1" applyFill="1" applyBorder="1" applyAlignment="1">
      <alignment horizontal="center" vertical="center" wrapText="1"/>
    </xf>
    <xf numFmtId="0" fontId="28" fillId="12" borderId="8" xfId="0" applyFont="1" applyFill="1" applyBorder="1" applyAlignment="1">
      <alignment horizontal="center" vertical="center" wrapText="1"/>
    </xf>
    <xf numFmtId="0" fontId="28" fillId="12" borderId="5" xfId="0" applyFont="1" applyFill="1" applyBorder="1" applyAlignment="1">
      <alignment horizontal="center" vertical="center" wrapText="1"/>
    </xf>
    <xf numFmtId="0" fontId="28" fillId="12" borderId="6" xfId="0" applyFont="1" applyFill="1" applyBorder="1" applyAlignment="1">
      <alignment horizontal="center" vertical="center" wrapText="1"/>
    </xf>
    <xf numFmtId="169" fontId="16" fillId="0" borderId="12" xfId="2" applyNumberFormat="1" applyFont="1" applyBorder="1" applyAlignment="1">
      <alignment horizontal="center" vertical="center"/>
    </xf>
    <xf numFmtId="169" fontId="16" fillId="0" borderId="26" xfId="2" applyNumberFormat="1" applyFont="1" applyBorder="1" applyAlignment="1">
      <alignment horizontal="center" vertical="center"/>
    </xf>
    <xf numFmtId="169" fontId="16" fillId="0" borderId="7" xfId="2" applyNumberFormat="1" applyFont="1" applyBorder="1" applyAlignment="1">
      <alignment horizontal="center" vertical="center"/>
    </xf>
    <xf numFmtId="169" fontId="16" fillId="0" borderId="8" xfId="2" applyNumberFormat="1" applyFont="1" applyBorder="1" applyAlignment="1">
      <alignment horizontal="center" vertical="center"/>
    </xf>
    <xf numFmtId="169" fontId="16" fillId="0" borderId="5" xfId="2" applyNumberFormat="1" applyFont="1" applyBorder="1" applyAlignment="1">
      <alignment horizontal="center" vertical="center"/>
    </xf>
    <xf numFmtId="169" fontId="16" fillId="0" borderId="6" xfId="2" applyNumberFormat="1" applyFont="1" applyBorder="1" applyAlignment="1">
      <alignment horizontal="center" vertical="center"/>
    </xf>
    <xf numFmtId="0" fontId="21" fillId="12" borderId="12" xfId="0" applyFont="1" applyFill="1" applyBorder="1" applyAlignment="1">
      <alignment horizontal="center" vertical="center"/>
    </xf>
    <xf numFmtId="0" fontId="21" fillId="12" borderId="25" xfId="0" applyFont="1" applyFill="1" applyBorder="1" applyAlignment="1">
      <alignment horizontal="center" vertical="center"/>
    </xf>
    <xf numFmtId="0" fontId="21" fillId="12" borderId="26" xfId="0" applyFont="1" applyFill="1" applyBorder="1" applyAlignment="1">
      <alignment horizontal="center" vertical="center"/>
    </xf>
    <xf numFmtId="0" fontId="30" fillId="12" borderId="12" xfId="0" applyFont="1" applyFill="1" applyBorder="1" applyAlignment="1">
      <alignment horizontal="center" vertical="center" wrapText="1"/>
    </xf>
    <xf numFmtId="0" fontId="30" fillId="12" borderId="25" xfId="0" applyFont="1" applyFill="1" applyBorder="1" applyAlignment="1">
      <alignment horizontal="center" vertical="center" wrapText="1"/>
    </xf>
    <xf numFmtId="0" fontId="30" fillId="12" borderId="7" xfId="0" applyFont="1" applyFill="1" applyBorder="1" applyAlignment="1">
      <alignment horizontal="center" vertical="center" wrapText="1"/>
    </xf>
    <xf numFmtId="0" fontId="30" fillId="12" borderId="0" xfId="0" applyFont="1" applyFill="1" applyAlignment="1">
      <alignment horizontal="center" vertical="center" wrapText="1"/>
    </xf>
    <xf numFmtId="0" fontId="30" fillId="12" borderId="5" xfId="0" applyFont="1" applyFill="1" applyBorder="1" applyAlignment="1">
      <alignment horizontal="center" vertical="center" wrapText="1"/>
    </xf>
    <xf numFmtId="0" fontId="30" fillId="12" borderId="4" xfId="0" applyFont="1" applyFill="1" applyBorder="1" applyAlignment="1">
      <alignment horizontal="center" vertical="center" wrapText="1"/>
    </xf>
    <xf numFmtId="170" fontId="29" fillId="0" borderId="25" xfId="2" applyNumberFormat="1" applyFont="1" applyBorder="1" applyAlignment="1">
      <alignment horizontal="center" vertical="center"/>
    </xf>
    <xf numFmtId="170" fontId="29" fillId="0" borderId="26" xfId="2" applyNumberFormat="1" applyFont="1" applyBorder="1" applyAlignment="1">
      <alignment horizontal="center" vertical="center"/>
    </xf>
    <xf numFmtId="170" fontId="29" fillId="0" borderId="0" xfId="2" applyNumberFormat="1" applyFont="1" applyBorder="1" applyAlignment="1">
      <alignment horizontal="center" vertical="center"/>
    </xf>
    <xf numFmtId="170" fontId="29" fillId="0" borderId="8" xfId="2" applyNumberFormat="1" applyFont="1" applyBorder="1" applyAlignment="1">
      <alignment horizontal="center" vertical="center"/>
    </xf>
    <xf numFmtId="170" fontId="29" fillId="0" borderId="4" xfId="2" applyNumberFormat="1" applyFont="1" applyBorder="1" applyAlignment="1">
      <alignment horizontal="center" vertical="center"/>
    </xf>
    <xf numFmtId="170" fontId="29" fillId="0" borderId="6" xfId="2" applyNumberFormat="1" applyFont="1" applyBorder="1" applyAlignment="1">
      <alignment horizontal="center" vertical="center"/>
    </xf>
    <xf numFmtId="0" fontId="20" fillId="12" borderId="12" xfId="0" applyFont="1" applyFill="1" applyBorder="1" applyAlignment="1">
      <alignment horizontal="center" vertical="center" wrapText="1"/>
    </xf>
    <xf numFmtId="0" fontId="20" fillId="12" borderId="26" xfId="0" applyFont="1" applyFill="1" applyBorder="1" applyAlignment="1">
      <alignment horizontal="center" vertical="center" wrapText="1"/>
    </xf>
    <xf numFmtId="0" fontId="20" fillId="12" borderId="7" xfId="0" applyFont="1" applyFill="1" applyBorder="1" applyAlignment="1">
      <alignment horizontal="center" vertical="center" wrapText="1"/>
    </xf>
    <xf numFmtId="0" fontId="20" fillId="12" borderId="8" xfId="0" applyFont="1" applyFill="1" applyBorder="1" applyAlignment="1">
      <alignment horizontal="center" vertical="center" wrapText="1"/>
    </xf>
    <xf numFmtId="0" fontId="20" fillId="12" borderId="5" xfId="0" applyFont="1" applyFill="1" applyBorder="1" applyAlignment="1">
      <alignment horizontal="center" vertical="center" wrapText="1"/>
    </xf>
    <xf numFmtId="0" fontId="20" fillId="12" borderId="6" xfId="0" applyFont="1" applyFill="1" applyBorder="1" applyAlignment="1">
      <alignment horizontal="center" vertical="center" wrapText="1"/>
    </xf>
    <xf numFmtId="169" fontId="16" fillId="0" borderId="25" xfId="2" applyNumberFormat="1" applyFont="1" applyBorder="1" applyAlignment="1">
      <alignment horizontal="center" vertical="center"/>
    </xf>
    <xf numFmtId="169" fontId="16" fillId="0" borderId="0" xfId="2" applyNumberFormat="1" applyFont="1" applyBorder="1" applyAlignment="1">
      <alignment horizontal="center" vertical="center"/>
    </xf>
    <xf numFmtId="169" fontId="16" fillId="0" borderId="4" xfId="2" applyNumberFormat="1" applyFont="1" applyBorder="1" applyAlignment="1">
      <alignment horizontal="center" vertical="center"/>
    </xf>
    <xf numFmtId="166" fontId="0" fillId="0" borderId="32" xfId="2" applyNumberFormat="1" applyFont="1" applyBorder="1" applyAlignment="1">
      <alignment horizontal="center" vertical="center"/>
    </xf>
    <xf numFmtId="166" fontId="0" fillId="0" borderId="28" xfId="2" applyNumberFormat="1" applyFont="1" applyBorder="1" applyAlignment="1">
      <alignment horizontal="center" vertical="center"/>
    </xf>
    <xf numFmtId="166" fontId="0" fillId="0" borderId="43" xfId="2" applyNumberFormat="1" applyFont="1" applyBorder="1" applyAlignment="1">
      <alignment horizontal="center" vertical="center"/>
    </xf>
    <xf numFmtId="166" fontId="0" fillId="0" borderId="42" xfId="2" applyNumberFormat="1" applyFont="1" applyBorder="1" applyAlignment="1">
      <alignment horizontal="center" vertical="center"/>
    </xf>
  </cellXfs>
  <cellStyles count="3">
    <cellStyle name="Milliers" xfId="1" builtinId="3"/>
    <cellStyle name="Normal" xfId="0" builtinId="0"/>
    <cellStyle name="Pourcentage" xfId="2" builtinId="5"/>
  </cellStyles>
  <dxfs count="0"/>
  <tableStyles count="0" defaultTableStyle="TableStyleMedium2" defaultPivotStyle="PivotStyleLight16"/>
  <colors>
    <mruColors>
      <color rgb="FF796047"/>
      <color rgb="FFE39225"/>
      <color rgb="FFB64816"/>
      <color rgb="FF000000"/>
      <color rgb="FFFF8585"/>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E7E0E-B595-4B1B-9786-615BC0D45F28}">
  <dimension ref="A2:T411"/>
  <sheetViews>
    <sheetView showGridLines="0" tabSelected="1" zoomScale="55" zoomScaleNormal="55" workbookViewId="0">
      <selection activeCell="F4" sqref="F4"/>
    </sheetView>
  </sheetViews>
  <sheetFormatPr baseColWidth="10" defaultRowHeight="28.5" x14ac:dyDescent="0.45"/>
  <cols>
    <col min="1" max="1" width="49.85546875" style="172" customWidth="1"/>
    <col min="2" max="2" width="55.140625" customWidth="1"/>
    <col min="3" max="3" width="18.42578125" style="8" customWidth="1"/>
    <col min="4" max="4" width="16" style="8" customWidth="1"/>
    <col min="5" max="5" width="19.7109375" style="8" customWidth="1"/>
    <col min="6" max="6" width="27.7109375" style="8" customWidth="1"/>
    <col min="7" max="7" width="20.5703125" style="8" customWidth="1"/>
    <col min="8" max="8" width="24.42578125" customWidth="1"/>
    <col min="9" max="9" width="21.28515625" style="4" customWidth="1"/>
    <col min="10" max="14" width="15.7109375" style="8" customWidth="1"/>
    <col min="15" max="15" width="19.42578125" style="8" customWidth="1"/>
    <col min="16" max="16" width="19.7109375" customWidth="1"/>
    <col min="19" max="19" width="19.42578125" style="8" customWidth="1"/>
    <col min="20" max="20" width="19.7109375" customWidth="1"/>
  </cols>
  <sheetData>
    <row r="2" spans="1:20" ht="21.75" customHeight="1" x14ac:dyDescent="0.25">
      <c r="A2" s="171" t="s">
        <v>0</v>
      </c>
    </row>
    <row r="4" spans="1:20" ht="51" customHeight="1" thickBot="1" x14ac:dyDescent="0.5"/>
    <row r="5" spans="1:20" ht="37.5" customHeight="1" x14ac:dyDescent="0.45">
      <c r="B5" s="303" t="s">
        <v>77</v>
      </c>
      <c r="C5" s="304"/>
      <c r="D5" s="304"/>
      <c r="E5" s="304"/>
      <c r="F5" s="304"/>
      <c r="G5" s="304"/>
      <c r="H5" s="304"/>
      <c r="I5" s="305"/>
      <c r="J5" s="289" t="s">
        <v>95</v>
      </c>
      <c r="K5" s="290"/>
      <c r="L5" s="290"/>
      <c r="M5" s="290"/>
      <c r="N5" s="291"/>
      <c r="O5" s="237" t="s">
        <v>90</v>
      </c>
      <c r="P5" s="238"/>
      <c r="S5" s="237" t="s">
        <v>277</v>
      </c>
      <c r="T5" s="238"/>
    </row>
    <row r="6" spans="1:20" ht="37.5" customHeight="1" x14ac:dyDescent="0.45">
      <c r="B6" s="306"/>
      <c r="C6" s="307"/>
      <c r="D6" s="307"/>
      <c r="E6" s="307"/>
      <c r="F6" s="307"/>
      <c r="G6" s="307"/>
      <c r="H6" s="307"/>
      <c r="I6" s="308"/>
      <c r="J6" s="292"/>
      <c r="K6" s="293"/>
      <c r="L6" s="293"/>
      <c r="M6" s="293"/>
      <c r="N6" s="294"/>
      <c r="O6" s="239"/>
      <c r="P6" s="240"/>
      <c r="S6" s="239"/>
      <c r="T6" s="240"/>
    </row>
    <row r="7" spans="1:20" ht="33.6" customHeight="1" thickBot="1" x14ac:dyDescent="0.5">
      <c r="B7" s="165"/>
      <c r="C7" s="166"/>
      <c r="D7" s="166"/>
      <c r="E7" s="166"/>
      <c r="F7" s="309" t="s">
        <v>81</v>
      </c>
      <c r="G7" s="309"/>
      <c r="H7" s="309"/>
      <c r="I7" s="310"/>
      <c r="J7" s="295"/>
      <c r="K7" s="296"/>
      <c r="L7" s="296"/>
      <c r="M7" s="296"/>
      <c r="N7" s="297"/>
      <c r="O7" s="241"/>
      <c r="P7" s="242"/>
      <c r="S7" s="241"/>
      <c r="T7" s="242"/>
    </row>
    <row r="8" spans="1:20" ht="54" customHeight="1" thickBot="1" x14ac:dyDescent="0.5">
      <c r="B8" s="6" t="s">
        <v>1</v>
      </c>
      <c r="C8" s="36" t="s">
        <v>67</v>
      </c>
      <c r="D8" s="37" t="s">
        <v>64</v>
      </c>
      <c r="E8" s="37" t="s">
        <v>270</v>
      </c>
      <c r="F8" s="38" t="s">
        <v>274</v>
      </c>
      <c r="G8" s="38" t="s">
        <v>65</v>
      </c>
      <c r="H8" s="37" t="s">
        <v>88</v>
      </c>
      <c r="I8" s="39" t="s">
        <v>66</v>
      </c>
      <c r="J8" s="40" t="s">
        <v>75</v>
      </c>
      <c r="K8" s="41" t="s">
        <v>78</v>
      </c>
      <c r="L8" s="42" t="s">
        <v>76</v>
      </c>
      <c r="M8" s="43" t="s">
        <v>79</v>
      </c>
      <c r="N8" s="44" t="s">
        <v>80</v>
      </c>
      <c r="O8" s="45" t="s">
        <v>87</v>
      </c>
      <c r="P8" s="46" t="s">
        <v>89</v>
      </c>
      <c r="S8" s="45" t="s">
        <v>278</v>
      </c>
      <c r="T8" s="46" t="s">
        <v>89</v>
      </c>
    </row>
    <row r="9" spans="1:20" s="14" customFormat="1" ht="32.25" customHeight="1" x14ac:dyDescent="0.25">
      <c r="A9" s="173"/>
      <c r="B9" s="13" t="s">
        <v>40</v>
      </c>
      <c r="C9" s="116" t="s">
        <v>41</v>
      </c>
      <c r="D9" s="127">
        <v>1932.6907199999989</v>
      </c>
      <c r="E9" s="127">
        <v>915.88</v>
      </c>
      <c r="F9" s="116">
        <v>1770112.7766335979</v>
      </c>
      <c r="G9" s="116">
        <v>690343.98288710346</v>
      </c>
      <c r="H9" s="11" t="s">
        <v>85</v>
      </c>
      <c r="I9" s="26">
        <v>72</v>
      </c>
      <c r="J9" s="31"/>
      <c r="K9" s="23">
        <v>-0.23265920000000001</v>
      </c>
      <c r="L9" s="25"/>
      <c r="M9" s="25"/>
      <c r="N9" s="25"/>
      <c r="O9" s="72">
        <f>K9</f>
        <v>-0.23265920000000001</v>
      </c>
      <c r="P9" s="71">
        <f>O9*F9</f>
        <v>-411833.02252135158</v>
      </c>
      <c r="S9" s="72">
        <f>AVERAGE(J9:N9)</f>
        <v>-0.23265920000000001</v>
      </c>
      <c r="T9" s="71">
        <f>S9*F9</f>
        <v>-411833.02252135158</v>
      </c>
    </row>
    <row r="10" spans="1:20" s="14" customFormat="1" ht="21" customHeight="1" x14ac:dyDescent="0.25">
      <c r="A10" s="173"/>
      <c r="B10" s="10" t="s">
        <v>26</v>
      </c>
      <c r="C10" s="116" t="s">
        <v>27</v>
      </c>
      <c r="D10" s="127">
        <v>326.05507999999833</v>
      </c>
      <c r="E10" s="127">
        <v>1067.28</v>
      </c>
      <c r="F10" s="116">
        <v>347992.06578239828</v>
      </c>
      <c r="G10" s="116">
        <v>0</v>
      </c>
      <c r="H10" s="15" t="s">
        <v>68</v>
      </c>
      <c r="I10" s="27">
        <v>69</v>
      </c>
      <c r="J10" s="30">
        <v>-0.12543869999999999</v>
      </c>
      <c r="K10" s="23">
        <v>-0.1279043</v>
      </c>
      <c r="L10" s="23">
        <v>-0.14350650000000001</v>
      </c>
      <c r="M10" s="23">
        <v>-0.1236814</v>
      </c>
      <c r="N10" s="12">
        <v>-0.27191179999999998</v>
      </c>
      <c r="O10" s="72">
        <f>(3/10)*K10+(3/10)*M10+(2/10)*N10+(1/10)*J10+(1/10)*L10</f>
        <v>-0.15675259</v>
      </c>
      <c r="P10" s="71">
        <f t="shared" ref="P10:P29" si="0">O10*F10</f>
        <v>-54548.657610841306</v>
      </c>
      <c r="S10" s="72">
        <f>AVERAGE(J10:N10)</f>
        <v>-0.15848854000000001</v>
      </c>
      <c r="T10" s="71">
        <f t="shared" ref="T10:T29" si="1">S10*F10</f>
        <v>-55152.754437436262</v>
      </c>
    </row>
    <row r="11" spans="1:20" s="14" customFormat="1" ht="31.5" customHeight="1" x14ac:dyDescent="0.25">
      <c r="A11" s="173"/>
      <c r="B11" s="10" t="s">
        <v>28</v>
      </c>
      <c r="C11" s="116" t="s">
        <v>29</v>
      </c>
      <c r="D11" s="127">
        <v>1563.278700000003</v>
      </c>
      <c r="E11" s="127">
        <v>982.16</v>
      </c>
      <c r="F11" s="116">
        <v>1535389.807992002</v>
      </c>
      <c r="G11" s="116">
        <v>598802.02511688066</v>
      </c>
      <c r="H11" s="11" t="s">
        <v>85</v>
      </c>
      <c r="I11" s="27">
        <v>69</v>
      </c>
      <c r="J11" s="31"/>
      <c r="K11" s="23">
        <v>-0.23300750000000001</v>
      </c>
      <c r="L11" s="25"/>
      <c r="M11" s="25"/>
      <c r="N11" s="12">
        <v>-0.30470000000000003</v>
      </c>
      <c r="O11" s="72">
        <f>(7/10)*K11+(3/10)*N11</f>
        <v>-0.25451525000000003</v>
      </c>
      <c r="P11" s="71">
        <f t="shared" si="0"/>
        <v>-390780.1208285364</v>
      </c>
      <c r="S11" s="72">
        <f t="shared" ref="S11:S29" si="2">AVERAGE(J11:N11)</f>
        <v>-0.26885375</v>
      </c>
      <c r="T11" s="71">
        <f t="shared" si="1"/>
        <v>-412795.30759042973</v>
      </c>
    </row>
    <row r="12" spans="1:20" s="14" customFormat="1" ht="20.25" customHeight="1" x14ac:dyDescent="0.25">
      <c r="A12" s="173"/>
      <c r="B12" s="10" t="s">
        <v>44</v>
      </c>
      <c r="C12" s="116" t="s">
        <v>45</v>
      </c>
      <c r="D12" s="127">
        <v>1787.7069812278901</v>
      </c>
      <c r="E12" s="127">
        <v>107.93</v>
      </c>
      <c r="F12" s="116">
        <v>192947.21448392619</v>
      </c>
      <c r="G12" s="116">
        <v>27749.489776755559</v>
      </c>
      <c r="H12" s="15" t="s">
        <v>68</v>
      </c>
      <c r="I12" s="27">
        <v>1973</v>
      </c>
      <c r="J12" s="30">
        <v>-0.18298200000000001</v>
      </c>
      <c r="K12" s="23">
        <v>-0.15983240000000001</v>
      </c>
      <c r="L12" s="23">
        <v>-0.1837898</v>
      </c>
      <c r="M12" s="23">
        <v>-0.16609969999999999</v>
      </c>
      <c r="N12" s="12">
        <v>-0.14580499999999999</v>
      </c>
      <c r="O12" s="72">
        <f>(3/10)*K12+(3/10)*M12+(2/10)*N12+(1/10)*J12+(1/10)*L12</f>
        <v>-0.16361780999999997</v>
      </c>
      <c r="P12" s="71">
        <f t="shared" si="0"/>
        <v>-31569.60067946028</v>
      </c>
      <c r="S12" s="72">
        <f t="shared" si="2"/>
        <v>-0.16770177999999997</v>
      </c>
      <c r="T12" s="71">
        <f t="shared" si="1"/>
        <v>-32357.591314996196</v>
      </c>
    </row>
    <row r="13" spans="1:20" s="14" customFormat="1" ht="20.25" customHeight="1" x14ac:dyDescent="0.25">
      <c r="A13" s="173"/>
      <c r="B13" s="10" t="s">
        <v>30</v>
      </c>
      <c r="C13" s="116" t="s">
        <v>31</v>
      </c>
      <c r="D13" s="127">
        <v>36938.57847</v>
      </c>
      <c r="E13" s="127">
        <v>75.42</v>
      </c>
      <c r="F13" s="116">
        <v>2785907.5882073999</v>
      </c>
      <c r="G13" s="116">
        <v>1365094.718221626</v>
      </c>
      <c r="H13" s="15" t="s">
        <v>68</v>
      </c>
      <c r="I13" s="27">
        <v>926</v>
      </c>
      <c r="J13" s="30">
        <v>-0.189717</v>
      </c>
      <c r="K13" s="23">
        <v>-0.18666360000000001</v>
      </c>
      <c r="L13" s="23">
        <v>-0.18463289999999999</v>
      </c>
      <c r="M13" s="23">
        <v>-0.2152377</v>
      </c>
      <c r="N13" s="12">
        <v>-8.9965870000000003E-2</v>
      </c>
      <c r="O13" s="72">
        <f t="shared" ref="O13:O28" si="3">(3/10)*K13+(3/10)*M13+(2/10)*N13+(1/10)*J13+(1/10)*L13</f>
        <v>-0.175998554</v>
      </c>
      <c r="P13" s="71">
        <f t="shared" si="0"/>
        <v>-490315.70710212982</v>
      </c>
      <c r="S13" s="72">
        <f t="shared" si="2"/>
        <v>-0.17324341400000001</v>
      </c>
      <c r="T13" s="71">
        <f t="shared" si="1"/>
        <v>-482640.14166955615</v>
      </c>
    </row>
    <row r="14" spans="1:20" s="14" customFormat="1" ht="20.25" customHeight="1" x14ac:dyDescent="0.25">
      <c r="A14" s="173"/>
      <c r="B14" s="10" t="s">
        <v>32</v>
      </c>
      <c r="C14" s="116" t="s">
        <v>33</v>
      </c>
      <c r="D14" s="127">
        <v>21562.017710000011</v>
      </c>
      <c r="E14" s="127">
        <v>67.400000000000006</v>
      </c>
      <c r="F14" s="116">
        <v>1453279.993654001</v>
      </c>
      <c r="G14" s="116">
        <v>712107.19689046021</v>
      </c>
      <c r="H14" s="15" t="s">
        <v>68</v>
      </c>
      <c r="I14" s="27">
        <v>928</v>
      </c>
      <c r="J14" s="30">
        <v>-0.283694</v>
      </c>
      <c r="K14" s="23">
        <v>-0.26392100000000002</v>
      </c>
      <c r="L14" s="23">
        <v>-0.2768274</v>
      </c>
      <c r="M14" s="23">
        <v>-0.32513409999999998</v>
      </c>
      <c r="N14" s="12">
        <v>-0.12345929999999999</v>
      </c>
      <c r="O14" s="72">
        <f t="shared" si="3"/>
        <v>-0.25746052999999997</v>
      </c>
      <c r="P14" s="71">
        <f t="shared" si="0"/>
        <v>-374162.23740455566</v>
      </c>
      <c r="S14" s="72">
        <f t="shared" si="2"/>
        <v>-0.25460715999999994</v>
      </c>
      <c r="T14" s="71">
        <f t="shared" si="1"/>
        <v>-370015.49186906312</v>
      </c>
    </row>
    <row r="15" spans="1:20" s="14" customFormat="1" ht="20.25" customHeight="1" x14ac:dyDescent="0.25">
      <c r="A15" s="173"/>
      <c r="B15" s="10" t="s">
        <v>34</v>
      </c>
      <c r="C15" s="116" t="s">
        <v>35</v>
      </c>
      <c r="D15" s="127">
        <v>34332.077049999993</v>
      </c>
      <c r="E15" s="127">
        <v>70.569999999999993</v>
      </c>
      <c r="F15" s="116">
        <v>2422814.6774184988</v>
      </c>
      <c r="G15" s="116">
        <v>1187179.191935065</v>
      </c>
      <c r="H15" s="15" t="s">
        <v>68</v>
      </c>
      <c r="I15" s="27">
        <v>928</v>
      </c>
      <c r="J15" s="32">
        <v>-0.3299395</v>
      </c>
      <c r="K15" s="24">
        <v>-0.32324839999999999</v>
      </c>
      <c r="L15" s="24">
        <v>-0.32373800000000003</v>
      </c>
      <c r="M15" s="24">
        <v>-0.37660579999999999</v>
      </c>
      <c r="N15" s="16">
        <f>-0.1336994</f>
        <v>-0.1336994</v>
      </c>
      <c r="O15" s="72">
        <f>(3/10)*K15+(3/10)*M15+(2/10)*N15+(1/10)*J15+(1/10)*L15</f>
        <v>-0.30206389</v>
      </c>
      <c r="P15" s="71">
        <f t="shared" si="0"/>
        <v>-731844.82621012686</v>
      </c>
      <c r="S15" s="72">
        <f t="shared" si="2"/>
        <v>-0.29744621999999998</v>
      </c>
      <c r="T15" s="71">
        <f t="shared" si="1"/>
        <v>-720657.06755865179</v>
      </c>
    </row>
    <row r="16" spans="1:20" s="14" customFormat="1" ht="20.25" customHeight="1" x14ac:dyDescent="0.25">
      <c r="A16" s="173"/>
      <c r="B16" s="10" t="s">
        <v>36</v>
      </c>
      <c r="C16" s="116" t="s">
        <v>37</v>
      </c>
      <c r="D16" s="127">
        <v>18591.628100000002</v>
      </c>
      <c r="E16" s="127">
        <v>113.26</v>
      </c>
      <c r="F16" s="116">
        <v>2105687.7986059999</v>
      </c>
      <c r="G16" s="116">
        <v>821218.24145633995</v>
      </c>
      <c r="H16" s="15" t="s">
        <v>82</v>
      </c>
      <c r="I16" s="27">
        <v>907</v>
      </c>
      <c r="J16" s="32">
        <v>-0.34075169999999999</v>
      </c>
      <c r="K16" s="24">
        <v>-0.32031009999999999</v>
      </c>
      <c r="L16" s="24">
        <v>-0.33990930000000003</v>
      </c>
      <c r="M16" s="24">
        <v>-0.36416019999999999</v>
      </c>
      <c r="N16" s="16">
        <v>-0.25444810000000001</v>
      </c>
      <c r="O16" s="72">
        <f t="shared" si="3"/>
        <v>-0.32429680999999999</v>
      </c>
      <c r="P16" s="71">
        <f t="shared" si="0"/>
        <v>-682867.83594384824</v>
      </c>
      <c r="S16" s="72">
        <f t="shared" si="2"/>
        <v>-0.32391587999999999</v>
      </c>
      <c r="T16" s="71">
        <f t="shared" si="1"/>
        <v>-682065.71629072516</v>
      </c>
    </row>
    <row r="17" spans="1:20" s="14" customFormat="1" ht="20.25" customHeight="1" x14ac:dyDescent="0.25">
      <c r="A17" s="173"/>
      <c r="B17" s="10" t="s">
        <v>46</v>
      </c>
      <c r="C17" s="116" t="s">
        <v>47</v>
      </c>
      <c r="D17" s="127">
        <v>11670.960818056379</v>
      </c>
      <c r="E17" s="127">
        <v>118.64</v>
      </c>
      <c r="F17" s="116">
        <v>1384642.791454209</v>
      </c>
      <c r="G17" s="116">
        <v>199138.0445096695</v>
      </c>
      <c r="H17" s="15" t="s">
        <v>68</v>
      </c>
      <c r="I17" s="27">
        <v>1973</v>
      </c>
      <c r="J17" s="32">
        <v>-0.18228720000000001</v>
      </c>
      <c r="K17" s="24">
        <v>-0.1609564</v>
      </c>
      <c r="L17" s="24">
        <v>-0.18328729999999999</v>
      </c>
      <c r="M17" s="24">
        <v>-0.16684940000000001</v>
      </c>
      <c r="N17" s="16">
        <v>-0.14571719999999999</v>
      </c>
      <c r="O17" s="72">
        <f t="shared" si="3"/>
        <v>-0.16404262999999999</v>
      </c>
      <c r="P17" s="71">
        <f t="shared" si="0"/>
        <v>-227140.44512068995</v>
      </c>
      <c r="S17" s="72">
        <f t="shared" si="2"/>
        <v>-0.16781950000000001</v>
      </c>
      <c r="T17" s="71">
        <f t="shared" si="1"/>
        <v>-232370.06094044965</v>
      </c>
    </row>
    <row r="18" spans="1:20" s="14" customFormat="1" ht="20.25" customHeight="1" x14ac:dyDescent="0.25">
      <c r="A18" s="173"/>
      <c r="B18" s="10" t="s">
        <v>48</v>
      </c>
      <c r="C18" s="116" t="s">
        <v>49</v>
      </c>
      <c r="D18" s="127">
        <v>13952.44597152922</v>
      </c>
      <c r="E18" s="127">
        <v>1745.06</v>
      </c>
      <c r="F18" s="116">
        <v>24347855.367076781</v>
      </c>
      <c r="G18" s="116">
        <v>3501686.0201985729</v>
      </c>
      <c r="H18" s="15" t="s">
        <v>68</v>
      </c>
      <c r="I18" s="27">
        <v>1406</v>
      </c>
      <c r="J18" s="32">
        <v>-0.182445</v>
      </c>
      <c r="K18" s="24">
        <v>-0.15322569999999999</v>
      </c>
      <c r="L18" s="24">
        <v>-0.1842482</v>
      </c>
      <c r="M18" s="24">
        <v>-0.15435450000000001</v>
      </c>
      <c r="N18" s="16">
        <v>-0.140513</v>
      </c>
      <c r="O18" s="72">
        <f t="shared" si="3"/>
        <v>-0.15704598</v>
      </c>
      <c r="P18" s="71">
        <f t="shared" si="0"/>
        <v>-3823732.8070208328</v>
      </c>
      <c r="S18" s="72">
        <f t="shared" si="2"/>
        <v>-0.16295727999999998</v>
      </c>
      <c r="T18" s="71">
        <f t="shared" si="1"/>
        <v>-3967660.2844522335</v>
      </c>
    </row>
    <row r="19" spans="1:20" s="14" customFormat="1" ht="20.25" customHeight="1" x14ac:dyDescent="0.25">
      <c r="A19" s="173"/>
      <c r="B19" s="10" t="s">
        <v>2</v>
      </c>
      <c r="C19" s="116" t="s">
        <v>3</v>
      </c>
      <c r="D19" s="127">
        <v>9642.8970000000008</v>
      </c>
      <c r="E19" s="127">
        <v>765.96</v>
      </c>
      <c r="F19" s="116">
        <v>7386073.3861199999</v>
      </c>
      <c r="G19" s="116">
        <v>3619175.9591987999</v>
      </c>
      <c r="H19" s="15" t="s">
        <v>82</v>
      </c>
      <c r="I19" s="27">
        <v>140</v>
      </c>
      <c r="J19" s="30">
        <v>-0.43504939999999998</v>
      </c>
      <c r="K19" s="23">
        <v>-0.2982881</v>
      </c>
      <c r="L19" s="23">
        <v>-0.41433340000000002</v>
      </c>
      <c r="M19" s="23">
        <v>-0.45295190000000002</v>
      </c>
      <c r="N19" s="12">
        <v>-0.34115299999999998</v>
      </c>
      <c r="O19" s="72">
        <f t="shared" si="3"/>
        <v>-0.37854088000000002</v>
      </c>
      <c r="P19" s="71">
        <f t="shared" si="0"/>
        <v>-2795930.7193264449</v>
      </c>
      <c r="S19" s="72">
        <f t="shared" si="2"/>
        <v>-0.38835516000000003</v>
      </c>
      <c r="T19" s="71">
        <f t="shared" si="1"/>
        <v>-2868419.7116383747</v>
      </c>
    </row>
    <row r="20" spans="1:20" s="14" customFormat="1" ht="20.25" customHeight="1" x14ac:dyDescent="0.25">
      <c r="A20" s="173"/>
      <c r="B20" s="10" t="s">
        <v>42</v>
      </c>
      <c r="C20" s="116" t="s">
        <v>43</v>
      </c>
      <c r="D20" s="127">
        <v>1423.0847199999989</v>
      </c>
      <c r="E20" s="127">
        <v>811.5</v>
      </c>
      <c r="F20" s="116">
        <v>1154833.2502799991</v>
      </c>
      <c r="G20" s="116">
        <v>450384.96760919958</v>
      </c>
      <c r="H20" s="15" t="s">
        <v>68</v>
      </c>
      <c r="I20" s="27">
        <v>65</v>
      </c>
      <c r="J20" s="30">
        <v>-0.30332350000000002</v>
      </c>
      <c r="K20" s="23">
        <v>-0.26351039999999998</v>
      </c>
      <c r="L20" s="23">
        <v>-0.330316</v>
      </c>
      <c r="M20" s="23">
        <v>-0.30536390000000002</v>
      </c>
      <c r="N20" s="12">
        <v>-0.41884510000000003</v>
      </c>
      <c r="O20" s="72">
        <f t="shared" si="3"/>
        <v>-0.31779526000000002</v>
      </c>
      <c r="P20" s="71">
        <f t="shared" si="0"/>
        <v>-367000.5330293774</v>
      </c>
      <c r="S20" s="72">
        <f t="shared" si="2"/>
        <v>-0.32427178000000001</v>
      </c>
      <c r="T20" s="71">
        <f t="shared" si="1"/>
        <v>-374479.83367148082</v>
      </c>
    </row>
    <row r="21" spans="1:20" s="14" customFormat="1" ht="35.25" customHeight="1" x14ac:dyDescent="0.25">
      <c r="A21" s="173"/>
      <c r="B21" s="10" t="s">
        <v>24</v>
      </c>
      <c r="C21" s="116" t="s">
        <v>25</v>
      </c>
      <c r="D21" s="127">
        <v>928</v>
      </c>
      <c r="E21" s="127">
        <v>22.2</v>
      </c>
      <c r="F21" s="116">
        <v>20599.740000000002</v>
      </c>
      <c r="G21" s="116">
        <v>8033.9001599999992</v>
      </c>
      <c r="H21" s="11" t="s">
        <v>85</v>
      </c>
      <c r="I21" s="28">
        <v>4144</v>
      </c>
      <c r="J21" s="30">
        <v>-0.50375000000000003</v>
      </c>
      <c r="K21" s="23">
        <v>-0.44489410000000001</v>
      </c>
      <c r="L21" s="23">
        <v>-0.49940000000000001</v>
      </c>
      <c r="M21" s="23">
        <v>-0.478848</v>
      </c>
      <c r="N21" s="12">
        <v>-0.2460118</v>
      </c>
      <c r="O21" s="72">
        <f t="shared" si="3"/>
        <v>-0.42663998999999997</v>
      </c>
      <c r="P21" s="71">
        <f t="shared" si="0"/>
        <v>-8788.6728676025996</v>
      </c>
      <c r="S21" s="72">
        <f t="shared" si="2"/>
        <v>-0.43458078</v>
      </c>
      <c r="T21" s="71">
        <f t="shared" si="1"/>
        <v>-8952.2510769972014</v>
      </c>
    </row>
    <row r="22" spans="1:20" s="14" customFormat="1" ht="30" x14ac:dyDescent="0.25">
      <c r="A22" s="173"/>
      <c r="B22" s="10" t="s">
        <v>6</v>
      </c>
      <c r="C22" s="116" t="s">
        <v>7</v>
      </c>
      <c r="D22" s="127">
        <v>15634</v>
      </c>
      <c r="E22" s="127">
        <v>145</v>
      </c>
      <c r="F22" s="116">
        <v>2266930</v>
      </c>
      <c r="G22" s="116">
        <v>884102.7</v>
      </c>
      <c r="H22" s="11" t="s">
        <v>83</v>
      </c>
      <c r="I22" s="27">
        <v>1830</v>
      </c>
      <c r="J22" s="31"/>
      <c r="K22" s="23">
        <v>-0.41145189999999998</v>
      </c>
      <c r="L22" s="25"/>
      <c r="M22" s="25"/>
      <c r="N22" s="17"/>
      <c r="O22" s="72">
        <f>K22</f>
        <v>-0.41145189999999998</v>
      </c>
      <c r="P22" s="71">
        <f t="shared" si="0"/>
        <v>-932732.65566699998</v>
      </c>
      <c r="S22" s="72">
        <f t="shared" si="2"/>
        <v>-0.41145189999999998</v>
      </c>
      <c r="T22" s="71">
        <f t="shared" si="1"/>
        <v>-932732.65566699998</v>
      </c>
    </row>
    <row r="23" spans="1:20" s="14" customFormat="1" ht="18.75" customHeight="1" x14ac:dyDescent="0.25">
      <c r="A23" s="173"/>
      <c r="B23" s="10" t="s">
        <v>8</v>
      </c>
      <c r="C23" s="116" t="s">
        <v>9</v>
      </c>
      <c r="D23" s="127">
        <v>275.017</v>
      </c>
      <c r="E23" s="127">
        <v>9643.9500000000007</v>
      </c>
      <c r="F23" s="116">
        <v>2652250.1971499999</v>
      </c>
      <c r="G23" s="116">
        <v>1034377.5768885</v>
      </c>
      <c r="H23" s="15" t="s">
        <v>68</v>
      </c>
      <c r="I23" s="27">
        <v>693</v>
      </c>
      <c r="J23" s="30">
        <v>-6.6209019999999993E-2</v>
      </c>
      <c r="K23" s="23">
        <v>-5.3688699999999999E-2</v>
      </c>
      <c r="L23" s="23">
        <v>-6.7705749999999995E-2</v>
      </c>
      <c r="M23" s="23">
        <v>-6.2672510000000001E-2</v>
      </c>
      <c r="N23" s="12">
        <v>-3.6990389999999998E-2</v>
      </c>
      <c r="O23" s="72">
        <f t="shared" si="3"/>
        <v>-5.5697917999999999E-2</v>
      </c>
      <c r="P23" s="71">
        <f t="shared" si="0"/>
        <v>-147724.81399634451</v>
      </c>
      <c r="S23" s="72">
        <f t="shared" si="2"/>
        <v>-5.7453273999999999E-2</v>
      </c>
      <c r="T23" s="71">
        <f t="shared" si="1"/>
        <v>-152380.45729341297</v>
      </c>
    </row>
    <row r="24" spans="1:20" s="14" customFormat="1" ht="18.75" customHeight="1" x14ac:dyDescent="0.25">
      <c r="A24" s="173"/>
      <c r="B24" s="10" t="s">
        <v>10</v>
      </c>
      <c r="C24" s="116" t="s">
        <v>11</v>
      </c>
      <c r="D24" s="127">
        <v>821</v>
      </c>
      <c r="E24" s="127">
        <v>31.98</v>
      </c>
      <c r="F24" s="116">
        <v>26251.48</v>
      </c>
      <c r="G24" s="116">
        <v>10238.07525</v>
      </c>
      <c r="H24" s="15" t="s">
        <v>68</v>
      </c>
      <c r="I24" s="27">
        <v>1019</v>
      </c>
      <c r="J24" s="30">
        <v>-0.3484757</v>
      </c>
      <c r="K24" s="23">
        <v>-0.30950299999999997</v>
      </c>
      <c r="L24" s="23">
        <v>-0.35595710000000003</v>
      </c>
      <c r="M24" s="23">
        <v>-0.35281249999999997</v>
      </c>
      <c r="N24" s="12">
        <v>-0.24843080000000001</v>
      </c>
      <c r="O24" s="72">
        <f t="shared" si="3"/>
        <v>-0.31882409</v>
      </c>
      <c r="P24" s="71">
        <f t="shared" si="0"/>
        <v>-8369.6042221532007</v>
      </c>
      <c r="S24" s="72">
        <f t="shared" si="2"/>
        <v>-0.32303581999999997</v>
      </c>
      <c r="T24" s="71">
        <f t="shared" si="1"/>
        <v>-8480.1683680135993</v>
      </c>
    </row>
    <row r="25" spans="1:20" s="14" customFormat="1" ht="18.75" customHeight="1" x14ac:dyDescent="0.25">
      <c r="A25" s="173"/>
      <c r="B25" s="10" t="s">
        <v>12</v>
      </c>
      <c r="C25" s="116" t="s">
        <v>13</v>
      </c>
      <c r="D25" s="127">
        <v>2153</v>
      </c>
      <c r="E25" s="127">
        <v>42.41</v>
      </c>
      <c r="F25" s="116">
        <v>91313.47</v>
      </c>
      <c r="G25" s="116">
        <v>35612.251973999999</v>
      </c>
      <c r="H25" s="15" t="s">
        <v>68</v>
      </c>
      <c r="I25" s="27">
        <v>2210</v>
      </c>
      <c r="J25" s="30">
        <v>-0.3306634</v>
      </c>
      <c r="K25" s="23">
        <v>-0.3376789</v>
      </c>
      <c r="L25" s="23">
        <v>-0.3410667</v>
      </c>
      <c r="M25" s="23">
        <v>-0.34319680000000002</v>
      </c>
      <c r="N25" s="12">
        <v>-0.33941070000000001</v>
      </c>
      <c r="O25" s="72">
        <f t="shared" si="3"/>
        <v>-0.33931785999999997</v>
      </c>
      <c r="P25" s="71">
        <f t="shared" si="0"/>
        <v>-30984.291229574199</v>
      </c>
      <c r="S25" s="72">
        <f t="shared" si="2"/>
        <v>-0.33840330000000002</v>
      </c>
      <c r="T25" s="71">
        <f t="shared" si="1"/>
        <v>-30900.779582451003</v>
      </c>
    </row>
    <row r="26" spans="1:20" s="14" customFormat="1" ht="18.75" customHeight="1" x14ac:dyDescent="0.25">
      <c r="A26" s="173"/>
      <c r="B26" s="10" t="s">
        <v>14</v>
      </c>
      <c r="C26" s="116" t="s">
        <v>15</v>
      </c>
      <c r="D26" s="127">
        <v>1198</v>
      </c>
      <c r="E26" s="127">
        <v>31.31</v>
      </c>
      <c r="F26" s="116">
        <v>37511.78</v>
      </c>
      <c r="G26" s="116">
        <v>14629.592640000001</v>
      </c>
      <c r="H26" s="15" t="s">
        <v>68</v>
      </c>
      <c r="I26" s="27">
        <v>2210</v>
      </c>
      <c r="J26" s="30">
        <v>-0.28425519999999999</v>
      </c>
      <c r="K26" s="23">
        <v>-0.2797094</v>
      </c>
      <c r="L26" s="23">
        <v>-0.29240090000000002</v>
      </c>
      <c r="M26" s="23">
        <v>-0.2918732</v>
      </c>
      <c r="N26" s="12">
        <v>-0.26658929999999997</v>
      </c>
      <c r="O26" s="72">
        <f t="shared" si="3"/>
        <v>-0.28245824999999997</v>
      </c>
      <c r="P26" s="71">
        <f t="shared" si="0"/>
        <v>-10595.511733184998</v>
      </c>
      <c r="S26" s="72">
        <f t="shared" si="2"/>
        <v>-0.28296559999999998</v>
      </c>
      <c r="T26" s="71">
        <f t="shared" si="1"/>
        <v>-10614.543334767999</v>
      </c>
    </row>
    <row r="27" spans="1:20" s="14" customFormat="1" ht="36" customHeight="1" x14ac:dyDescent="0.25">
      <c r="A27" s="173"/>
      <c r="B27" s="10" t="s">
        <v>38</v>
      </c>
      <c r="C27" s="116" t="s">
        <v>39</v>
      </c>
      <c r="D27" s="127">
        <v>873898.23638999998</v>
      </c>
      <c r="E27" s="127">
        <v>17.97</v>
      </c>
      <c r="F27" s="116">
        <v>15703951.3079283</v>
      </c>
      <c r="G27" s="116">
        <v>6124541.0100920368</v>
      </c>
      <c r="H27" s="11" t="s">
        <v>85</v>
      </c>
      <c r="I27" s="27">
        <v>145</v>
      </c>
      <c r="J27" s="31"/>
      <c r="K27" s="23">
        <v>-0.45077859999999997</v>
      </c>
      <c r="L27" s="25"/>
      <c r="M27" s="25"/>
      <c r="N27" s="12">
        <v>-0.23769799999999999</v>
      </c>
      <c r="O27" s="72">
        <f>(7/10)*K27+(3/10)*N27</f>
        <v>-0.38685441999999992</v>
      </c>
      <c r="P27" s="71">
        <f t="shared" si="0"/>
        <v>-6075142.9749368429</v>
      </c>
      <c r="S27" s="72">
        <f t="shared" si="2"/>
        <v>-0.3442383</v>
      </c>
      <c r="T27" s="71">
        <f t="shared" si="1"/>
        <v>-5405901.5015240144</v>
      </c>
    </row>
    <row r="28" spans="1:20" s="14" customFormat="1" ht="18.75" customHeight="1" x14ac:dyDescent="0.25">
      <c r="A28" s="173"/>
      <c r="B28" s="10" t="s">
        <v>16</v>
      </c>
      <c r="C28" s="116" t="s">
        <v>17</v>
      </c>
      <c r="D28" s="127">
        <v>2227.6</v>
      </c>
      <c r="E28" s="127">
        <v>1819.79</v>
      </c>
      <c r="F28" s="116">
        <v>4053764.2039999999</v>
      </c>
      <c r="G28" s="116">
        <v>1580968.0395599999</v>
      </c>
      <c r="H28" s="15" t="s">
        <v>82</v>
      </c>
      <c r="I28" s="27">
        <v>79</v>
      </c>
      <c r="J28" s="30">
        <v>-0.43434539999999999</v>
      </c>
      <c r="K28" s="23">
        <v>-0.34516469999999999</v>
      </c>
      <c r="L28" s="23">
        <v>-0.47013909999999998</v>
      </c>
      <c r="M28" s="23">
        <v>-0.35330030000000001</v>
      </c>
      <c r="N28" s="12">
        <v>-0.40108009999999999</v>
      </c>
      <c r="O28" s="72">
        <f t="shared" si="3"/>
        <v>-0.38020397</v>
      </c>
      <c r="P28" s="71">
        <f t="shared" si="0"/>
        <v>-1541257.24380469</v>
      </c>
      <c r="S28" s="72">
        <f t="shared" si="2"/>
        <v>-0.40080591999999998</v>
      </c>
      <c r="T28" s="71">
        <f t="shared" si="1"/>
        <v>-1624772.6912472877</v>
      </c>
    </row>
    <row r="29" spans="1:20" s="14" customFormat="1" ht="18.75" customHeight="1" thickBot="1" x14ac:dyDescent="0.3">
      <c r="A29" s="173"/>
      <c r="B29" s="21" t="s">
        <v>18</v>
      </c>
      <c r="C29" s="67" t="s">
        <v>19</v>
      </c>
      <c r="D29" s="128">
        <v>15000</v>
      </c>
      <c r="E29" s="128">
        <v>105.63</v>
      </c>
      <c r="F29" s="116">
        <v>1584450</v>
      </c>
      <c r="G29" s="67">
        <v>617935.5</v>
      </c>
      <c r="H29" s="22" t="s">
        <v>82</v>
      </c>
      <c r="I29" s="29">
        <v>44</v>
      </c>
      <c r="J29" s="30">
        <v>-8.8013839999999996E-2</v>
      </c>
      <c r="K29" s="23">
        <v>-5.7716789999999997E-2</v>
      </c>
      <c r="L29" s="23">
        <v>-9.7134650000000003E-2</v>
      </c>
      <c r="M29" s="23">
        <v>-5.3027169999999998E-2</v>
      </c>
      <c r="N29" s="17"/>
      <c r="O29" s="72">
        <f>(3/10)*K29+(3/10)*M29+(2/10)*J29+(2/10)*L29</f>
        <v>-7.0252886000000014E-2</v>
      </c>
      <c r="P29" s="71">
        <f t="shared" si="0"/>
        <v>-111312.18522270002</v>
      </c>
      <c r="S29" s="72">
        <f t="shared" si="2"/>
        <v>-7.3973112500000007E-2</v>
      </c>
      <c r="T29" s="71">
        <f t="shared" si="1"/>
        <v>-117206.69810062501</v>
      </c>
    </row>
    <row r="30" spans="1:20" x14ac:dyDescent="0.45">
      <c r="B30" s="77" t="s">
        <v>20</v>
      </c>
      <c r="C30" s="120" t="s">
        <v>21</v>
      </c>
      <c r="D30" s="129">
        <v>9892</v>
      </c>
      <c r="E30" s="129">
        <v>2.2000000000000002</v>
      </c>
      <c r="F30" s="120">
        <v>21762.400000000001</v>
      </c>
      <c r="G30" s="120">
        <v>8487.3360000000011</v>
      </c>
      <c r="H30" s="49" t="s">
        <v>69</v>
      </c>
      <c r="I30" s="50"/>
      <c r="J30" s="54"/>
      <c r="K30" s="55"/>
      <c r="L30" s="55"/>
      <c r="M30" s="55"/>
      <c r="N30" s="56"/>
      <c r="O30" s="73"/>
      <c r="P30" s="61"/>
      <c r="S30" s="73"/>
      <c r="T30" s="61"/>
    </row>
    <row r="31" spans="1:20" ht="35.25" customHeight="1" x14ac:dyDescent="0.45">
      <c r="B31" s="78" t="s">
        <v>22</v>
      </c>
      <c r="C31" s="121" t="s">
        <v>23</v>
      </c>
      <c r="D31" s="130">
        <v>141701</v>
      </c>
      <c r="E31" s="130">
        <v>43.2</v>
      </c>
      <c r="F31" s="121">
        <v>6121483.2000000002</v>
      </c>
      <c r="G31" s="121">
        <v>1346726.304</v>
      </c>
      <c r="H31" s="9" t="s">
        <v>84</v>
      </c>
      <c r="I31" s="51"/>
      <c r="J31" s="18"/>
      <c r="K31" s="19"/>
      <c r="L31" s="19"/>
      <c r="M31" s="19"/>
      <c r="N31" s="20"/>
      <c r="O31" s="74"/>
      <c r="P31" s="62"/>
      <c r="S31" s="74"/>
      <c r="T31" s="62"/>
    </row>
    <row r="32" spans="1:20" ht="19.5" customHeight="1" x14ac:dyDescent="0.45">
      <c r="B32" s="79" t="s">
        <v>4</v>
      </c>
      <c r="C32" s="122" t="s">
        <v>5</v>
      </c>
      <c r="D32" s="131">
        <v>150</v>
      </c>
      <c r="E32" s="131">
        <v>945.30179999999996</v>
      </c>
      <c r="F32" s="122">
        <v>141795.26999999999</v>
      </c>
      <c r="G32" s="122">
        <v>55300.155299999991</v>
      </c>
      <c r="H32" s="2" t="s">
        <v>69</v>
      </c>
      <c r="I32" s="51"/>
      <c r="J32" s="18"/>
      <c r="K32" s="19"/>
      <c r="L32" s="19"/>
      <c r="M32" s="19"/>
      <c r="N32" s="20"/>
      <c r="O32" s="74"/>
      <c r="P32" s="62"/>
      <c r="S32" s="74"/>
      <c r="T32" s="62"/>
    </row>
    <row r="33" spans="2:20" x14ac:dyDescent="0.45">
      <c r="B33" s="79" t="s">
        <v>50</v>
      </c>
      <c r="C33" s="122" t="s">
        <v>51</v>
      </c>
      <c r="D33" s="131">
        <v>1582.5549900000001</v>
      </c>
      <c r="E33" s="131">
        <v>6.9600000000000009</v>
      </c>
      <c r="F33" s="122">
        <v>11014.582730400001</v>
      </c>
      <c r="G33" s="122">
        <v>0</v>
      </c>
      <c r="H33" s="2" t="s">
        <v>69</v>
      </c>
      <c r="I33" s="51"/>
      <c r="J33" s="18"/>
      <c r="K33" s="19"/>
      <c r="L33" s="19"/>
      <c r="M33" s="19"/>
      <c r="N33" s="20"/>
      <c r="O33" s="74"/>
      <c r="P33" s="62"/>
      <c r="S33" s="74"/>
      <c r="T33" s="62"/>
    </row>
    <row r="34" spans="2:20" x14ac:dyDescent="0.45">
      <c r="B34" s="79" t="s">
        <v>52</v>
      </c>
      <c r="C34" s="122" t="s">
        <v>53</v>
      </c>
      <c r="D34" s="131">
        <v>3086.113355</v>
      </c>
      <c r="E34" s="131">
        <v>5.0199999999999996</v>
      </c>
      <c r="F34" s="122">
        <v>15492.289042099999</v>
      </c>
      <c r="G34" s="122">
        <v>0</v>
      </c>
      <c r="H34" s="2" t="s">
        <v>69</v>
      </c>
      <c r="I34" s="51"/>
      <c r="J34" s="18"/>
      <c r="K34" s="19"/>
      <c r="L34" s="19"/>
      <c r="M34" s="19"/>
      <c r="N34" s="20"/>
      <c r="O34" s="74"/>
      <c r="P34" s="62"/>
      <c r="S34" s="74"/>
      <c r="T34" s="62"/>
    </row>
    <row r="35" spans="2:20" x14ac:dyDescent="0.45">
      <c r="B35" s="79" t="s">
        <v>54</v>
      </c>
      <c r="C35" s="122" t="s">
        <v>55</v>
      </c>
      <c r="D35" s="131">
        <v>67.457969999999989</v>
      </c>
      <c r="E35" s="131">
        <v>19.07</v>
      </c>
      <c r="F35" s="122">
        <v>1286.4234871000001</v>
      </c>
      <c r="G35" s="122">
        <v>0</v>
      </c>
      <c r="H35" s="2" t="s">
        <v>69</v>
      </c>
      <c r="I35" s="51"/>
      <c r="J35" s="18"/>
      <c r="K35" s="19"/>
      <c r="L35" s="19"/>
      <c r="M35" s="19"/>
      <c r="N35" s="20"/>
      <c r="O35" s="74"/>
      <c r="P35" s="62"/>
      <c r="S35" s="74"/>
      <c r="T35" s="62"/>
    </row>
    <row r="36" spans="2:20" x14ac:dyDescent="0.45">
      <c r="B36" s="79" t="s">
        <v>56</v>
      </c>
      <c r="C36" s="122" t="s">
        <v>57</v>
      </c>
      <c r="D36" s="131">
        <v>5250.04457</v>
      </c>
      <c r="E36" s="131">
        <v>7.9</v>
      </c>
      <c r="F36" s="122">
        <v>41475.352103000005</v>
      </c>
      <c r="G36" s="122">
        <v>0</v>
      </c>
      <c r="H36" s="2" t="s">
        <v>69</v>
      </c>
      <c r="I36" s="51"/>
      <c r="J36" s="18"/>
      <c r="K36" s="19"/>
      <c r="L36" s="19"/>
      <c r="M36" s="19"/>
      <c r="N36" s="20"/>
      <c r="O36" s="74"/>
      <c r="P36" s="62"/>
      <c r="S36" s="74"/>
      <c r="T36" s="62"/>
    </row>
    <row r="37" spans="2:20" x14ac:dyDescent="0.45">
      <c r="B37" s="79" t="s">
        <v>58</v>
      </c>
      <c r="C37" s="122" t="s">
        <v>59</v>
      </c>
      <c r="D37" s="131">
        <v>6129.9998350000014</v>
      </c>
      <c r="E37" s="131">
        <v>4.63</v>
      </c>
      <c r="F37" s="122">
        <v>28381.899236040001</v>
      </c>
      <c r="G37" s="122">
        <v>0</v>
      </c>
      <c r="H37" s="2" t="s">
        <v>69</v>
      </c>
      <c r="I37" s="51"/>
      <c r="J37" s="18"/>
      <c r="K37" s="19"/>
      <c r="L37" s="19"/>
      <c r="M37" s="19"/>
      <c r="N37" s="20"/>
      <c r="O37" s="74"/>
      <c r="P37" s="62"/>
      <c r="S37" s="74"/>
      <c r="T37" s="62"/>
    </row>
    <row r="38" spans="2:20" x14ac:dyDescent="0.45">
      <c r="B38" s="79" t="s">
        <v>60</v>
      </c>
      <c r="C38" s="122" t="s">
        <v>61</v>
      </c>
      <c r="D38" s="131">
        <v>4019.8410250000002</v>
      </c>
      <c r="E38" s="131">
        <v>14.06</v>
      </c>
      <c r="F38" s="122">
        <v>56518.964811500002</v>
      </c>
      <c r="G38" s="122">
        <v>0</v>
      </c>
      <c r="H38" s="2" t="s">
        <v>69</v>
      </c>
      <c r="I38" s="51"/>
      <c r="J38" s="18"/>
      <c r="K38" s="19"/>
      <c r="L38" s="19"/>
      <c r="M38" s="19"/>
      <c r="N38" s="20"/>
      <c r="O38" s="74"/>
      <c r="P38" s="62"/>
      <c r="S38" s="74"/>
      <c r="T38" s="62"/>
    </row>
    <row r="39" spans="2:20" ht="29.25" thickBot="1" x14ac:dyDescent="0.5">
      <c r="B39" s="80" t="s">
        <v>62</v>
      </c>
      <c r="C39" s="123" t="s">
        <v>63</v>
      </c>
      <c r="D39" s="132">
        <v>778.94479999999976</v>
      </c>
      <c r="E39" s="132">
        <v>55.49</v>
      </c>
      <c r="F39" s="123">
        <v>43223.64</v>
      </c>
      <c r="G39" s="123">
        <v>0</v>
      </c>
      <c r="H39" s="52" t="s">
        <v>69</v>
      </c>
      <c r="I39" s="53"/>
      <c r="J39" s="58"/>
      <c r="K39" s="59"/>
      <c r="L39" s="59"/>
      <c r="M39" s="59"/>
      <c r="N39" s="60"/>
      <c r="O39" s="75"/>
      <c r="P39" s="63"/>
      <c r="S39" s="75"/>
      <c r="T39" s="63"/>
    </row>
    <row r="40" spans="2:20" ht="45" customHeight="1" thickBot="1" x14ac:dyDescent="0.5">
      <c r="B40" s="265" t="s">
        <v>94</v>
      </c>
      <c r="C40" s="266"/>
      <c r="D40" s="266"/>
      <c r="E40" s="267"/>
      <c r="F40" s="115">
        <f>SUM(F30:F39)</f>
        <v>6482434.0214101402</v>
      </c>
      <c r="G40" s="133"/>
      <c r="H40" s="3"/>
      <c r="I40" s="5"/>
      <c r="J40" s="105"/>
      <c r="K40" s="106"/>
      <c r="L40" s="106"/>
      <c r="M40" s="106"/>
      <c r="N40" s="107"/>
      <c r="O40" s="76"/>
      <c r="P40" s="64"/>
      <c r="S40" s="76"/>
      <c r="T40" s="64"/>
    </row>
    <row r="41" spans="2:20" ht="24" customHeight="1" x14ac:dyDescent="0.45">
      <c r="B41" s="84" t="s">
        <v>70</v>
      </c>
      <c r="C41" s="87" t="s">
        <v>74</v>
      </c>
      <c r="D41" s="133"/>
      <c r="E41" s="133"/>
      <c r="F41" s="133"/>
      <c r="G41" s="134"/>
      <c r="H41" s="1"/>
      <c r="I41" s="159">
        <f>4609</f>
        <v>4609</v>
      </c>
      <c r="J41" s="109">
        <v>-0.35222219999999999</v>
      </c>
      <c r="K41" s="112">
        <v>-0.32483790000000001</v>
      </c>
      <c r="L41" s="112">
        <v>-0.35639369999999998</v>
      </c>
      <c r="M41" s="112">
        <v>-0.33181470000000002</v>
      </c>
      <c r="N41" s="224">
        <v>-0.23357729999999999</v>
      </c>
      <c r="O41" s="227">
        <f>(3/10)*K41+(3/10)*M41+(2/10)*N41+(1/10)*J41+(1/10)*L41</f>
        <v>-0.31457282999999997</v>
      </c>
      <c r="P41" s="221">
        <f>O41*(1/3)*$F$40</f>
        <v>-679732.53846775612</v>
      </c>
      <c r="S41" s="227">
        <f>AVERAGE(J41:N41)</f>
        <v>-0.31976916</v>
      </c>
      <c r="T41" s="221">
        <f>S41*(1/3)*$F$40</f>
        <v>-690960.82726058085</v>
      </c>
    </row>
    <row r="42" spans="2:20" ht="24" customHeight="1" x14ac:dyDescent="0.45">
      <c r="B42" s="85" t="s">
        <v>71</v>
      </c>
      <c r="C42" s="169"/>
      <c r="D42" s="134"/>
      <c r="E42" s="134"/>
      <c r="F42" s="134"/>
      <c r="G42" s="134"/>
      <c r="H42" s="1"/>
      <c r="I42" s="160">
        <v>1600</v>
      </c>
      <c r="J42" s="110">
        <v>-0.26154169999999999</v>
      </c>
      <c r="K42" s="113">
        <v>-0.24023069999999999</v>
      </c>
      <c r="L42" s="113">
        <v>-0.27427489999999999</v>
      </c>
      <c r="M42" s="113">
        <v>-0.25793280000000002</v>
      </c>
      <c r="N42" s="225">
        <v>-0.26154169999999999</v>
      </c>
      <c r="O42" s="228">
        <f>(3/10)*K42+(3/10)*M42+(2/10)*N42+(1/10)*J42+(1/10)*L42</f>
        <v>-0.25533905000000001</v>
      </c>
      <c r="P42" s="222">
        <f>O42*(1/3)*$F$40</f>
        <v>-551739.5149048483</v>
      </c>
      <c r="S42" s="228">
        <f>AVERAGE(J42:N42)</f>
        <v>-0.25910435999999998</v>
      </c>
      <c r="T42" s="222">
        <f>S42*(1/3)*$F$40</f>
        <v>-559875.63945323357</v>
      </c>
    </row>
    <row r="43" spans="2:20" ht="24" customHeight="1" thickBot="1" x14ac:dyDescent="0.5">
      <c r="B43" s="86" t="s">
        <v>72</v>
      </c>
      <c r="C43" s="89" t="s">
        <v>73</v>
      </c>
      <c r="D43" s="135"/>
      <c r="E43" s="135"/>
      <c r="F43" s="135"/>
      <c r="G43" s="135"/>
      <c r="H43" s="7"/>
      <c r="I43" s="161">
        <v>2520</v>
      </c>
      <c r="J43" s="111">
        <v>-0.2716134</v>
      </c>
      <c r="K43" s="103">
        <v>-0.25511</v>
      </c>
      <c r="L43" s="103">
        <v>-0.27443689999999998</v>
      </c>
      <c r="M43" s="103">
        <v>-0.27629789999999999</v>
      </c>
      <c r="N43" s="226">
        <v>-0.167383</v>
      </c>
      <c r="O43" s="229">
        <f>(3/10)*K43+(3/10)*M43+(2/10)*N43+(1/10)*J43+(1/10)*L43</f>
        <v>-0.24750399999999997</v>
      </c>
      <c r="P43" s="223">
        <f>O43*(1/3)*$F$40</f>
        <v>-534809.4500116983</v>
      </c>
      <c r="S43" s="229">
        <f>AVERAGE(J43:N43)</f>
        <v>-0.24896824000000004</v>
      </c>
      <c r="T43" s="223">
        <f>S43*(1/3)*$F$40</f>
        <v>-537973.39640886837</v>
      </c>
    </row>
    <row r="44" spans="2:20" ht="21.75" customHeight="1" x14ac:dyDescent="0.45">
      <c r="B44" s="272" t="s">
        <v>86</v>
      </c>
      <c r="C44" s="273"/>
      <c r="D44" s="273"/>
      <c r="E44" s="211"/>
      <c r="F44" s="288">
        <f>SUM(F9:F29)+F40</f>
        <v>79806992.918197244</v>
      </c>
    </row>
    <row r="45" spans="2:20" ht="15.75" customHeight="1" thickBot="1" x14ac:dyDescent="0.5">
      <c r="B45" s="274"/>
      <c r="C45" s="275"/>
      <c r="D45" s="275"/>
      <c r="E45" s="212"/>
      <c r="F45" s="277"/>
    </row>
    <row r="46" spans="2:20" ht="15" customHeight="1" x14ac:dyDescent="0.45">
      <c r="M46" s="335" t="s">
        <v>91</v>
      </c>
      <c r="N46" s="337"/>
      <c r="O46" s="243">
        <f>SUM(P9:P43)</f>
        <v>-21014915.969862588</v>
      </c>
      <c r="P46" s="244"/>
      <c r="S46" s="243">
        <f>SUM(T9:T43)</f>
        <v>-20691198.593271997</v>
      </c>
      <c r="T46" s="244"/>
    </row>
    <row r="47" spans="2:20" ht="15" customHeight="1" x14ac:dyDescent="0.45">
      <c r="M47" s="272"/>
      <c r="N47" s="301"/>
      <c r="O47" s="245"/>
      <c r="P47" s="246"/>
      <c r="S47" s="245"/>
      <c r="T47" s="246"/>
    </row>
    <row r="48" spans="2:20" ht="15" customHeight="1" thickBot="1" x14ac:dyDescent="0.5">
      <c r="M48" s="274"/>
      <c r="N48" s="302"/>
      <c r="O48" s="247"/>
      <c r="P48" s="248"/>
      <c r="S48" s="247"/>
      <c r="T48" s="248"/>
    </row>
    <row r="49" spans="13:20" ht="15" customHeight="1" x14ac:dyDescent="0.45">
      <c r="M49" s="282" t="s">
        <v>92</v>
      </c>
      <c r="N49" s="283"/>
      <c r="O49" s="249">
        <f>O46/$F$44</f>
        <v>-0.26332173662279235</v>
      </c>
      <c r="P49" s="250"/>
      <c r="S49" s="249">
        <f>S46/$F$44</f>
        <v>-0.25926548334530819</v>
      </c>
      <c r="T49" s="250"/>
    </row>
    <row r="50" spans="13:20" ht="15" customHeight="1" x14ac:dyDescent="0.45">
      <c r="M50" s="284"/>
      <c r="N50" s="285"/>
      <c r="O50" s="251"/>
      <c r="P50" s="252"/>
      <c r="S50" s="251"/>
      <c r="T50" s="252"/>
    </row>
    <row r="51" spans="13:20" ht="15" customHeight="1" thickBot="1" x14ac:dyDescent="0.5">
      <c r="M51" s="286"/>
      <c r="N51" s="287"/>
      <c r="O51" s="253"/>
      <c r="P51" s="254"/>
      <c r="S51" s="253"/>
      <c r="T51" s="254"/>
    </row>
    <row r="52" spans="13:20" ht="15" customHeight="1" x14ac:dyDescent="0.45">
      <c r="M52" s="350" t="s">
        <v>93</v>
      </c>
      <c r="N52" s="351"/>
      <c r="O52" s="356">
        <f>-(SUM(G9:G29)/SUM(F9:F29))</f>
        <v>-0.32026539044606489</v>
      </c>
      <c r="P52" s="330"/>
      <c r="S52"/>
    </row>
    <row r="53" spans="13:20" ht="15" customHeight="1" x14ac:dyDescent="0.45">
      <c r="M53" s="352"/>
      <c r="N53" s="353"/>
      <c r="O53" s="357"/>
      <c r="P53" s="332"/>
      <c r="S53"/>
    </row>
    <row r="54" spans="13:20" ht="15" customHeight="1" thickBot="1" x14ac:dyDescent="0.5">
      <c r="M54" s="354"/>
      <c r="N54" s="355"/>
      <c r="O54" s="358"/>
      <c r="P54" s="334"/>
      <c r="S54"/>
    </row>
    <row r="55" spans="13:20" ht="15" customHeight="1" x14ac:dyDescent="0.45">
      <c r="S55"/>
    </row>
    <row r="56" spans="13:20" ht="15" customHeight="1" thickBot="1" x14ac:dyDescent="0.5">
      <c r="S56"/>
    </row>
    <row r="57" spans="13:20" ht="15" customHeight="1" x14ac:dyDescent="0.45">
      <c r="M57" s="338" t="s">
        <v>121</v>
      </c>
      <c r="N57" s="339"/>
      <c r="O57" s="344">
        <v>-0.25</v>
      </c>
      <c r="P57" s="345"/>
      <c r="S57"/>
    </row>
    <row r="58" spans="13:20" ht="15" customHeight="1" x14ac:dyDescent="0.45">
      <c r="M58" s="340"/>
      <c r="N58" s="341"/>
      <c r="O58" s="346"/>
      <c r="P58" s="347"/>
      <c r="S58"/>
    </row>
    <row r="59" spans="13:20" ht="15" customHeight="1" x14ac:dyDescent="0.45">
      <c r="M59" s="340"/>
      <c r="N59" s="341"/>
      <c r="O59" s="346"/>
      <c r="P59" s="347"/>
      <c r="S59"/>
    </row>
    <row r="60" spans="13:20" ht="15" customHeight="1" thickBot="1" x14ac:dyDescent="0.5">
      <c r="M60" s="342"/>
      <c r="N60" s="343"/>
      <c r="O60" s="348"/>
      <c r="P60" s="349"/>
      <c r="S60"/>
    </row>
    <row r="61" spans="13:20" ht="15" customHeight="1" x14ac:dyDescent="0.45"/>
    <row r="62" spans="13:20" ht="15" customHeight="1" x14ac:dyDescent="0.45"/>
    <row r="63" spans="13:20" ht="15" customHeight="1" x14ac:dyDescent="0.45"/>
    <row r="67" spans="1:20" x14ac:dyDescent="0.25">
      <c r="A67" s="175" t="s">
        <v>96</v>
      </c>
    </row>
    <row r="69" spans="1:20" x14ac:dyDescent="0.45">
      <c r="A69" s="176"/>
    </row>
    <row r="71" spans="1:20" ht="29.25" thickBot="1" x14ac:dyDescent="0.5"/>
    <row r="72" spans="1:20" ht="14.45" customHeight="1" x14ac:dyDescent="0.45">
      <c r="B72" s="303" t="s">
        <v>77</v>
      </c>
      <c r="C72" s="304"/>
      <c r="D72" s="304"/>
      <c r="E72" s="304"/>
      <c r="F72" s="304"/>
      <c r="G72" s="304"/>
      <c r="H72" s="304"/>
      <c r="I72" s="305"/>
      <c r="J72" s="289" t="s">
        <v>95</v>
      </c>
      <c r="K72" s="290"/>
      <c r="L72" s="290"/>
      <c r="M72" s="290"/>
      <c r="N72" s="291"/>
      <c r="O72" s="237" t="s">
        <v>90</v>
      </c>
      <c r="P72" s="238"/>
      <c r="S72" s="237" t="s">
        <v>277</v>
      </c>
      <c r="T72" s="238"/>
    </row>
    <row r="73" spans="1:20" ht="39" customHeight="1" x14ac:dyDescent="0.45">
      <c r="B73" s="306"/>
      <c r="C73" s="307"/>
      <c r="D73" s="307"/>
      <c r="E73" s="307"/>
      <c r="F73" s="307"/>
      <c r="G73" s="307"/>
      <c r="H73" s="307"/>
      <c r="I73" s="308"/>
      <c r="J73" s="292"/>
      <c r="K73" s="293"/>
      <c r="L73" s="293"/>
      <c r="M73" s="293"/>
      <c r="N73" s="294"/>
      <c r="O73" s="239"/>
      <c r="P73" s="240"/>
      <c r="S73" s="239"/>
      <c r="T73" s="240"/>
    </row>
    <row r="74" spans="1:20" ht="41.1" customHeight="1" thickBot="1" x14ac:dyDescent="0.5">
      <c r="B74" s="165"/>
      <c r="C74" s="166"/>
      <c r="D74" s="166"/>
      <c r="E74" s="166"/>
      <c r="F74" s="309" t="s">
        <v>81</v>
      </c>
      <c r="G74" s="309"/>
      <c r="H74" s="309"/>
      <c r="I74" s="310"/>
      <c r="J74" s="295"/>
      <c r="K74" s="296"/>
      <c r="L74" s="296"/>
      <c r="M74" s="296"/>
      <c r="N74" s="297"/>
      <c r="O74" s="241"/>
      <c r="P74" s="242"/>
      <c r="S74" s="241"/>
      <c r="T74" s="242"/>
    </row>
    <row r="75" spans="1:20" ht="49.5" customHeight="1" thickBot="1" x14ac:dyDescent="0.5">
      <c r="B75" s="6" t="s">
        <v>1</v>
      </c>
      <c r="C75" s="36" t="s">
        <v>67</v>
      </c>
      <c r="D75" s="37" t="s">
        <v>64</v>
      </c>
      <c r="E75" s="37" t="s">
        <v>270</v>
      </c>
      <c r="F75" s="38" t="s">
        <v>274</v>
      </c>
      <c r="G75" s="38" t="s">
        <v>65</v>
      </c>
      <c r="H75" s="37" t="s">
        <v>88</v>
      </c>
      <c r="I75" s="39" t="s">
        <v>66</v>
      </c>
      <c r="J75" s="40" t="s">
        <v>75</v>
      </c>
      <c r="K75" s="41" t="s">
        <v>78</v>
      </c>
      <c r="L75" s="42" t="s">
        <v>76</v>
      </c>
      <c r="M75" s="43" t="s">
        <v>79</v>
      </c>
      <c r="N75" s="44" t="s">
        <v>80</v>
      </c>
      <c r="O75" s="45" t="s">
        <v>87</v>
      </c>
      <c r="P75" s="46" t="s">
        <v>89</v>
      </c>
      <c r="S75" s="45" t="s">
        <v>278</v>
      </c>
      <c r="T75" s="46" t="s">
        <v>89</v>
      </c>
    </row>
    <row r="76" spans="1:20" ht="17.25" customHeight="1" x14ac:dyDescent="0.25">
      <c r="A76" s="173"/>
      <c r="B76" s="278" t="s">
        <v>97</v>
      </c>
      <c r="C76" s="268" t="s">
        <v>98</v>
      </c>
      <c r="D76" s="268">
        <v>2992.81</v>
      </c>
      <c r="E76" s="268">
        <v>1011.08</v>
      </c>
      <c r="F76" s="268">
        <v>3025970.3347999998</v>
      </c>
      <c r="G76" s="268">
        <v>1180128.4305720001</v>
      </c>
      <c r="H76" s="270" t="s">
        <v>118</v>
      </c>
      <c r="I76" s="280">
        <v>22</v>
      </c>
      <c r="J76" s="361">
        <v>-1.7153740000000001E-2</v>
      </c>
      <c r="K76" s="359">
        <v>-1.526185E-2</v>
      </c>
      <c r="L76" s="359">
        <v>-1.92172E-2</v>
      </c>
      <c r="M76" s="359">
        <v>-2.0156339999999998E-2</v>
      </c>
      <c r="N76" s="162"/>
      <c r="O76" s="261">
        <f>(3/10)*K76+(3/10)*M76+(2/10)*J76+(2/10)*L76</f>
        <v>-1.7899644999999999E-2</v>
      </c>
      <c r="P76" s="263">
        <f>F76*O76</f>
        <v>-54163.79477345114</v>
      </c>
      <c r="S76" s="261">
        <f t="shared" ref="S76:S77" si="4">AVERAGE(J76:N76)</f>
        <v>-1.7947282499999998E-2</v>
      </c>
      <c r="T76" s="263">
        <f t="shared" ref="T76:T77" si="5">S76*F76</f>
        <v>-54307.944435275174</v>
      </c>
    </row>
    <row r="77" spans="1:20" ht="18" customHeight="1" thickBot="1" x14ac:dyDescent="0.3">
      <c r="A77" s="173"/>
      <c r="B77" s="279"/>
      <c r="C77" s="269"/>
      <c r="D77" s="269"/>
      <c r="E77" s="269"/>
      <c r="F77" s="269"/>
      <c r="G77" s="269"/>
      <c r="H77" s="271"/>
      <c r="I77" s="281"/>
      <c r="J77" s="362"/>
      <c r="K77" s="360"/>
      <c r="L77" s="360"/>
      <c r="M77" s="360"/>
      <c r="N77" s="162"/>
      <c r="O77" s="262">
        <f>(3/10)*K77+(3/10)*M77+(2/10)*J77+(2/10)*L77</f>
        <v>0</v>
      </c>
      <c r="P77" s="264"/>
      <c r="S77" s="262" t="e">
        <f t="shared" si="4"/>
        <v>#DIV/0!</v>
      </c>
      <c r="T77" s="264" t="e">
        <f t="shared" si="5"/>
        <v>#DIV/0!</v>
      </c>
    </row>
    <row r="78" spans="1:20" ht="23.25" customHeight="1" x14ac:dyDescent="0.45">
      <c r="B78" s="81" t="s">
        <v>99</v>
      </c>
      <c r="C78" s="124" t="s">
        <v>100</v>
      </c>
      <c r="D78" s="136">
        <v>16000</v>
      </c>
      <c r="E78" s="136">
        <v>600</v>
      </c>
      <c r="F78" s="124">
        <v>9600000</v>
      </c>
      <c r="G78" s="124">
        <v>4704000</v>
      </c>
      <c r="H78" s="68" t="s">
        <v>69</v>
      </c>
      <c r="I78" s="50"/>
      <c r="J78" s="54"/>
      <c r="K78" s="55"/>
      <c r="L78" s="55"/>
      <c r="M78" s="55"/>
      <c r="N78" s="56"/>
      <c r="O78" s="57"/>
      <c r="P78" s="61"/>
      <c r="S78" s="57"/>
      <c r="T78" s="61"/>
    </row>
    <row r="79" spans="1:20" ht="23.25" customHeight="1" x14ac:dyDescent="0.45">
      <c r="B79" s="82" t="s">
        <v>101</v>
      </c>
      <c r="C79" s="125" t="s">
        <v>102</v>
      </c>
      <c r="D79" s="137">
        <v>300000000</v>
      </c>
      <c r="E79" s="137">
        <v>5.7999999999999996E-3</v>
      </c>
      <c r="F79" s="125">
        <v>1739999.9999999998</v>
      </c>
      <c r="G79" s="125">
        <v>678600</v>
      </c>
      <c r="H79" s="9" t="s">
        <v>69</v>
      </c>
      <c r="I79" s="51"/>
      <c r="J79" s="18"/>
      <c r="K79" s="19"/>
      <c r="L79" s="19"/>
      <c r="M79" s="19"/>
      <c r="N79" s="20"/>
      <c r="O79" s="47"/>
      <c r="P79" s="62"/>
      <c r="S79" s="47"/>
      <c r="T79" s="62"/>
    </row>
    <row r="80" spans="1:20" ht="23.25" customHeight="1" x14ac:dyDescent="0.45">
      <c r="B80" s="82" t="s">
        <v>103</v>
      </c>
      <c r="C80" s="125" t="s">
        <v>104</v>
      </c>
      <c r="D80" s="137">
        <v>3000000</v>
      </c>
      <c r="E80" s="137">
        <v>0.05</v>
      </c>
      <c r="F80" s="125">
        <v>150000</v>
      </c>
      <c r="G80" s="125">
        <v>58500</v>
      </c>
      <c r="H80" s="69" t="s">
        <v>69</v>
      </c>
      <c r="I80" s="51"/>
      <c r="J80" s="18"/>
      <c r="K80" s="19"/>
      <c r="L80" s="19"/>
      <c r="M80" s="19"/>
      <c r="N80" s="20"/>
      <c r="O80" s="47"/>
      <c r="P80" s="62"/>
      <c r="S80" s="47"/>
      <c r="T80" s="62"/>
    </row>
    <row r="81" spans="1:20" ht="23.25" customHeight="1" x14ac:dyDescent="0.45">
      <c r="B81" s="82" t="s">
        <v>105</v>
      </c>
      <c r="C81" s="125" t="s">
        <v>106</v>
      </c>
      <c r="D81" s="137">
        <v>4800000</v>
      </c>
      <c r="E81" s="137">
        <v>0.92469999999999997</v>
      </c>
      <c r="F81" s="125">
        <v>4438560</v>
      </c>
      <c r="G81" s="125">
        <v>1731038.4</v>
      </c>
      <c r="H81" s="69" t="s">
        <v>69</v>
      </c>
      <c r="I81" s="51"/>
      <c r="J81" s="18"/>
      <c r="K81" s="19"/>
      <c r="L81" s="19"/>
      <c r="M81" s="19"/>
      <c r="N81" s="20"/>
      <c r="O81" s="47"/>
      <c r="P81" s="62"/>
      <c r="S81" s="47"/>
      <c r="T81" s="62"/>
    </row>
    <row r="82" spans="1:20" ht="23.25" customHeight="1" x14ac:dyDescent="0.45">
      <c r="B82" s="82" t="s">
        <v>107</v>
      </c>
      <c r="C82" s="125" t="s">
        <v>108</v>
      </c>
      <c r="D82" s="137">
        <v>8500</v>
      </c>
      <c r="E82" s="137">
        <v>1000</v>
      </c>
      <c r="F82" s="125">
        <v>8500000</v>
      </c>
      <c r="G82" s="125">
        <v>4250000</v>
      </c>
      <c r="H82" s="69" t="s">
        <v>69</v>
      </c>
      <c r="I82" s="51"/>
      <c r="J82" s="18"/>
      <c r="K82" s="19"/>
      <c r="L82" s="19"/>
      <c r="M82" s="19"/>
      <c r="N82" s="20"/>
      <c r="O82" s="47"/>
      <c r="P82" s="62"/>
      <c r="S82" s="47"/>
      <c r="T82" s="62"/>
    </row>
    <row r="83" spans="1:20" s="14" customFormat="1" ht="55.5" customHeight="1" x14ac:dyDescent="0.25">
      <c r="A83" s="173"/>
      <c r="B83" s="82" t="s">
        <v>109</v>
      </c>
      <c r="C83" s="125" t="s">
        <v>110</v>
      </c>
      <c r="D83" s="137">
        <v>75000</v>
      </c>
      <c r="E83" s="137">
        <v>33.436300000000003</v>
      </c>
      <c r="F83" s="125">
        <v>2507722.5</v>
      </c>
      <c r="G83" s="125">
        <v>1228784.0249999999</v>
      </c>
      <c r="H83" s="9" t="s">
        <v>119</v>
      </c>
      <c r="I83" s="51"/>
      <c r="J83" s="18"/>
      <c r="K83" s="19"/>
      <c r="L83" s="19"/>
      <c r="M83" s="19"/>
      <c r="N83" s="20"/>
      <c r="O83" s="65"/>
      <c r="P83" s="66"/>
      <c r="S83" s="65"/>
      <c r="T83" s="66"/>
    </row>
    <row r="84" spans="1:20" ht="22.5" customHeight="1" thickBot="1" x14ac:dyDescent="0.5">
      <c r="B84" s="83" t="s">
        <v>111</v>
      </c>
      <c r="C84" s="126" t="s">
        <v>112</v>
      </c>
      <c r="D84" s="138">
        <v>10000</v>
      </c>
      <c r="E84" s="138">
        <v>824.59400000000005</v>
      </c>
      <c r="F84" s="126">
        <v>8245940.0000000009</v>
      </c>
      <c r="G84" s="126">
        <v>3215916.6</v>
      </c>
      <c r="H84" s="70" t="s">
        <v>69</v>
      </c>
      <c r="I84" s="53"/>
      <c r="J84" s="58"/>
      <c r="K84" s="59"/>
      <c r="L84" s="59"/>
      <c r="M84" s="59"/>
      <c r="N84" s="60"/>
      <c r="O84" s="218"/>
      <c r="P84" s="63"/>
      <c r="S84" s="218"/>
      <c r="T84" s="63"/>
    </row>
    <row r="85" spans="1:20" ht="32.25" customHeight="1" thickBot="1" x14ac:dyDescent="0.5">
      <c r="B85" s="265" t="s">
        <v>94</v>
      </c>
      <c r="C85" s="266"/>
      <c r="D85" s="266"/>
      <c r="E85" s="267"/>
      <c r="F85" s="115">
        <f>SUM(F78:F84)</f>
        <v>35182222.5</v>
      </c>
      <c r="G85" s="133"/>
      <c r="H85" s="3"/>
      <c r="I85" s="5"/>
      <c r="J85" s="105"/>
      <c r="K85" s="106"/>
      <c r="L85" s="106"/>
      <c r="M85" s="106"/>
      <c r="N85" s="107"/>
      <c r="O85" s="48"/>
      <c r="P85" s="64"/>
      <c r="S85" s="48"/>
      <c r="T85" s="64"/>
    </row>
    <row r="86" spans="1:20" ht="22.5" customHeight="1" x14ac:dyDescent="0.45">
      <c r="B86" s="84" t="s">
        <v>115</v>
      </c>
      <c r="C86" s="87" t="s">
        <v>116</v>
      </c>
      <c r="D86" s="133"/>
      <c r="E86" s="133"/>
      <c r="F86" s="133"/>
      <c r="G86" s="134"/>
      <c r="H86" s="1"/>
      <c r="I86" s="159">
        <v>2671</v>
      </c>
      <c r="J86" s="109">
        <v>-5.1425779999999997E-2</v>
      </c>
      <c r="K86" s="112">
        <v>-4.2177859999999998E-2</v>
      </c>
      <c r="L86" s="112">
        <v>-5.0917120000000003E-2</v>
      </c>
      <c r="M86" s="112">
        <v>-5.4038990000000002E-2</v>
      </c>
      <c r="N86" s="163">
        <v>-7.5965149999999995E-2</v>
      </c>
      <c r="O86" s="139">
        <f>(3/10)*K86+(3/10)*M86+(2/10)*N86+(1/10)*J86+(1/10)*L86</f>
        <v>-5.4292374999999997E-2</v>
      </c>
      <c r="P86" s="141">
        <f>(1/4)*$F$85*O86</f>
        <v>-477531.60432585934</v>
      </c>
      <c r="S86" s="139">
        <f>AVERAGE(J86:N86)</f>
        <v>-5.4904980000000006E-2</v>
      </c>
      <c r="T86" s="141">
        <f>(1/4)*$F$85*S86</f>
        <v>-482919.80567951256</v>
      </c>
    </row>
    <row r="87" spans="1:20" ht="22.5" customHeight="1" x14ac:dyDescent="0.45">
      <c r="B87" s="85" t="s">
        <v>113</v>
      </c>
      <c r="C87" s="88" t="s">
        <v>117</v>
      </c>
      <c r="D87" s="134"/>
      <c r="E87" s="134"/>
      <c r="F87" s="134"/>
      <c r="G87" s="134"/>
      <c r="H87" s="1"/>
      <c r="I87" s="160">
        <v>1243</v>
      </c>
      <c r="J87" s="110">
        <v>-6.4982579999999998E-2</v>
      </c>
      <c r="K87" s="113">
        <f>-5.643832%</f>
        <v>-5.643832E-2</v>
      </c>
      <c r="L87" s="113">
        <v>-6.4282080000000005E-2</v>
      </c>
      <c r="M87" s="113">
        <v>-6.7621340000000002E-2</v>
      </c>
      <c r="N87" s="164">
        <v>-8.6525270000000001E-2</v>
      </c>
      <c r="O87" s="140">
        <f>(3/10)*K87+(3/10)*M87+(2/10)*N87+(1/10)*J87+(1/10)*L87</f>
        <v>-6.7449417999999997E-2</v>
      </c>
      <c r="P87" s="142">
        <f>(1/4)*$F$85*O87</f>
        <v>-593255.10789287626</v>
      </c>
      <c r="S87" s="140">
        <f>AVERAGE(J87:N87)</f>
        <v>-6.7969918000000004E-2</v>
      </c>
      <c r="T87" s="142">
        <f>(1/4)*$F$85*S87</f>
        <v>-597833.19459568884</v>
      </c>
    </row>
    <row r="88" spans="1:20" ht="22.5" customHeight="1" thickBot="1" x14ac:dyDescent="0.5">
      <c r="B88" s="86" t="s">
        <v>114</v>
      </c>
      <c r="C88" s="170"/>
      <c r="D88" s="135"/>
      <c r="E88" s="135"/>
      <c r="F88" s="135"/>
      <c r="G88" s="135"/>
      <c r="H88" s="7"/>
      <c r="I88" s="161">
        <v>2612</v>
      </c>
      <c r="J88" s="111">
        <v>-0.13685439999999999</v>
      </c>
      <c r="K88" s="103">
        <v>-0.12523989999999999</v>
      </c>
      <c r="L88" s="103">
        <v>-0.13654620000000001</v>
      </c>
      <c r="M88" s="103">
        <v>-0.13874900000000001</v>
      </c>
      <c r="N88" s="104">
        <v>-0.1430109</v>
      </c>
      <c r="O88" s="143">
        <f>(3/10)*K88+(3/10)*M88+(2/10)*N88+(1/10)*J88+(1/10)*L88</f>
        <v>-0.13513891</v>
      </c>
      <c r="P88" s="119">
        <f>(1/2)*$F$85*O88</f>
        <v>-2377243.6000137376</v>
      </c>
      <c r="S88" s="143">
        <f>AVERAGE(J88:N88)</f>
        <v>-0.13608007999999999</v>
      </c>
      <c r="T88" s="119">
        <f>(1/2)*$F$85*S88</f>
        <v>-2393799.8261889</v>
      </c>
    </row>
    <row r="89" spans="1:20" x14ac:dyDescent="0.45">
      <c r="B89" s="272" t="s">
        <v>86</v>
      </c>
      <c r="C89" s="273"/>
      <c r="D89" s="273"/>
      <c r="E89" s="211"/>
      <c r="F89" s="276">
        <f>SUM(F76:F76)+F85</f>
        <v>38208192.834799998</v>
      </c>
    </row>
    <row r="90" spans="1:20" ht="29.25" thickBot="1" x14ac:dyDescent="0.5">
      <c r="B90" s="274"/>
      <c r="C90" s="275"/>
      <c r="D90" s="275"/>
      <c r="E90" s="212"/>
      <c r="F90" s="277"/>
    </row>
    <row r="91" spans="1:20" ht="17.45" customHeight="1" x14ac:dyDescent="0.45">
      <c r="M91" s="311" t="s">
        <v>91</v>
      </c>
      <c r="N91" s="312"/>
      <c r="O91" s="243">
        <f>SUM(P76:P88)</f>
        <v>-3502194.1070059245</v>
      </c>
      <c r="P91" s="244"/>
      <c r="S91" s="243">
        <f>SUM(T86:T88)+T76</f>
        <v>-3528860.7708993768</v>
      </c>
      <c r="T91" s="244"/>
    </row>
    <row r="92" spans="1:20" ht="17.45" customHeight="1" x14ac:dyDescent="0.45">
      <c r="M92" s="313"/>
      <c r="N92" s="314"/>
      <c r="O92" s="245"/>
      <c r="P92" s="246"/>
      <c r="S92" s="245"/>
      <c r="T92" s="246"/>
    </row>
    <row r="93" spans="1:20" ht="17.45" customHeight="1" thickBot="1" x14ac:dyDescent="0.5">
      <c r="M93" s="315"/>
      <c r="N93" s="316"/>
      <c r="O93" s="247"/>
      <c r="P93" s="248"/>
      <c r="S93" s="247"/>
      <c r="T93" s="248"/>
    </row>
    <row r="94" spans="1:20" ht="17.45" customHeight="1" x14ac:dyDescent="0.45">
      <c r="M94" s="317" t="s">
        <v>92</v>
      </c>
      <c r="N94" s="318"/>
      <c r="O94" s="249">
        <f>O91/F89</f>
        <v>-9.1660815316450359E-2</v>
      </c>
      <c r="P94" s="250"/>
      <c r="S94" s="249">
        <f>S91/$F$89</f>
        <v>-9.2358745836450359E-2</v>
      </c>
      <c r="T94" s="250"/>
    </row>
    <row r="95" spans="1:20" ht="17.45" customHeight="1" x14ac:dyDescent="0.45">
      <c r="M95" s="319"/>
      <c r="N95" s="320"/>
      <c r="O95" s="251"/>
      <c r="P95" s="252"/>
      <c r="S95" s="251"/>
      <c r="T95" s="252"/>
    </row>
    <row r="96" spans="1:20" ht="17.45" customHeight="1" thickBot="1" x14ac:dyDescent="0.5">
      <c r="M96" s="321"/>
      <c r="N96" s="322"/>
      <c r="O96" s="253"/>
      <c r="P96" s="254"/>
      <c r="S96" s="253"/>
      <c r="T96" s="254"/>
    </row>
    <row r="97" spans="1:19" ht="17.45" customHeight="1" x14ac:dyDescent="0.45">
      <c r="M97" s="323" t="s">
        <v>93</v>
      </c>
      <c r="N97" s="324"/>
      <c r="O97" s="356">
        <f>-(SUM(G76:G84)/SUM(F76:F84))</f>
        <v>-0.44616000367454267</v>
      </c>
      <c r="P97" s="330"/>
      <c r="S97"/>
    </row>
    <row r="98" spans="1:19" ht="17.45" customHeight="1" x14ac:dyDescent="0.45">
      <c r="M98" s="325"/>
      <c r="N98" s="326"/>
      <c r="O98" s="357"/>
      <c r="P98" s="332"/>
      <c r="S98"/>
    </row>
    <row r="99" spans="1:19" ht="17.45" customHeight="1" thickBot="1" x14ac:dyDescent="0.5">
      <c r="M99" s="327"/>
      <c r="N99" s="328"/>
      <c r="O99" s="358"/>
      <c r="P99" s="334"/>
      <c r="S99"/>
    </row>
    <row r="100" spans="1:19" ht="17.45" customHeight="1" x14ac:dyDescent="0.45">
      <c r="S100"/>
    </row>
    <row r="101" spans="1:19" ht="17.45" customHeight="1" thickBot="1" x14ac:dyDescent="0.5">
      <c r="S101"/>
    </row>
    <row r="102" spans="1:19" ht="17.45" customHeight="1" x14ac:dyDescent="0.45">
      <c r="M102" s="338" t="s">
        <v>121</v>
      </c>
      <c r="N102" s="339"/>
      <c r="O102" s="344">
        <v>-0.1</v>
      </c>
      <c r="P102" s="345"/>
      <c r="S102"/>
    </row>
    <row r="103" spans="1:19" ht="17.45" customHeight="1" x14ac:dyDescent="0.45">
      <c r="M103" s="340"/>
      <c r="N103" s="341"/>
      <c r="O103" s="346"/>
      <c r="P103" s="347"/>
      <c r="S103"/>
    </row>
    <row r="104" spans="1:19" ht="17.45" customHeight="1" x14ac:dyDescent="0.45">
      <c r="M104" s="340"/>
      <c r="N104" s="341"/>
      <c r="O104" s="346"/>
      <c r="P104" s="347"/>
      <c r="S104"/>
    </row>
    <row r="105" spans="1:19" ht="17.45" customHeight="1" thickBot="1" x14ac:dyDescent="0.5">
      <c r="M105" s="342"/>
      <c r="N105" s="343"/>
      <c r="O105" s="348"/>
      <c r="P105" s="349"/>
      <c r="S105"/>
    </row>
    <row r="109" spans="1:19" x14ac:dyDescent="0.25">
      <c r="A109" s="171" t="s">
        <v>120</v>
      </c>
    </row>
    <row r="110" spans="1:19" x14ac:dyDescent="0.45">
      <c r="A110" s="176"/>
    </row>
    <row r="112" spans="1:19" ht="29.25" thickBot="1" x14ac:dyDescent="0.5"/>
    <row r="113" spans="2:20" ht="14.45" customHeight="1" x14ac:dyDescent="0.45">
      <c r="B113" s="303" t="s">
        <v>77</v>
      </c>
      <c r="C113" s="304"/>
      <c r="D113" s="304"/>
      <c r="E113" s="304"/>
      <c r="F113" s="304"/>
      <c r="G113" s="304"/>
      <c r="H113" s="304"/>
      <c r="I113" s="305"/>
      <c r="J113" s="289" t="s">
        <v>95</v>
      </c>
      <c r="K113" s="290"/>
      <c r="L113" s="290"/>
      <c r="M113" s="290"/>
      <c r="N113" s="291"/>
      <c r="O113" s="237" t="s">
        <v>90</v>
      </c>
      <c r="P113" s="238"/>
      <c r="S113" s="237" t="s">
        <v>277</v>
      </c>
      <c r="T113" s="238"/>
    </row>
    <row r="114" spans="2:20" ht="42.95" customHeight="1" x14ac:dyDescent="0.45">
      <c r="B114" s="306"/>
      <c r="C114" s="307"/>
      <c r="D114" s="307"/>
      <c r="E114" s="307"/>
      <c r="F114" s="307"/>
      <c r="G114" s="307"/>
      <c r="H114" s="307"/>
      <c r="I114" s="308"/>
      <c r="J114" s="292"/>
      <c r="K114" s="293"/>
      <c r="L114" s="293"/>
      <c r="M114" s="293"/>
      <c r="N114" s="294"/>
      <c r="O114" s="239"/>
      <c r="P114" s="240"/>
      <c r="S114" s="239"/>
      <c r="T114" s="240"/>
    </row>
    <row r="115" spans="2:20" ht="27" customHeight="1" thickBot="1" x14ac:dyDescent="0.5">
      <c r="B115" s="165"/>
      <c r="C115" s="166"/>
      <c r="D115" s="166"/>
      <c r="E115" s="166"/>
      <c r="F115" s="309" t="s">
        <v>81</v>
      </c>
      <c r="G115" s="309"/>
      <c r="H115" s="309"/>
      <c r="I115" s="310"/>
      <c r="J115" s="295"/>
      <c r="K115" s="296"/>
      <c r="L115" s="296"/>
      <c r="M115" s="296"/>
      <c r="N115" s="297"/>
      <c r="O115" s="241"/>
      <c r="P115" s="242"/>
      <c r="S115" s="241"/>
      <c r="T115" s="242"/>
    </row>
    <row r="116" spans="2:20" ht="51.75" customHeight="1" thickBot="1" x14ac:dyDescent="0.5">
      <c r="B116" s="144" t="s">
        <v>1</v>
      </c>
      <c r="C116" s="158" t="s">
        <v>67</v>
      </c>
      <c r="D116" s="145" t="s">
        <v>64</v>
      </c>
      <c r="E116" s="145" t="s">
        <v>270</v>
      </c>
      <c r="F116" s="38" t="s">
        <v>274</v>
      </c>
      <c r="G116" s="146" t="s">
        <v>65</v>
      </c>
      <c r="H116" s="145" t="s">
        <v>88</v>
      </c>
      <c r="I116" s="147" t="s">
        <v>66</v>
      </c>
      <c r="J116" s="40" t="s">
        <v>75</v>
      </c>
      <c r="K116" s="41" t="s">
        <v>78</v>
      </c>
      <c r="L116" s="42" t="s">
        <v>76</v>
      </c>
      <c r="M116" s="43" t="s">
        <v>79</v>
      </c>
      <c r="N116" s="44" t="s">
        <v>80</v>
      </c>
      <c r="O116" s="45" t="s">
        <v>87</v>
      </c>
      <c r="P116" s="46" t="s">
        <v>89</v>
      </c>
      <c r="S116" s="45" t="s">
        <v>278</v>
      </c>
      <c r="T116" s="46" t="s">
        <v>89</v>
      </c>
    </row>
    <row r="117" spans="2:20" ht="19.5" customHeight="1" x14ac:dyDescent="0.45">
      <c r="B117" s="81" t="s">
        <v>122</v>
      </c>
      <c r="C117" s="124" t="s">
        <v>123</v>
      </c>
      <c r="D117" s="136">
        <v>240</v>
      </c>
      <c r="E117" s="136">
        <v>65788.850000000006</v>
      </c>
      <c r="F117" s="124">
        <v>15789324.000000002</v>
      </c>
      <c r="G117" s="124">
        <v>3473651.28</v>
      </c>
      <c r="H117" s="68" t="s">
        <v>69</v>
      </c>
      <c r="I117" s="50"/>
      <c r="J117" s="54"/>
      <c r="K117" s="55"/>
      <c r="L117" s="55"/>
      <c r="M117" s="55"/>
      <c r="N117" s="56"/>
      <c r="O117" s="57"/>
      <c r="P117" s="61"/>
      <c r="S117" s="57"/>
      <c r="T117" s="61"/>
    </row>
    <row r="118" spans="2:20" ht="19.5" customHeight="1" x14ac:dyDescent="0.45">
      <c r="B118" s="82" t="s">
        <v>124</v>
      </c>
      <c r="C118" s="125" t="s">
        <v>125</v>
      </c>
      <c r="D118" s="137">
        <v>139866</v>
      </c>
      <c r="E118" s="137">
        <v>550.47</v>
      </c>
      <c r="F118" s="137">
        <v>76992037.020000011</v>
      </c>
      <c r="G118" s="137">
        <v>16938248.144400001</v>
      </c>
      <c r="H118" s="69" t="s">
        <v>69</v>
      </c>
      <c r="I118" s="51"/>
      <c r="J118" s="18"/>
      <c r="K118" s="19"/>
      <c r="L118" s="19"/>
      <c r="M118" s="19"/>
      <c r="N118" s="20"/>
      <c r="O118" s="47"/>
      <c r="P118" s="62"/>
      <c r="S118" s="47"/>
      <c r="T118" s="62"/>
    </row>
    <row r="119" spans="2:20" ht="19.5" customHeight="1" x14ac:dyDescent="0.45">
      <c r="B119" s="82" t="s">
        <v>126</v>
      </c>
      <c r="C119" s="125" t="s">
        <v>127</v>
      </c>
      <c r="D119" s="137">
        <v>99</v>
      </c>
      <c r="E119" s="137">
        <v>189956.74</v>
      </c>
      <c r="F119" s="137">
        <v>18805717.259999998</v>
      </c>
      <c r="G119" s="137">
        <v>4137257.7971999999</v>
      </c>
      <c r="H119" s="69" t="s">
        <v>69</v>
      </c>
      <c r="I119" s="51"/>
      <c r="J119" s="18"/>
      <c r="K119" s="19"/>
      <c r="L119" s="19"/>
      <c r="M119" s="19"/>
      <c r="N119" s="20"/>
      <c r="O119" s="47"/>
      <c r="P119" s="62"/>
      <c r="S119" s="47"/>
      <c r="T119" s="62"/>
    </row>
    <row r="120" spans="2:20" ht="19.5" customHeight="1" x14ac:dyDescent="0.45">
      <c r="B120" s="82" t="s">
        <v>128</v>
      </c>
      <c r="C120" s="125" t="s">
        <v>129</v>
      </c>
      <c r="D120" s="137">
        <v>177431</v>
      </c>
      <c r="E120" s="137">
        <v>35.53</v>
      </c>
      <c r="F120" s="137">
        <v>6304123.4300000006</v>
      </c>
      <c r="G120" s="137">
        <v>1386907.1546</v>
      </c>
      <c r="H120" s="69" t="s">
        <v>69</v>
      </c>
      <c r="I120" s="51"/>
      <c r="J120" s="18"/>
      <c r="K120" s="19"/>
      <c r="L120" s="19"/>
      <c r="M120" s="19"/>
      <c r="N120" s="20"/>
      <c r="O120" s="47"/>
      <c r="P120" s="62"/>
      <c r="S120" s="47"/>
      <c r="T120" s="62"/>
    </row>
    <row r="121" spans="2:20" ht="19.5" customHeight="1" x14ac:dyDescent="0.45">
      <c r="B121" s="82" t="s">
        <v>130</v>
      </c>
      <c r="C121" s="125" t="s">
        <v>131</v>
      </c>
      <c r="D121" s="137">
        <v>41612</v>
      </c>
      <c r="E121" s="137">
        <v>281.54000000000002</v>
      </c>
      <c r="F121" s="137">
        <v>11715442.48</v>
      </c>
      <c r="G121" s="137">
        <v>2928860.62</v>
      </c>
      <c r="H121" s="69" t="s">
        <v>69</v>
      </c>
      <c r="I121" s="51"/>
      <c r="J121" s="18"/>
      <c r="K121" s="19"/>
      <c r="L121" s="19"/>
      <c r="M121" s="19"/>
      <c r="N121" s="20"/>
      <c r="O121" s="47"/>
      <c r="P121" s="62"/>
      <c r="S121" s="47"/>
      <c r="T121" s="62"/>
    </row>
    <row r="122" spans="2:20" ht="19.5" customHeight="1" x14ac:dyDescent="0.45">
      <c r="B122" s="82" t="s">
        <v>132</v>
      </c>
      <c r="C122" s="125" t="s">
        <v>133</v>
      </c>
      <c r="D122" s="137">
        <v>25126.933379999999</v>
      </c>
      <c r="E122" s="137">
        <v>187.2</v>
      </c>
      <c r="F122" s="137">
        <v>4703761.9287359994</v>
      </c>
      <c r="G122" s="125">
        <v>1175940.4821840001</v>
      </c>
      <c r="H122" s="69" t="s">
        <v>69</v>
      </c>
      <c r="I122" s="51"/>
      <c r="J122" s="18"/>
      <c r="K122" s="19"/>
      <c r="L122" s="19"/>
      <c r="M122" s="19"/>
      <c r="N122" s="20"/>
      <c r="O122" s="47"/>
      <c r="P122" s="62"/>
      <c r="S122" s="47"/>
      <c r="T122" s="62"/>
    </row>
    <row r="123" spans="2:20" ht="19.5" customHeight="1" x14ac:dyDescent="0.45">
      <c r="B123" s="82" t="s">
        <v>134</v>
      </c>
      <c r="C123" s="125" t="s">
        <v>135</v>
      </c>
      <c r="D123" s="137">
        <v>10621.96955</v>
      </c>
      <c r="E123" s="137">
        <v>912.58</v>
      </c>
      <c r="F123" s="137">
        <v>9693396.9719389994</v>
      </c>
      <c r="G123" s="125">
        <v>2423349.2429847498</v>
      </c>
      <c r="H123" s="69" t="s">
        <v>69</v>
      </c>
      <c r="I123" s="51"/>
      <c r="J123" s="18"/>
      <c r="K123" s="19"/>
      <c r="L123" s="19"/>
      <c r="M123" s="19"/>
      <c r="N123" s="20"/>
      <c r="O123" s="47"/>
      <c r="P123" s="62"/>
      <c r="S123" s="47"/>
      <c r="T123" s="62"/>
    </row>
    <row r="124" spans="2:20" ht="19.5" customHeight="1" x14ac:dyDescent="0.45">
      <c r="B124" s="82" t="s">
        <v>136</v>
      </c>
      <c r="C124" s="125" t="s">
        <v>137</v>
      </c>
      <c r="D124" s="137">
        <v>29672.35789000001</v>
      </c>
      <c r="E124" s="137">
        <v>207</v>
      </c>
      <c r="F124" s="137">
        <v>6142178.0832300019</v>
      </c>
      <c r="G124" s="125">
        <v>1535544.5208075</v>
      </c>
      <c r="H124" s="69" t="s">
        <v>69</v>
      </c>
      <c r="I124" s="51"/>
      <c r="J124" s="18"/>
      <c r="K124" s="19"/>
      <c r="L124" s="19"/>
      <c r="M124" s="19"/>
      <c r="N124" s="20"/>
      <c r="O124" s="47"/>
      <c r="P124" s="62"/>
      <c r="S124" s="47"/>
      <c r="T124" s="62"/>
    </row>
    <row r="125" spans="2:20" ht="19.5" customHeight="1" x14ac:dyDescent="0.45">
      <c r="B125" s="82" t="s">
        <v>138</v>
      </c>
      <c r="C125" s="125" t="s">
        <v>139</v>
      </c>
      <c r="D125" s="137">
        <v>84835.430029999989</v>
      </c>
      <c r="E125" s="137">
        <v>179.34</v>
      </c>
      <c r="F125" s="137">
        <v>15214386.021580199</v>
      </c>
      <c r="G125" s="125">
        <v>3803596.5053950492</v>
      </c>
      <c r="H125" s="69" t="s">
        <v>69</v>
      </c>
      <c r="I125" s="51"/>
      <c r="J125" s="18"/>
      <c r="K125" s="19"/>
      <c r="L125" s="19"/>
      <c r="M125" s="19"/>
      <c r="N125" s="20"/>
      <c r="O125" s="47"/>
      <c r="P125" s="62"/>
      <c r="S125" s="47"/>
      <c r="T125" s="62"/>
    </row>
    <row r="126" spans="2:20" ht="19.5" customHeight="1" x14ac:dyDescent="0.45">
      <c r="B126" s="82" t="s">
        <v>140</v>
      </c>
      <c r="C126" s="125" t="s">
        <v>141</v>
      </c>
      <c r="D126" s="137">
        <v>20236.012399999981</v>
      </c>
      <c r="E126" s="137">
        <v>184.73</v>
      </c>
      <c r="F126" s="137">
        <v>3738198.5706519964</v>
      </c>
      <c r="G126" s="125">
        <v>934549.64266299875</v>
      </c>
      <c r="H126" s="69" t="s">
        <v>69</v>
      </c>
      <c r="I126" s="51"/>
      <c r="J126" s="18"/>
      <c r="K126" s="19"/>
      <c r="L126" s="19"/>
      <c r="M126" s="19"/>
      <c r="N126" s="20"/>
      <c r="O126" s="47"/>
      <c r="P126" s="62"/>
      <c r="S126" s="47"/>
      <c r="T126" s="62"/>
    </row>
    <row r="127" spans="2:20" ht="19.5" customHeight="1" x14ac:dyDescent="0.45">
      <c r="B127" s="82" t="s">
        <v>142</v>
      </c>
      <c r="C127" s="125" t="s">
        <v>143</v>
      </c>
      <c r="D127" s="137">
        <v>13943.11671</v>
      </c>
      <c r="E127" s="137">
        <v>262.2</v>
      </c>
      <c r="F127" s="137">
        <v>3655885.2013619998</v>
      </c>
      <c r="G127" s="125">
        <v>913971.30034050008</v>
      </c>
      <c r="H127" s="69" t="s">
        <v>69</v>
      </c>
      <c r="I127" s="51"/>
      <c r="J127" s="18"/>
      <c r="K127" s="19"/>
      <c r="L127" s="19"/>
      <c r="M127" s="19"/>
      <c r="N127" s="20"/>
      <c r="O127" s="47"/>
      <c r="P127" s="62"/>
      <c r="S127" s="47"/>
      <c r="T127" s="62"/>
    </row>
    <row r="128" spans="2:20" ht="19.5" customHeight="1" x14ac:dyDescent="0.45">
      <c r="B128" s="82" t="s">
        <v>144</v>
      </c>
      <c r="C128" s="125" t="s">
        <v>145</v>
      </c>
      <c r="D128" s="137">
        <v>1888.83151</v>
      </c>
      <c r="E128" s="137">
        <v>105.85</v>
      </c>
      <c r="F128" s="137">
        <v>199932.81533349998</v>
      </c>
      <c r="G128" s="125">
        <v>49983.203833375002</v>
      </c>
      <c r="H128" s="69" t="s">
        <v>69</v>
      </c>
      <c r="I128" s="51"/>
      <c r="J128" s="18"/>
      <c r="K128" s="19"/>
      <c r="L128" s="19"/>
      <c r="M128" s="19"/>
      <c r="N128" s="20"/>
      <c r="O128" s="47"/>
      <c r="P128" s="62"/>
      <c r="S128" s="47"/>
      <c r="T128" s="62"/>
    </row>
    <row r="129" spans="1:20" ht="19.5" customHeight="1" x14ac:dyDescent="0.45">
      <c r="B129" s="82" t="s">
        <v>146</v>
      </c>
      <c r="C129" s="125" t="s">
        <v>147</v>
      </c>
      <c r="D129" s="137">
        <v>972.22656999999981</v>
      </c>
      <c r="E129" s="137">
        <v>105.84</v>
      </c>
      <c r="F129" s="137">
        <v>102900.46016879998</v>
      </c>
      <c r="G129" s="125">
        <v>25725.11504220001</v>
      </c>
      <c r="H129" s="69" t="s">
        <v>69</v>
      </c>
      <c r="I129" s="51"/>
      <c r="J129" s="18"/>
      <c r="K129" s="19"/>
      <c r="L129" s="19"/>
      <c r="M129" s="19"/>
      <c r="N129" s="20"/>
      <c r="O129" s="47"/>
      <c r="P129" s="62"/>
      <c r="S129" s="47"/>
      <c r="T129" s="62"/>
    </row>
    <row r="130" spans="1:20" ht="19.5" customHeight="1" x14ac:dyDescent="0.45">
      <c r="B130" s="82" t="s">
        <v>148</v>
      </c>
      <c r="C130" s="125" t="s">
        <v>149</v>
      </c>
      <c r="D130" s="137">
        <v>5115.4564699999974</v>
      </c>
      <c r="E130" s="137">
        <v>132.36000000000001</v>
      </c>
      <c r="F130" s="137">
        <v>677081.81836919975</v>
      </c>
      <c r="G130" s="125">
        <v>169270.45459229991</v>
      </c>
      <c r="H130" s="69" t="s">
        <v>69</v>
      </c>
      <c r="I130" s="51"/>
      <c r="J130" s="18"/>
      <c r="K130" s="19"/>
      <c r="L130" s="19"/>
      <c r="M130" s="19"/>
      <c r="N130" s="20"/>
      <c r="O130" s="47"/>
      <c r="P130" s="62"/>
      <c r="S130" s="47"/>
      <c r="T130" s="62"/>
    </row>
    <row r="131" spans="1:20" ht="19.5" customHeight="1" thickBot="1" x14ac:dyDescent="0.5">
      <c r="B131" s="83" t="s">
        <v>150</v>
      </c>
      <c r="C131" s="126" t="s">
        <v>151</v>
      </c>
      <c r="D131" s="138">
        <v>3967.7406799999999</v>
      </c>
      <c r="E131" s="138">
        <v>772.37999999999988</v>
      </c>
      <c r="F131" s="138">
        <v>3064603.5464183996</v>
      </c>
      <c r="G131" s="126">
        <v>766150.8866046</v>
      </c>
      <c r="H131" s="70" t="s">
        <v>69</v>
      </c>
      <c r="I131" s="53"/>
      <c r="J131" s="58"/>
      <c r="K131" s="59"/>
      <c r="L131" s="59"/>
      <c r="M131" s="59"/>
      <c r="N131" s="60"/>
      <c r="O131" s="218"/>
      <c r="P131" s="63"/>
      <c r="S131" s="218"/>
      <c r="T131" s="63"/>
    </row>
    <row r="132" spans="1:20" ht="29.1" customHeight="1" thickBot="1" x14ac:dyDescent="0.5">
      <c r="B132" s="265" t="s">
        <v>94</v>
      </c>
      <c r="C132" s="266"/>
      <c r="D132" s="266"/>
      <c r="E132" s="267"/>
      <c r="F132" s="115">
        <f>SUM(F117:F131)</f>
        <v>176798969.6077891</v>
      </c>
      <c r="G132" s="133"/>
      <c r="H132" s="3"/>
      <c r="I132" s="5"/>
      <c r="J132" s="105"/>
      <c r="K132" s="106"/>
      <c r="L132" s="106"/>
      <c r="M132" s="106"/>
      <c r="N132" s="107"/>
      <c r="O132" s="48"/>
      <c r="P132" s="64"/>
      <c r="S132" s="48"/>
      <c r="T132" s="64"/>
    </row>
    <row r="133" spans="1:20" ht="18.95" customHeight="1" x14ac:dyDescent="0.45">
      <c r="B133" s="85" t="s">
        <v>153</v>
      </c>
      <c r="C133" s="88" t="s">
        <v>155</v>
      </c>
      <c r="D133" s="134"/>
      <c r="E133" s="134"/>
      <c r="F133" s="134"/>
      <c r="G133" s="134"/>
      <c r="H133" s="1"/>
      <c r="I133" s="108">
        <v>4612</v>
      </c>
      <c r="J133" s="109">
        <v>-0.33959879999999998</v>
      </c>
      <c r="K133" s="112">
        <v>-0.31003340000000001</v>
      </c>
      <c r="L133" s="112">
        <v>-0.34078720000000001</v>
      </c>
      <c r="M133" s="112">
        <v>-0.30260900000000002</v>
      </c>
      <c r="N133" s="114">
        <v>-0.31361260000000002</v>
      </c>
      <c r="O133" s="139">
        <f>(3/10)*K133+(3/10)*M133+(2/10)*N133+(1/10)*J133+(1/10)*L133</f>
        <v>-0.31455384000000003</v>
      </c>
      <c r="P133" s="141">
        <f>(1/3)*$F$132*O133</f>
        <v>-18537598.266057786</v>
      </c>
      <c r="S133" s="139">
        <f>AVERAGE(J133:N133)</f>
        <v>-0.32132819999999995</v>
      </c>
      <c r="T133" s="141">
        <f>(1/3)*$F$132*S133</f>
        <v>-18936831.555308521</v>
      </c>
    </row>
    <row r="134" spans="1:20" s="157" customFormat="1" ht="33" customHeight="1" thickBot="1" x14ac:dyDescent="0.5">
      <c r="A134" s="174"/>
      <c r="B134" s="148" t="s">
        <v>154</v>
      </c>
      <c r="C134" s="170"/>
      <c r="D134" s="149"/>
      <c r="E134" s="149"/>
      <c r="F134" s="149"/>
      <c r="G134" s="149"/>
      <c r="H134" s="150"/>
      <c r="I134" s="151" t="s">
        <v>152</v>
      </c>
      <c r="J134" s="152">
        <v>-6.4478250000000001E-2</v>
      </c>
      <c r="K134" s="153">
        <v>-5.3003719999999997E-2</v>
      </c>
      <c r="L134" s="153">
        <v>-6.6904409999999997E-2</v>
      </c>
      <c r="M134" s="153">
        <v>-6.6372159999999999E-2</v>
      </c>
      <c r="N134" s="154">
        <v>-6.5489749999999999E-2</v>
      </c>
      <c r="O134" s="155">
        <f>(3/10)*K134+(3/10)*M134+(2/10)*N134+(1/10)*J134+(1/10)*L134</f>
        <v>-6.2048979999999997E-2</v>
      </c>
      <c r="P134" s="156">
        <f>(2/3)*$F$132*O134</f>
        <v>-7313463.8194762086</v>
      </c>
      <c r="S134" s="155">
        <f>AVERAGE(J134:N134)</f>
        <v>-6.3249658E-2</v>
      </c>
      <c r="T134" s="156">
        <f>(2/3)*$F$132*S134</f>
        <v>-7454982.9082967024</v>
      </c>
    </row>
    <row r="135" spans="1:20" x14ac:dyDescent="0.45">
      <c r="B135" s="272" t="s">
        <v>86</v>
      </c>
      <c r="C135" s="273"/>
      <c r="D135" s="273"/>
      <c r="E135" s="211"/>
      <c r="F135" s="288">
        <f>F132</f>
        <v>176798969.6077891</v>
      </c>
    </row>
    <row r="136" spans="1:20" ht="29.25" thickBot="1" x14ac:dyDescent="0.5">
      <c r="B136" s="274"/>
      <c r="C136" s="275"/>
      <c r="D136" s="275"/>
      <c r="E136" s="212"/>
      <c r="F136" s="277"/>
    </row>
    <row r="137" spans="1:20" ht="15.95" customHeight="1" x14ac:dyDescent="0.45">
      <c r="M137" s="311" t="s">
        <v>91</v>
      </c>
      <c r="N137" s="312"/>
      <c r="O137" s="243">
        <f>SUM(P117:P134)</f>
        <v>-25851062.085533995</v>
      </c>
      <c r="P137" s="244"/>
      <c r="S137" s="243">
        <f>SUM(T132:T134)</f>
        <v>-26391814.463605225</v>
      </c>
      <c r="T137" s="244"/>
    </row>
    <row r="138" spans="1:20" ht="15.95" customHeight="1" x14ac:dyDescent="0.45">
      <c r="M138" s="313"/>
      <c r="N138" s="314"/>
      <c r="O138" s="245"/>
      <c r="P138" s="246"/>
      <c r="S138" s="245"/>
      <c r="T138" s="246"/>
    </row>
    <row r="139" spans="1:20" ht="15.95" customHeight="1" thickBot="1" x14ac:dyDescent="0.5">
      <c r="M139" s="315"/>
      <c r="N139" s="316"/>
      <c r="O139" s="247"/>
      <c r="P139" s="248"/>
      <c r="S139" s="247"/>
      <c r="T139" s="248"/>
    </row>
    <row r="140" spans="1:20" ht="15.95" customHeight="1" x14ac:dyDescent="0.45">
      <c r="M140" s="317" t="s">
        <v>92</v>
      </c>
      <c r="N140" s="318"/>
      <c r="O140" s="249">
        <f>O137/F135</f>
        <v>-0.14621726666666668</v>
      </c>
      <c r="P140" s="250"/>
      <c r="S140" s="249">
        <f>S137/$F$135</f>
        <v>-0.14927583866666663</v>
      </c>
      <c r="T140" s="250"/>
    </row>
    <row r="141" spans="1:20" ht="15.95" customHeight="1" x14ac:dyDescent="0.45">
      <c r="M141" s="319"/>
      <c r="N141" s="320"/>
      <c r="O141" s="251"/>
      <c r="P141" s="252"/>
      <c r="S141" s="251"/>
      <c r="T141" s="252"/>
    </row>
    <row r="142" spans="1:20" ht="15.95" customHeight="1" thickBot="1" x14ac:dyDescent="0.5">
      <c r="M142" s="321"/>
      <c r="N142" s="322"/>
      <c r="O142" s="253"/>
      <c r="P142" s="254"/>
      <c r="S142" s="253"/>
      <c r="T142" s="254"/>
    </row>
    <row r="143" spans="1:20" ht="15.95" customHeight="1" x14ac:dyDescent="0.45">
      <c r="M143" s="323" t="s">
        <v>93</v>
      </c>
      <c r="N143" s="324"/>
      <c r="O143" s="356">
        <f>-(SUM(G117:G131)/SUM(F117:F131))</f>
        <v>-0.22999572022876669</v>
      </c>
      <c r="P143" s="330"/>
      <c r="S143"/>
    </row>
    <row r="144" spans="1:20" ht="15.95" customHeight="1" x14ac:dyDescent="0.45">
      <c r="M144" s="325"/>
      <c r="N144" s="326"/>
      <c r="O144" s="357"/>
      <c r="P144" s="332"/>
      <c r="S144"/>
    </row>
    <row r="145" spans="1:19" ht="15.95" customHeight="1" thickBot="1" x14ac:dyDescent="0.5">
      <c r="M145" s="327"/>
      <c r="N145" s="328"/>
      <c r="O145" s="358"/>
      <c r="P145" s="334"/>
      <c r="S145"/>
    </row>
    <row r="146" spans="1:19" ht="15.95" customHeight="1" x14ac:dyDescent="0.45">
      <c r="S146"/>
    </row>
    <row r="147" spans="1:19" ht="15.95" customHeight="1" thickBot="1" x14ac:dyDescent="0.5">
      <c r="S147"/>
    </row>
    <row r="148" spans="1:19" ht="15.95" customHeight="1" x14ac:dyDescent="0.45">
      <c r="M148" s="338" t="s">
        <v>121</v>
      </c>
      <c r="N148" s="339"/>
      <c r="O148" s="344">
        <v>-0.15</v>
      </c>
      <c r="P148" s="345"/>
      <c r="S148"/>
    </row>
    <row r="149" spans="1:19" ht="15.95" customHeight="1" x14ac:dyDescent="0.45">
      <c r="M149" s="340"/>
      <c r="N149" s="341"/>
      <c r="O149" s="346"/>
      <c r="P149" s="347"/>
      <c r="S149"/>
    </row>
    <row r="150" spans="1:19" ht="15.95" customHeight="1" x14ac:dyDescent="0.45">
      <c r="M150" s="340"/>
      <c r="N150" s="341"/>
      <c r="O150" s="346"/>
      <c r="P150" s="347"/>
      <c r="S150"/>
    </row>
    <row r="151" spans="1:19" ht="15.95" customHeight="1" thickBot="1" x14ac:dyDescent="0.5">
      <c r="M151" s="342"/>
      <c r="N151" s="343"/>
      <c r="O151" s="348"/>
      <c r="P151" s="349"/>
      <c r="S151"/>
    </row>
    <row r="152" spans="1:19" ht="15.95" customHeight="1" x14ac:dyDescent="0.45"/>
    <row r="153" spans="1:19" ht="26.1" customHeight="1" x14ac:dyDescent="0.45"/>
    <row r="154" spans="1:19" ht="26.1" customHeight="1" x14ac:dyDescent="0.45"/>
    <row r="155" spans="1:19" ht="26.1" customHeight="1" x14ac:dyDescent="0.45"/>
    <row r="158" spans="1:19" x14ac:dyDescent="0.25">
      <c r="A158" s="171" t="s">
        <v>168</v>
      </c>
    </row>
    <row r="159" spans="1:19" x14ac:dyDescent="0.45">
      <c r="A159" s="176"/>
    </row>
    <row r="161" spans="2:20" ht="29.25" thickBot="1" x14ac:dyDescent="0.5"/>
    <row r="162" spans="2:20" x14ac:dyDescent="0.45">
      <c r="B162" s="303" t="s">
        <v>77</v>
      </c>
      <c r="C162" s="304"/>
      <c r="D162" s="304"/>
      <c r="E162" s="304"/>
      <c r="F162" s="304"/>
      <c r="G162" s="304"/>
      <c r="H162" s="304"/>
      <c r="I162" s="305"/>
      <c r="J162" s="289" t="s">
        <v>95</v>
      </c>
      <c r="K162" s="290"/>
      <c r="L162" s="290"/>
      <c r="M162" s="290"/>
      <c r="N162" s="291"/>
      <c r="O162" s="237" t="s">
        <v>90</v>
      </c>
      <c r="P162" s="238"/>
      <c r="S162" s="237" t="s">
        <v>277</v>
      </c>
      <c r="T162" s="238"/>
    </row>
    <row r="163" spans="2:20" ht="38.450000000000003" customHeight="1" x14ac:dyDescent="0.45">
      <c r="B163" s="306"/>
      <c r="C163" s="307"/>
      <c r="D163" s="307"/>
      <c r="E163" s="307"/>
      <c r="F163" s="307"/>
      <c r="G163" s="307"/>
      <c r="H163" s="307"/>
      <c r="I163" s="308"/>
      <c r="J163" s="292"/>
      <c r="K163" s="293"/>
      <c r="L163" s="293"/>
      <c r="M163" s="293"/>
      <c r="N163" s="294"/>
      <c r="O163" s="239"/>
      <c r="P163" s="240"/>
      <c r="S163" s="239"/>
      <c r="T163" s="240"/>
    </row>
    <row r="164" spans="2:20" ht="29.25" thickBot="1" x14ac:dyDescent="0.5">
      <c r="B164" s="165"/>
      <c r="C164" s="166"/>
      <c r="D164" s="166"/>
      <c r="E164" s="166"/>
      <c r="F164" s="309" t="s">
        <v>81</v>
      </c>
      <c r="G164" s="309"/>
      <c r="H164" s="309"/>
      <c r="I164" s="310"/>
      <c r="J164" s="295"/>
      <c r="K164" s="296"/>
      <c r="L164" s="296"/>
      <c r="M164" s="296"/>
      <c r="N164" s="297"/>
      <c r="O164" s="241"/>
      <c r="P164" s="242"/>
      <c r="S164" s="241"/>
      <c r="T164" s="242"/>
    </row>
    <row r="165" spans="2:20" ht="52.5" customHeight="1" thickBot="1" x14ac:dyDescent="0.5">
      <c r="B165" s="167" t="s">
        <v>1</v>
      </c>
      <c r="C165" s="36" t="s">
        <v>67</v>
      </c>
      <c r="D165" s="37" t="s">
        <v>64</v>
      </c>
      <c r="E165" s="37" t="s">
        <v>270</v>
      </c>
      <c r="F165" s="38" t="s">
        <v>274</v>
      </c>
      <c r="G165" s="38" t="s">
        <v>65</v>
      </c>
      <c r="H165" s="37" t="s">
        <v>88</v>
      </c>
      <c r="I165" s="168" t="s">
        <v>66</v>
      </c>
      <c r="J165" s="40" t="s">
        <v>75</v>
      </c>
      <c r="K165" s="41" t="s">
        <v>78</v>
      </c>
      <c r="L165" s="42" t="s">
        <v>76</v>
      </c>
      <c r="M165" s="43" t="s">
        <v>79</v>
      </c>
      <c r="N165" s="44" t="s">
        <v>80</v>
      </c>
      <c r="O165" s="45" t="s">
        <v>87</v>
      </c>
      <c r="P165" s="46" t="s">
        <v>89</v>
      </c>
      <c r="S165" s="45" t="s">
        <v>278</v>
      </c>
      <c r="T165" s="46" t="s">
        <v>89</v>
      </c>
    </row>
    <row r="166" spans="2:20" ht="20.45" customHeight="1" x14ac:dyDescent="0.45">
      <c r="B166" s="81" t="s">
        <v>156</v>
      </c>
      <c r="C166" s="124" t="s">
        <v>157</v>
      </c>
      <c r="D166" s="136">
        <v>1</v>
      </c>
      <c r="E166" s="136">
        <v>2510000</v>
      </c>
      <c r="F166" s="136">
        <v>2510000</v>
      </c>
      <c r="G166" s="136">
        <v>627500</v>
      </c>
      <c r="H166" s="68" t="s">
        <v>69</v>
      </c>
      <c r="I166" s="50"/>
      <c r="J166" s="54"/>
      <c r="K166" s="55"/>
      <c r="L166" s="55"/>
      <c r="M166" s="55"/>
      <c r="N166" s="56"/>
      <c r="O166" s="57"/>
      <c r="P166" s="61"/>
      <c r="S166" s="57"/>
      <c r="T166" s="61"/>
    </row>
    <row r="167" spans="2:20" ht="20.45" customHeight="1" x14ac:dyDescent="0.45">
      <c r="B167" s="82" t="s">
        <v>158</v>
      </c>
      <c r="C167" s="125" t="s">
        <v>159</v>
      </c>
      <c r="D167" s="137">
        <v>1</v>
      </c>
      <c r="E167" s="137">
        <v>22589.74</v>
      </c>
      <c r="F167" s="137">
        <v>22589.74</v>
      </c>
      <c r="G167" s="137">
        <v>5647.4350000000004</v>
      </c>
      <c r="H167" s="69" t="s">
        <v>69</v>
      </c>
      <c r="I167" s="51"/>
      <c r="J167" s="18"/>
      <c r="K167" s="19"/>
      <c r="L167" s="19"/>
      <c r="M167" s="19"/>
      <c r="N167" s="20"/>
      <c r="O167" s="47"/>
      <c r="P167" s="62"/>
      <c r="S167" s="47"/>
      <c r="T167" s="62"/>
    </row>
    <row r="168" spans="2:20" ht="20.45" customHeight="1" x14ac:dyDescent="0.45">
      <c r="B168" s="82" t="s">
        <v>160</v>
      </c>
      <c r="C168" s="125" t="s">
        <v>161</v>
      </c>
      <c r="D168" s="137">
        <v>1</v>
      </c>
      <c r="E168" s="137">
        <v>16700000</v>
      </c>
      <c r="F168" s="137">
        <v>16700000</v>
      </c>
      <c r="G168" s="137">
        <v>4175000</v>
      </c>
      <c r="H168" s="69" t="s">
        <v>69</v>
      </c>
      <c r="I168" s="51"/>
      <c r="J168" s="18"/>
      <c r="K168" s="19"/>
      <c r="L168" s="19"/>
      <c r="M168" s="19"/>
      <c r="N168" s="20"/>
      <c r="O168" s="47"/>
      <c r="P168" s="62"/>
      <c r="S168" s="47"/>
      <c r="T168" s="62"/>
    </row>
    <row r="169" spans="2:20" ht="20.45" customHeight="1" x14ac:dyDescent="0.45">
      <c r="B169" s="82" t="s">
        <v>162</v>
      </c>
      <c r="C169" s="125" t="s">
        <v>163</v>
      </c>
      <c r="D169" s="137">
        <v>1</v>
      </c>
      <c r="E169" s="137">
        <v>376713.84</v>
      </c>
      <c r="F169" s="137">
        <v>376713.84</v>
      </c>
      <c r="G169" s="125">
        <v>94178.46</v>
      </c>
      <c r="H169" s="69" t="s">
        <v>69</v>
      </c>
      <c r="I169" s="51"/>
      <c r="J169" s="18"/>
      <c r="K169" s="19"/>
      <c r="L169" s="19"/>
      <c r="M169" s="19"/>
      <c r="N169" s="20"/>
      <c r="O169" s="47"/>
      <c r="P169" s="62"/>
      <c r="S169" s="47"/>
      <c r="T169" s="62"/>
    </row>
    <row r="170" spans="2:20" ht="20.45" customHeight="1" x14ac:dyDescent="0.45">
      <c r="B170" s="82" t="s">
        <v>164</v>
      </c>
      <c r="C170" s="125" t="s">
        <v>165</v>
      </c>
      <c r="D170" s="137">
        <v>1</v>
      </c>
      <c r="E170" s="137">
        <v>9030000</v>
      </c>
      <c r="F170" s="137">
        <v>9030000</v>
      </c>
      <c r="G170" s="125">
        <v>2257500</v>
      </c>
      <c r="H170" s="69" t="s">
        <v>69</v>
      </c>
      <c r="I170" s="51"/>
      <c r="J170" s="18"/>
      <c r="K170" s="19"/>
      <c r="L170" s="19"/>
      <c r="M170" s="19"/>
      <c r="N170" s="20"/>
      <c r="O170" s="47"/>
      <c r="P170" s="62"/>
      <c r="S170" s="47"/>
      <c r="T170" s="62"/>
    </row>
    <row r="171" spans="2:20" ht="20.45" customHeight="1" thickBot="1" x14ac:dyDescent="0.5">
      <c r="B171" s="83" t="s">
        <v>166</v>
      </c>
      <c r="C171" s="126" t="s">
        <v>167</v>
      </c>
      <c r="D171" s="138">
        <v>1</v>
      </c>
      <c r="E171" s="138">
        <v>120210.09</v>
      </c>
      <c r="F171" s="126">
        <v>120210.09</v>
      </c>
      <c r="G171" s="126">
        <v>30052.522499999999</v>
      </c>
      <c r="H171" s="70" t="s">
        <v>69</v>
      </c>
      <c r="I171" s="53"/>
      <c r="J171" s="58"/>
      <c r="K171" s="59"/>
      <c r="L171" s="59"/>
      <c r="M171" s="59"/>
      <c r="N171" s="60"/>
      <c r="O171" s="218"/>
      <c r="P171" s="63"/>
      <c r="S171" s="218"/>
      <c r="T171" s="63"/>
    </row>
    <row r="172" spans="2:20" ht="29.1" customHeight="1" thickBot="1" x14ac:dyDescent="0.5">
      <c r="B172" s="265" t="s">
        <v>94</v>
      </c>
      <c r="C172" s="266"/>
      <c r="D172" s="266"/>
      <c r="E172" s="267"/>
      <c r="F172" s="115">
        <f>SUM(F166:F171)</f>
        <v>28759513.670000002</v>
      </c>
      <c r="G172" s="133"/>
      <c r="H172" s="3"/>
      <c r="I172" s="5"/>
      <c r="J172" s="105"/>
      <c r="K172" s="106"/>
      <c r="L172" s="106"/>
      <c r="M172" s="106"/>
      <c r="N172" s="107"/>
      <c r="O172" s="48"/>
      <c r="P172" s="64"/>
      <c r="S172" s="48"/>
      <c r="T172" s="64"/>
    </row>
    <row r="173" spans="2:20" ht="24.95" customHeight="1" x14ac:dyDescent="0.45">
      <c r="B173" s="84" t="s">
        <v>153</v>
      </c>
      <c r="C173" s="87" t="s">
        <v>155</v>
      </c>
      <c r="D173" s="133"/>
      <c r="E173" s="133"/>
      <c r="F173" s="133"/>
      <c r="G173" s="134"/>
      <c r="H173" s="1"/>
      <c r="I173" s="213">
        <v>4612</v>
      </c>
      <c r="J173" s="109">
        <v>-0.33959879999999998</v>
      </c>
      <c r="K173" s="112">
        <v>-0.31003340000000001</v>
      </c>
      <c r="L173" s="112">
        <v>-0.34078720000000001</v>
      </c>
      <c r="M173" s="112">
        <v>-0.30260900000000002</v>
      </c>
      <c r="N173" s="114">
        <v>-0.31361260000000002</v>
      </c>
      <c r="O173" s="139">
        <f>(3/10)*K173+(3/10)*M173+(2/10)*N173+(1/10)*J173+(1/10)*L173</f>
        <v>-0.31455384000000003</v>
      </c>
      <c r="P173" s="141">
        <f>(1/3)*$F$172*O173</f>
        <v>-3015471.8204769976</v>
      </c>
      <c r="S173" s="139">
        <f>AVERAGE(J173:N173)</f>
        <v>-0.32132819999999995</v>
      </c>
      <c r="T173" s="141">
        <f>(1/3)*$F$172*S173</f>
        <v>-3080414.2534854976</v>
      </c>
    </row>
    <row r="174" spans="2:20" ht="35.1" customHeight="1" thickBot="1" x14ac:dyDescent="0.5">
      <c r="B174" s="86" t="s">
        <v>154</v>
      </c>
      <c r="C174" s="219"/>
      <c r="D174" s="135"/>
      <c r="E174" s="135"/>
      <c r="F174" s="135"/>
      <c r="G174" s="135"/>
      <c r="H174" s="7"/>
      <c r="I174" s="151" t="s">
        <v>152</v>
      </c>
      <c r="J174" s="111">
        <v>-6.4478250000000001E-2</v>
      </c>
      <c r="K174" s="103">
        <v>-5.3003719999999997E-2</v>
      </c>
      <c r="L174" s="103">
        <v>-6.6904409999999997E-2</v>
      </c>
      <c r="M174" s="103">
        <v>-6.6372159999999999E-2</v>
      </c>
      <c r="N174" s="220">
        <v>-6.5489749999999999E-2</v>
      </c>
      <c r="O174" s="92">
        <f>(3/10)*K174+(3/10)*M174+(2/10)*N174+(1/10)*J174+(1/10)*L174</f>
        <v>-6.2048979999999997E-2</v>
      </c>
      <c r="P174" s="119">
        <f>(2/3)*$F$172*O174</f>
        <v>-1189665.6590130376</v>
      </c>
      <c r="S174" s="92">
        <f>AVERAGE(J174:N174)</f>
        <v>-6.3249658E-2</v>
      </c>
      <c r="T174" s="119">
        <f>(2/3)*$F$172*S174</f>
        <v>-1212686.2692492167</v>
      </c>
    </row>
    <row r="175" spans="2:20" x14ac:dyDescent="0.45">
      <c r="B175" s="272" t="s">
        <v>86</v>
      </c>
      <c r="C175" s="273"/>
      <c r="D175" s="273"/>
      <c r="E175" s="211"/>
      <c r="F175" s="288">
        <f>F172</f>
        <v>28759513.670000002</v>
      </c>
    </row>
    <row r="176" spans="2:20" ht="29.25" thickBot="1" x14ac:dyDescent="0.5">
      <c r="B176" s="274"/>
      <c r="C176" s="275"/>
      <c r="D176" s="275"/>
      <c r="E176" s="212"/>
      <c r="F176" s="277"/>
    </row>
    <row r="177" spans="13:20" ht="19.5" customHeight="1" x14ac:dyDescent="0.45">
      <c r="M177" s="311" t="s">
        <v>91</v>
      </c>
      <c r="N177" s="312"/>
      <c r="O177" s="243">
        <f>SUM(P166:P174)</f>
        <v>-4205137.4794900352</v>
      </c>
      <c r="P177" s="244"/>
      <c r="S177" s="243">
        <f>SUM(T172:T174)</f>
        <v>-4293100.5227347147</v>
      </c>
      <c r="T177" s="244"/>
    </row>
    <row r="178" spans="13:20" ht="19.5" customHeight="1" x14ac:dyDescent="0.45">
      <c r="M178" s="313"/>
      <c r="N178" s="314"/>
      <c r="O178" s="245"/>
      <c r="P178" s="246"/>
      <c r="S178" s="245"/>
      <c r="T178" s="246"/>
    </row>
    <row r="179" spans="13:20" ht="19.5" customHeight="1" thickBot="1" x14ac:dyDescent="0.5">
      <c r="M179" s="315"/>
      <c r="N179" s="316"/>
      <c r="O179" s="247"/>
      <c r="P179" s="248"/>
      <c r="S179" s="247"/>
      <c r="T179" s="248"/>
    </row>
    <row r="180" spans="13:20" ht="19.5" customHeight="1" x14ac:dyDescent="0.45">
      <c r="M180" s="317" t="s">
        <v>92</v>
      </c>
      <c r="N180" s="318"/>
      <c r="O180" s="249">
        <f>O177/F175</f>
        <v>-0.14621726666666665</v>
      </c>
      <c r="P180" s="250"/>
      <c r="S180" s="249">
        <f>S177/$F$175</f>
        <v>-0.14927583866666666</v>
      </c>
      <c r="T180" s="250"/>
    </row>
    <row r="181" spans="13:20" ht="19.5" customHeight="1" x14ac:dyDescent="0.45">
      <c r="M181" s="319"/>
      <c r="N181" s="320"/>
      <c r="O181" s="251"/>
      <c r="P181" s="252"/>
      <c r="S181" s="251"/>
      <c r="T181" s="252"/>
    </row>
    <row r="182" spans="13:20" ht="19.5" customHeight="1" thickBot="1" x14ac:dyDescent="0.5">
      <c r="M182" s="321"/>
      <c r="N182" s="322"/>
      <c r="O182" s="253"/>
      <c r="P182" s="254"/>
      <c r="S182" s="253"/>
      <c r="T182" s="254"/>
    </row>
    <row r="183" spans="13:20" ht="19.5" customHeight="1" x14ac:dyDescent="0.45">
      <c r="M183" s="323" t="s">
        <v>93</v>
      </c>
      <c r="N183" s="324"/>
      <c r="O183" s="356">
        <f>-(SUM(G166:G171)/SUM(F166:F171))</f>
        <v>-0.25</v>
      </c>
      <c r="P183" s="330"/>
      <c r="S183"/>
    </row>
    <row r="184" spans="13:20" ht="19.5" customHeight="1" x14ac:dyDescent="0.45">
      <c r="M184" s="325"/>
      <c r="N184" s="326"/>
      <c r="O184" s="357"/>
      <c r="P184" s="332"/>
      <c r="S184"/>
    </row>
    <row r="185" spans="13:20" ht="19.5" customHeight="1" thickBot="1" x14ac:dyDescent="0.5">
      <c r="M185" s="327"/>
      <c r="N185" s="328"/>
      <c r="O185" s="358"/>
      <c r="P185" s="334"/>
      <c r="S185"/>
    </row>
    <row r="186" spans="13:20" ht="19.5" customHeight="1" x14ac:dyDescent="0.45">
      <c r="S186"/>
    </row>
    <row r="187" spans="13:20" ht="19.5" customHeight="1" thickBot="1" x14ac:dyDescent="0.5">
      <c r="S187"/>
    </row>
    <row r="188" spans="13:20" ht="19.5" customHeight="1" x14ac:dyDescent="0.45">
      <c r="M188" s="338" t="s">
        <v>121</v>
      </c>
      <c r="N188" s="339"/>
      <c r="O188" s="344">
        <v>-0.15</v>
      </c>
      <c r="P188" s="345"/>
      <c r="S188"/>
    </row>
    <row r="189" spans="13:20" ht="19.5" customHeight="1" x14ac:dyDescent="0.45">
      <c r="M189" s="340"/>
      <c r="N189" s="341"/>
      <c r="O189" s="346"/>
      <c r="P189" s="347"/>
      <c r="S189"/>
    </row>
    <row r="190" spans="13:20" ht="19.5" customHeight="1" x14ac:dyDescent="0.45">
      <c r="M190" s="340"/>
      <c r="N190" s="341"/>
      <c r="O190" s="346"/>
      <c r="P190" s="347"/>
      <c r="S190"/>
    </row>
    <row r="191" spans="13:20" ht="19.5" customHeight="1" thickBot="1" x14ac:dyDescent="0.5">
      <c r="M191" s="342"/>
      <c r="N191" s="343"/>
      <c r="O191" s="348"/>
      <c r="P191" s="349"/>
      <c r="S191"/>
    </row>
    <row r="192" spans="13:20" ht="19.5" customHeight="1" x14ac:dyDescent="0.45"/>
    <row r="194" spans="1:20" x14ac:dyDescent="0.25">
      <c r="A194" s="171" t="s">
        <v>191</v>
      </c>
    </row>
    <row r="196" spans="1:20" x14ac:dyDescent="0.45">
      <c r="A196" s="176"/>
    </row>
    <row r="198" spans="1:20" ht="29.25" thickBot="1" x14ac:dyDescent="0.5"/>
    <row r="199" spans="1:20" x14ac:dyDescent="0.45">
      <c r="B199" s="303" t="s">
        <v>77</v>
      </c>
      <c r="C199" s="304"/>
      <c r="D199" s="304"/>
      <c r="E199" s="304"/>
      <c r="F199" s="304"/>
      <c r="G199" s="304"/>
      <c r="H199" s="304"/>
      <c r="I199" s="305"/>
      <c r="J199" s="289" t="s">
        <v>95</v>
      </c>
      <c r="K199" s="290"/>
      <c r="L199" s="290"/>
      <c r="M199" s="290"/>
      <c r="N199" s="291"/>
      <c r="O199" s="237" t="s">
        <v>90</v>
      </c>
      <c r="P199" s="238"/>
      <c r="S199" s="237" t="s">
        <v>277</v>
      </c>
      <c r="T199" s="238"/>
    </row>
    <row r="200" spans="1:20" x14ac:dyDescent="0.45">
      <c r="B200" s="306"/>
      <c r="C200" s="307"/>
      <c r="D200" s="307"/>
      <c r="E200" s="307"/>
      <c r="F200" s="307"/>
      <c r="G200" s="307"/>
      <c r="H200" s="307"/>
      <c r="I200" s="308"/>
      <c r="J200" s="292"/>
      <c r="K200" s="293"/>
      <c r="L200" s="293"/>
      <c r="M200" s="293"/>
      <c r="N200" s="294"/>
      <c r="O200" s="239"/>
      <c r="P200" s="240"/>
      <c r="S200" s="239"/>
      <c r="T200" s="240"/>
    </row>
    <row r="201" spans="1:20" ht="29.25" thickBot="1" x14ac:dyDescent="0.5">
      <c r="B201" s="165"/>
      <c r="C201" s="166"/>
      <c r="D201" s="166"/>
      <c r="E201" s="166"/>
      <c r="F201" s="309" t="s">
        <v>81</v>
      </c>
      <c r="G201" s="309"/>
      <c r="H201" s="309"/>
      <c r="I201" s="310"/>
      <c r="J201" s="295"/>
      <c r="K201" s="296"/>
      <c r="L201" s="296"/>
      <c r="M201" s="296"/>
      <c r="N201" s="297"/>
      <c r="O201" s="241"/>
      <c r="P201" s="242"/>
      <c r="S201" s="241"/>
      <c r="T201" s="242"/>
    </row>
    <row r="202" spans="1:20" ht="61.5" customHeight="1" thickBot="1" x14ac:dyDescent="0.5">
      <c r="B202" s="167" t="s">
        <v>1</v>
      </c>
      <c r="C202" s="36" t="s">
        <v>67</v>
      </c>
      <c r="D202" s="37" t="s">
        <v>64</v>
      </c>
      <c r="E202" s="37" t="s">
        <v>270</v>
      </c>
      <c r="F202" s="38" t="s">
        <v>274</v>
      </c>
      <c r="G202" s="38" t="s">
        <v>65</v>
      </c>
      <c r="H202" s="37" t="s">
        <v>88</v>
      </c>
      <c r="I202" s="39" t="s">
        <v>66</v>
      </c>
      <c r="J202" s="40" t="s">
        <v>75</v>
      </c>
      <c r="K202" s="41" t="s">
        <v>78</v>
      </c>
      <c r="L202" s="42" t="s">
        <v>76</v>
      </c>
      <c r="M202" s="43" t="s">
        <v>79</v>
      </c>
      <c r="N202" s="44" t="s">
        <v>80</v>
      </c>
      <c r="O202" s="45" t="s">
        <v>87</v>
      </c>
      <c r="P202" s="46" t="s">
        <v>89</v>
      </c>
      <c r="S202" s="45" t="s">
        <v>278</v>
      </c>
      <c r="T202" s="46" t="s">
        <v>89</v>
      </c>
    </row>
    <row r="203" spans="1:20" x14ac:dyDescent="0.45">
      <c r="B203" s="205" t="s">
        <v>169</v>
      </c>
      <c r="C203" s="124" t="s">
        <v>170</v>
      </c>
      <c r="D203" s="136">
        <v>300</v>
      </c>
      <c r="E203" s="136">
        <v>4188.5568000000003</v>
      </c>
      <c r="F203" s="124">
        <f t="shared" ref="F203:F213" si="6">D203*E203</f>
        <v>1256567.04</v>
      </c>
      <c r="G203" s="124">
        <v>490061.14559999999</v>
      </c>
      <c r="H203" s="206" t="s">
        <v>69</v>
      </c>
      <c r="I203" s="50"/>
      <c r="J203" s="54"/>
      <c r="K203" s="55"/>
      <c r="L203" s="55"/>
      <c r="M203" s="55"/>
      <c r="N203" s="56"/>
      <c r="O203" s="57"/>
      <c r="P203" s="208"/>
      <c r="S203" s="57"/>
      <c r="T203" s="208"/>
    </row>
    <row r="204" spans="1:20" x14ac:dyDescent="0.45">
      <c r="B204" s="181" t="s">
        <v>171</v>
      </c>
      <c r="C204" s="125" t="s">
        <v>172</v>
      </c>
      <c r="D204" s="137">
        <v>3587.41</v>
      </c>
      <c r="E204" s="137">
        <v>799.90260000000001</v>
      </c>
      <c r="F204" s="125">
        <f t="shared" si="6"/>
        <v>2869578.5862659998</v>
      </c>
      <c r="G204" s="125">
        <v>1119135.64864374</v>
      </c>
      <c r="H204" s="9" t="s">
        <v>69</v>
      </c>
      <c r="I204" s="51"/>
      <c r="J204" s="18"/>
      <c r="K204" s="19"/>
      <c r="L204" s="19"/>
      <c r="M204" s="19"/>
      <c r="N204" s="20"/>
      <c r="O204" s="47"/>
      <c r="P204" s="177"/>
      <c r="S204" s="47"/>
      <c r="T204" s="177"/>
    </row>
    <row r="205" spans="1:20" x14ac:dyDescent="0.45">
      <c r="B205" s="181" t="s">
        <v>173</v>
      </c>
      <c r="C205" s="125" t="s">
        <v>174</v>
      </c>
      <c r="D205" s="137">
        <v>3000</v>
      </c>
      <c r="E205" s="137">
        <v>10</v>
      </c>
      <c r="F205" s="125">
        <f t="shared" si="6"/>
        <v>30000</v>
      </c>
      <c r="G205" s="125">
        <v>9000</v>
      </c>
      <c r="H205" s="9" t="s">
        <v>69</v>
      </c>
      <c r="I205" s="51"/>
      <c r="J205" s="18"/>
      <c r="K205" s="19"/>
      <c r="L205" s="19"/>
      <c r="M205" s="19"/>
      <c r="N205" s="20"/>
      <c r="O205" s="47"/>
      <c r="P205" s="177"/>
      <c r="S205" s="47"/>
      <c r="T205" s="177"/>
    </row>
    <row r="206" spans="1:20" x14ac:dyDescent="0.45">
      <c r="B206" s="181" t="s">
        <v>175</v>
      </c>
      <c r="C206" s="125" t="s">
        <v>176</v>
      </c>
      <c r="D206" s="137">
        <v>6000</v>
      </c>
      <c r="E206" s="137">
        <v>375.99810000000002</v>
      </c>
      <c r="F206" s="125">
        <f t="shared" si="6"/>
        <v>2255988.6</v>
      </c>
      <c r="G206" s="125">
        <v>1105434.4140000001</v>
      </c>
      <c r="H206" s="9" t="s">
        <v>69</v>
      </c>
      <c r="I206" s="51"/>
      <c r="J206" s="18"/>
      <c r="K206" s="19"/>
      <c r="L206" s="19"/>
      <c r="M206" s="19"/>
      <c r="N206" s="20"/>
      <c r="O206" s="47"/>
      <c r="P206" s="177"/>
      <c r="S206" s="47"/>
      <c r="T206" s="177"/>
    </row>
    <row r="207" spans="1:20" x14ac:dyDescent="0.45">
      <c r="B207" s="181" t="s">
        <v>189</v>
      </c>
      <c r="C207" s="125" t="s">
        <v>190</v>
      </c>
      <c r="D207" s="137">
        <v>100</v>
      </c>
      <c r="E207" s="137">
        <v>10518.97</v>
      </c>
      <c r="F207" s="125">
        <f t="shared" si="6"/>
        <v>1051897</v>
      </c>
      <c r="G207" s="125">
        <v>515429.53</v>
      </c>
      <c r="H207" s="9" t="s">
        <v>69</v>
      </c>
      <c r="I207" s="51"/>
      <c r="J207" s="18"/>
      <c r="K207" s="19"/>
      <c r="L207" s="19"/>
      <c r="M207" s="19"/>
      <c r="N207" s="20"/>
      <c r="O207" s="47"/>
      <c r="P207" s="177"/>
      <c r="S207" s="47"/>
      <c r="T207" s="177"/>
    </row>
    <row r="208" spans="1:20" x14ac:dyDescent="0.45">
      <c r="B208" s="181" t="s">
        <v>177</v>
      </c>
      <c r="C208" s="125" t="s">
        <v>178</v>
      </c>
      <c r="D208" s="137">
        <v>30000</v>
      </c>
      <c r="E208" s="137">
        <v>0.5</v>
      </c>
      <c r="F208" s="125">
        <f t="shared" si="6"/>
        <v>15000</v>
      </c>
      <c r="G208" s="125">
        <v>4500</v>
      </c>
      <c r="H208" s="9" t="s">
        <v>69</v>
      </c>
      <c r="I208" s="51"/>
      <c r="J208" s="18"/>
      <c r="K208" s="19"/>
      <c r="L208" s="19"/>
      <c r="M208" s="19"/>
      <c r="N208" s="20"/>
      <c r="O208" s="47"/>
      <c r="P208" s="177"/>
      <c r="S208" s="47"/>
      <c r="T208" s="177"/>
    </row>
    <row r="209" spans="1:20" x14ac:dyDescent="0.45">
      <c r="B209" s="181" t="s">
        <v>179</v>
      </c>
      <c r="C209" s="125" t="s">
        <v>180</v>
      </c>
      <c r="D209" s="137">
        <v>30000</v>
      </c>
      <c r="E209" s="137">
        <v>9.6494</v>
      </c>
      <c r="F209" s="125">
        <f t="shared" si="6"/>
        <v>289482</v>
      </c>
      <c r="G209" s="125">
        <v>112897.98</v>
      </c>
      <c r="H209" s="9" t="s">
        <v>69</v>
      </c>
      <c r="I209" s="51"/>
      <c r="J209" s="18"/>
      <c r="K209" s="19"/>
      <c r="L209" s="19"/>
      <c r="M209" s="19"/>
      <c r="N209" s="20"/>
      <c r="O209" s="47"/>
      <c r="P209" s="177"/>
      <c r="S209" s="47"/>
      <c r="T209" s="177"/>
    </row>
    <row r="210" spans="1:20" x14ac:dyDescent="0.45">
      <c r="B210" s="181" t="s">
        <v>181</v>
      </c>
      <c r="C210" s="125" t="s">
        <v>182</v>
      </c>
      <c r="D210" s="137">
        <v>300</v>
      </c>
      <c r="E210" s="137">
        <v>9827.9699999999993</v>
      </c>
      <c r="F210" s="125">
        <f t="shared" si="6"/>
        <v>2948391</v>
      </c>
      <c r="G210" s="125">
        <v>884517.3</v>
      </c>
      <c r="H210" s="9" t="s">
        <v>69</v>
      </c>
      <c r="I210" s="51"/>
      <c r="J210" s="18"/>
      <c r="K210" s="19"/>
      <c r="L210" s="19"/>
      <c r="M210" s="19"/>
      <c r="N210" s="20"/>
      <c r="O210" s="47"/>
      <c r="P210" s="177"/>
      <c r="S210" s="47"/>
      <c r="T210" s="177"/>
    </row>
    <row r="211" spans="1:20" x14ac:dyDescent="0.45">
      <c r="B211" s="181" t="s">
        <v>183</v>
      </c>
      <c r="C211" s="125" t="s">
        <v>184</v>
      </c>
      <c r="D211" s="137">
        <v>300</v>
      </c>
      <c r="E211" s="137">
        <v>5349.8356000000003</v>
      </c>
      <c r="F211" s="125">
        <f t="shared" si="6"/>
        <v>1604950.6800000002</v>
      </c>
      <c r="G211" s="125">
        <v>625930.76519999991</v>
      </c>
      <c r="H211" s="9" t="s">
        <v>69</v>
      </c>
      <c r="I211" s="51"/>
      <c r="J211" s="18"/>
      <c r="K211" s="19"/>
      <c r="L211" s="19"/>
      <c r="M211" s="19"/>
      <c r="N211" s="20"/>
      <c r="O211" s="47"/>
      <c r="P211" s="177"/>
      <c r="S211" s="47"/>
      <c r="T211" s="177"/>
    </row>
    <row r="212" spans="1:20" x14ac:dyDescent="0.25">
      <c r="A212" s="173"/>
      <c r="B212" s="181" t="s">
        <v>185</v>
      </c>
      <c r="C212" s="125" t="s">
        <v>186</v>
      </c>
      <c r="D212" s="137">
        <v>1200</v>
      </c>
      <c r="E212" s="137">
        <v>447.09230000000002</v>
      </c>
      <c r="F212" s="125">
        <f t="shared" si="6"/>
        <v>536510.76</v>
      </c>
      <c r="G212" s="125">
        <v>209239.19639999999</v>
      </c>
      <c r="H212" s="9" t="s">
        <v>69</v>
      </c>
      <c r="I212" s="51"/>
      <c r="J212" s="18"/>
      <c r="K212" s="19"/>
      <c r="L212" s="19"/>
      <c r="M212" s="19"/>
      <c r="N212" s="20"/>
      <c r="O212" s="65"/>
      <c r="P212" s="178"/>
      <c r="Q212" s="14"/>
      <c r="S212" s="65"/>
      <c r="T212" s="178"/>
    </row>
    <row r="213" spans="1:20" ht="29.25" thickBot="1" x14ac:dyDescent="0.5">
      <c r="B213" s="182" t="s">
        <v>187</v>
      </c>
      <c r="C213" s="126" t="s">
        <v>188</v>
      </c>
      <c r="D213" s="138">
        <v>1800</v>
      </c>
      <c r="E213" s="138">
        <v>490.53449999999998</v>
      </c>
      <c r="F213" s="126">
        <f t="shared" si="6"/>
        <v>882962.1</v>
      </c>
      <c r="G213" s="126">
        <v>344355.21899999998</v>
      </c>
      <c r="H213" s="207" t="s">
        <v>69</v>
      </c>
      <c r="I213" s="53"/>
      <c r="J213" s="58"/>
      <c r="K213" s="59"/>
      <c r="L213" s="59"/>
      <c r="M213" s="59"/>
      <c r="N213" s="60"/>
      <c r="O213" s="218"/>
      <c r="P213" s="230"/>
      <c r="S213" s="218"/>
      <c r="T213" s="230"/>
    </row>
    <row r="214" spans="1:20" ht="29.1" customHeight="1" thickBot="1" x14ac:dyDescent="0.5">
      <c r="B214" s="265" t="s">
        <v>94</v>
      </c>
      <c r="C214" s="266"/>
      <c r="D214" s="266"/>
      <c r="E214" s="267"/>
      <c r="F214" s="115">
        <f>SUM(F203:F213)</f>
        <v>13741327.766266</v>
      </c>
      <c r="G214" s="133"/>
      <c r="H214" s="179"/>
      <c r="I214" s="5"/>
      <c r="J214" s="105"/>
      <c r="K214" s="106"/>
      <c r="L214" s="106"/>
      <c r="M214" s="106"/>
      <c r="N214" s="107"/>
      <c r="O214" s="48"/>
      <c r="P214" s="180"/>
      <c r="S214" s="48"/>
      <c r="T214" s="180"/>
    </row>
    <row r="215" spans="1:20" ht="29.25" thickBot="1" x14ac:dyDescent="0.5">
      <c r="B215" s="84" t="s">
        <v>275</v>
      </c>
      <c r="C215" s="219"/>
      <c r="D215" s="133"/>
      <c r="E215" s="133"/>
      <c r="F215" s="133"/>
      <c r="G215" s="134"/>
      <c r="H215" s="1"/>
      <c r="I215" s="231" t="s">
        <v>276</v>
      </c>
      <c r="J215" s="232">
        <v>-6.4939040000000003E-2</v>
      </c>
      <c r="K215" s="233">
        <v>-2.029659E-2</v>
      </c>
      <c r="L215" s="233">
        <v>-9.77383E-2</v>
      </c>
      <c r="M215" s="233">
        <v>-6.0222059000000001E-2</v>
      </c>
      <c r="N215" s="234">
        <v>-5.9117059999999999E-2</v>
      </c>
      <c r="O215" s="235">
        <f>(3/10)*K215+(3/10)*M215+(2/10)*N215+(1/10)*J215+(1/10)*L215</f>
        <v>-5.2246740700000002E-2</v>
      </c>
      <c r="P215" s="236">
        <f>$F$214*O215</f>
        <v>-717939.58867780992</v>
      </c>
      <c r="S215" s="92">
        <f>AVERAGE(J215:N215)</f>
        <v>-6.0462609799999997E-2</v>
      </c>
      <c r="T215" s="119">
        <f>F214*S215</f>
        <v>-830836.5388656467</v>
      </c>
    </row>
    <row r="216" spans="1:20" x14ac:dyDescent="0.45">
      <c r="B216" s="272" t="s">
        <v>86</v>
      </c>
      <c r="C216" s="273"/>
      <c r="D216" s="273"/>
      <c r="E216" s="301"/>
      <c r="F216" s="276">
        <f>F214</f>
        <v>13741327.766266</v>
      </c>
    </row>
    <row r="217" spans="1:20" ht="29.25" thickBot="1" x14ac:dyDescent="0.5">
      <c r="B217" s="274"/>
      <c r="C217" s="275"/>
      <c r="D217" s="275"/>
      <c r="E217" s="302"/>
      <c r="F217" s="277"/>
    </row>
    <row r="218" spans="1:20" ht="16.5" customHeight="1" x14ac:dyDescent="0.45">
      <c r="M218" s="311" t="s">
        <v>91</v>
      </c>
      <c r="N218" s="312"/>
      <c r="O218" s="243">
        <f>SUM(P203:P215)</f>
        <v>-717939.58867780992</v>
      </c>
      <c r="P218" s="244"/>
      <c r="S218" s="243">
        <f>SUM(T213:T215)</f>
        <v>-830836.5388656467</v>
      </c>
      <c r="T218" s="244"/>
    </row>
    <row r="219" spans="1:20" ht="16.5" customHeight="1" x14ac:dyDescent="0.45">
      <c r="M219" s="313"/>
      <c r="N219" s="314"/>
      <c r="O219" s="245"/>
      <c r="P219" s="246"/>
      <c r="S219" s="245"/>
      <c r="T219" s="246"/>
    </row>
    <row r="220" spans="1:20" ht="16.5" customHeight="1" thickBot="1" x14ac:dyDescent="0.5">
      <c r="M220" s="315"/>
      <c r="N220" s="316"/>
      <c r="O220" s="247"/>
      <c r="P220" s="248"/>
      <c r="S220" s="247"/>
      <c r="T220" s="248"/>
    </row>
    <row r="221" spans="1:20" ht="16.5" customHeight="1" x14ac:dyDescent="0.45">
      <c r="M221" s="317" t="s">
        <v>92</v>
      </c>
      <c r="N221" s="318"/>
      <c r="O221" s="249">
        <f>O218/F216</f>
        <v>-5.2246740700000002E-2</v>
      </c>
      <c r="P221" s="250"/>
      <c r="S221" s="249">
        <f>S218/$F$216</f>
        <v>-6.0462609799999997E-2</v>
      </c>
      <c r="T221" s="250"/>
    </row>
    <row r="222" spans="1:20" ht="16.5" customHeight="1" x14ac:dyDescent="0.45">
      <c r="M222" s="319"/>
      <c r="N222" s="320"/>
      <c r="O222" s="251"/>
      <c r="P222" s="252"/>
      <c r="S222" s="251"/>
      <c r="T222" s="252"/>
    </row>
    <row r="223" spans="1:20" ht="16.5" customHeight="1" thickBot="1" x14ac:dyDescent="0.5">
      <c r="M223" s="321"/>
      <c r="N223" s="322"/>
      <c r="O223" s="253"/>
      <c r="P223" s="254"/>
      <c r="S223" s="253"/>
      <c r="T223" s="254"/>
    </row>
    <row r="224" spans="1:20" ht="16.5" customHeight="1" x14ac:dyDescent="0.45">
      <c r="M224" s="323" t="s">
        <v>93</v>
      </c>
      <c r="N224" s="324"/>
      <c r="O224" s="329">
        <f>-(SUM(G203:G213)/SUM(F203:F213))</f>
        <v>-0.39446706250255464</v>
      </c>
      <c r="P224" s="330"/>
      <c r="S224"/>
    </row>
    <row r="225" spans="13:19" ht="16.5" customHeight="1" x14ac:dyDescent="0.45">
      <c r="M225" s="325"/>
      <c r="N225" s="326"/>
      <c r="O225" s="331"/>
      <c r="P225" s="332"/>
      <c r="S225"/>
    </row>
    <row r="226" spans="13:19" ht="16.5" customHeight="1" thickBot="1" x14ac:dyDescent="0.5">
      <c r="M226" s="327"/>
      <c r="N226" s="328"/>
      <c r="O226" s="333"/>
      <c r="P226" s="334"/>
      <c r="S226"/>
    </row>
    <row r="227" spans="13:19" ht="16.5" customHeight="1" x14ac:dyDescent="0.45">
      <c r="S227"/>
    </row>
    <row r="228" spans="13:19" ht="16.5" customHeight="1" thickBot="1" x14ac:dyDescent="0.5">
      <c r="S228"/>
    </row>
    <row r="229" spans="13:19" ht="16.5" customHeight="1" x14ac:dyDescent="0.45">
      <c r="M229" s="338" t="s">
        <v>121</v>
      </c>
      <c r="N229" s="339"/>
      <c r="O229" s="344">
        <v>-0.05</v>
      </c>
      <c r="P229" s="345"/>
      <c r="S229"/>
    </row>
    <row r="230" spans="13:19" ht="16.5" customHeight="1" x14ac:dyDescent="0.45">
      <c r="M230" s="340"/>
      <c r="N230" s="341"/>
      <c r="O230" s="346"/>
      <c r="P230" s="347"/>
      <c r="S230"/>
    </row>
    <row r="231" spans="13:19" ht="16.5" customHeight="1" x14ac:dyDescent="0.45">
      <c r="M231" s="340"/>
      <c r="N231" s="341"/>
      <c r="O231" s="346"/>
      <c r="P231" s="347"/>
      <c r="S231"/>
    </row>
    <row r="232" spans="13:19" ht="16.5" customHeight="1" thickBot="1" x14ac:dyDescent="0.5">
      <c r="M232" s="342"/>
      <c r="N232" s="343"/>
      <c r="O232" s="348"/>
      <c r="P232" s="349"/>
      <c r="S232"/>
    </row>
    <row r="233" spans="13:19" ht="16.5" customHeight="1" x14ac:dyDescent="0.45"/>
    <row r="241" spans="1:20" x14ac:dyDescent="0.25">
      <c r="A241" s="171" t="s">
        <v>192</v>
      </c>
    </row>
    <row r="243" spans="1:20" ht="29.25" thickBot="1" x14ac:dyDescent="0.5"/>
    <row r="244" spans="1:20" x14ac:dyDescent="0.45">
      <c r="B244" s="303" t="s">
        <v>77</v>
      </c>
      <c r="C244" s="304"/>
      <c r="D244" s="304"/>
      <c r="E244" s="304"/>
      <c r="F244" s="304"/>
      <c r="G244" s="304"/>
      <c r="H244" s="304"/>
      <c r="I244" s="305"/>
      <c r="J244" s="289" t="s">
        <v>95</v>
      </c>
      <c r="K244" s="290"/>
      <c r="L244" s="290"/>
      <c r="M244" s="290"/>
      <c r="N244" s="291"/>
      <c r="O244" s="237" t="s">
        <v>90</v>
      </c>
      <c r="P244" s="238"/>
      <c r="S244" s="237" t="s">
        <v>277</v>
      </c>
      <c r="T244" s="238"/>
    </row>
    <row r="245" spans="1:20" x14ac:dyDescent="0.45">
      <c r="B245" s="306"/>
      <c r="C245" s="307"/>
      <c r="D245" s="307"/>
      <c r="E245" s="307"/>
      <c r="F245" s="307"/>
      <c r="G245" s="307"/>
      <c r="H245" s="307"/>
      <c r="I245" s="308"/>
      <c r="J245" s="292"/>
      <c r="K245" s="293"/>
      <c r="L245" s="293"/>
      <c r="M245" s="293"/>
      <c r="N245" s="294"/>
      <c r="O245" s="239"/>
      <c r="P245" s="240"/>
      <c r="S245" s="239"/>
      <c r="T245" s="240"/>
    </row>
    <row r="246" spans="1:20" ht="29.25" thickBot="1" x14ac:dyDescent="0.5">
      <c r="B246" s="165"/>
      <c r="C246" s="166"/>
      <c r="D246" s="166"/>
      <c r="E246" s="166"/>
      <c r="F246" s="309" t="s">
        <v>81</v>
      </c>
      <c r="G246" s="309"/>
      <c r="H246" s="309"/>
      <c r="I246" s="310"/>
      <c r="J246" s="295"/>
      <c r="K246" s="296"/>
      <c r="L246" s="296"/>
      <c r="M246" s="296"/>
      <c r="N246" s="297"/>
      <c r="O246" s="241"/>
      <c r="P246" s="242"/>
      <c r="S246" s="241"/>
      <c r="T246" s="242"/>
    </row>
    <row r="247" spans="1:20" ht="49.5" customHeight="1" thickBot="1" x14ac:dyDescent="0.5">
      <c r="B247" s="167" t="s">
        <v>1</v>
      </c>
      <c r="C247" s="36" t="s">
        <v>67</v>
      </c>
      <c r="D247" s="37" t="s">
        <v>64</v>
      </c>
      <c r="E247" s="37" t="s">
        <v>270</v>
      </c>
      <c r="F247" s="38" t="s">
        <v>274</v>
      </c>
      <c r="G247" s="38" t="s">
        <v>65</v>
      </c>
      <c r="H247" s="37" t="s">
        <v>88</v>
      </c>
      <c r="I247" s="39" t="s">
        <v>66</v>
      </c>
      <c r="J247" s="40" t="s">
        <v>75</v>
      </c>
      <c r="K247" s="41" t="s">
        <v>78</v>
      </c>
      <c r="L247" s="42" t="s">
        <v>76</v>
      </c>
      <c r="M247" s="43" t="s">
        <v>79</v>
      </c>
      <c r="N247" s="44" t="s">
        <v>80</v>
      </c>
      <c r="O247" s="45" t="s">
        <v>87</v>
      </c>
      <c r="P247" s="46" t="s">
        <v>89</v>
      </c>
      <c r="S247" s="45" t="s">
        <v>278</v>
      </c>
      <c r="T247" s="46" t="s">
        <v>89</v>
      </c>
    </row>
    <row r="248" spans="1:20" x14ac:dyDescent="0.25">
      <c r="A248" s="173"/>
      <c r="B248" s="10" t="s">
        <v>193</v>
      </c>
      <c r="C248" s="116" t="s">
        <v>194</v>
      </c>
      <c r="D248" s="214"/>
      <c r="E248" s="214"/>
      <c r="F248" s="116">
        <v>9369091.0273972619</v>
      </c>
      <c r="G248" s="116">
        <v>1259902.5949643489</v>
      </c>
      <c r="H248" s="11" t="s">
        <v>68</v>
      </c>
      <c r="I248" s="27">
        <v>748</v>
      </c>
      <c r="J248" s="30">
        <v>-0.218505</v>
      </c>
      <c r="K248" s="23">
        <v>-0.16153819999999999</v>
      </c>
      <c r="L248" s="23">
        <v>-0.21571750000000001</v>
      </c>
      <c r="M248" s="23">
        <v>-0.19893420000000001</v>
      </c>
      <c r="N248" s="12">
        <v>-0.1720293</v>
      </c>
      <c r="O248" s="72">
        <f>(3/10)*K248+(3/10)*M248+(2/10)*N248+(1/10)*J248+(1/10)*L248</f>
        <v>-0.18596983</v>
      </c>
      <c r="P248" s="71">
        <f t="shared" ref="P248:P265" si="7">O248*F248</f>
        <v>-1742368.2656195941</v>
      </c>
      <c r="Q248" s="14"/>
      <c r="S248" s="72">
        <f>AVERAGE(J248:N248)</f>
        <v>-0.19334484000000002</v>
      </c>
      <c r="T248" s="71">
        <f>S248*F248</f>
        <v>-1811465.4056375595</v>
      </c>
    </row>
    <row r="249" spans="1:20" ht="30" x14ac:dyDescent="0.25">
      <c r="A249" s="173"/>
      <c r="B249" s="10" t="s">
        <v>195</v>
      </c>
      <c r="C249" s="116" t="s">
        <v>196</v>
      </c>
      <c r="D249" s="214"/>
      <c r="E249" s="214"/>
      <c r="F249" s="116">
        <v>2404826.57967025</v>
      </c>
      <c r="G249" s="116">
        <v>555570.41900500271</v>
      </c>
      <c r="H249" s="11" t="s">
        <v>85</v>
      </c>
      <c r="I249" s="27">
        <v>839</v>
      </c>
      <c r="J249" s="30">
        <v>-0.24082410000000001</v>
      </c>
      <c r="K249" s="23">
        <v>-0.1583349</v>
      </c>
      <c r="L249" s="23">
        <v>-0.23925640000000001</v>
      </c>
      <c r="M249" s="25"/>
      <c r="N249" s="25"/>
      <c r="O249" s="72">
        <f>((6/10)*K249+(2/10)*(J249+L249))</f>
        <v>-0.19101704</v>
      </c>
      <c r="P249" s="71">
        <f t="shared" si="7"/>
        <v>-459362.85496193531</v>
      </c>
      <c r="Q249" s="14"/>
      <c r="S249" s="72">
        <f t="shared" ref="S249:S251" si="8">AVERAGE(J249:N249)</f>
        <v>-0.21280513333333337</v>
      </c>
      <c r="T249" s="71">
        <f t="shared" ref="T249:T251" si="9">S249*F249</f>
        <v>-511759.44093027158</v>
      </c>
    </row>
    <row r="250" spans="1:20" x14ac:dyDescent="0.25">
      <c r="A250" s="173"/>
      <c r="B250" s="10" t="s">
        <v>197</v>
      </c>
      <c r="C250" s="116" t="s">
        <v>198</v>
      </c>
      <c r="D250" s="214"/>
      <c r="E250" s="214"/>
      <c r="F250" s="116">
        <v>9882030.054794522</v>
      </c>
      <c r="G250" s="116">
        <v>913443.75769133912</v>
      </c>
      <c r="H250" s="15" t="s">
        <v>68</v>
      </c>
      <c r="I250" s="27">
        <v>1505</v>
      </c>
      <c r="J250" s="30">
        <v>-0.1213659</v>
      </c>
      <c r="K250" s="23">
        <v>-0.1064933</v>
      </c>
      <c r="L250" s="23">
        <v>-0.1192486</v>
      </c>
      <c r="M250" s="23">
        <v>-0.10811080000000001</v>
      </c>
      <c r="N250" s="12">
        <v>-6.0898319999999999E-2</v>
      </c>
      <c r="O250" s="72">
        <f>(3/10)*K250+(3/10)*M250+(2/10)*N250+(1/10)*J250+(1/10)*L250</f>
        <v>-0.10062234399999999</v>
      </c>
      <c r="P250" s="71">
        <f t="shared" si="7"/>
        <v>-994353.02759187308</v>
      </c>
      <c r="Q250" s="14"/>
      <c r="S250" s="72">
        <f t="shared" si="8"/>
        <v>-0.103223384</v>
      </c>
      <c r="T250" s="71">
        <f t="shared" si="9"/>
        <v>-1020056.583045596</v>
      </c>
    </row>
    <row r="251" spans="1:20" ht="30" x14ac:dyDescent="0.25">
      <c r="A251" s="173"/>
      <c r="B251" s="189" t="s">
        <v>199</v>
      </c>
      <c r="C251" s="116" t="s">
        <v>200</v>
      </c>
      <c r="D251" s="214"/>
      <c r="E251" s="214"/>
      <c r="F251" s="116">
        <v>1073778.204043291</v>
      </c>
      <c r="G251" s="116">
        <v>271356.44223481871</v>
      </c>
      <c r="H251" s="188" t="s">
        <v>223</v>
      </c>
      <c r="I251" s="27">
        <v>1486</v>
      </c>
      <c r="J251" s="183">
        <v>-0.68070120000000001</v>
      </c>
      <c r="K251" s="184">
        <v>-0.63805690000000004</v>
      </c>
      <c r="L251" s="184">
        <v>-0.66717629000000001</v>
      </c>
      <c r="M251" s="184">
        <v>-0.6166509</v>
      </c>
      <c r="N251" s="185">
        <v>-0.8365089</v>
      </c>
      <c r="O251" s="186">
        <f t="shared" ref="O251:O258" si="10">(3/10)*K251+(3/10)*M251+(2/10)*N251+(1/10)*J251+(1/10)*L251</f>
        <v>-0.67850186899999998</v>
      </c>
      <c r="P251" s="187">
        <f t="shared" si="7"/>
        <v>-728560.51833483635</v>
      </c>
      <c r="Q251" s="14"/>
      <c r="S251" s="186">
        <f t="shared" si="8"/>
        <v>-0.6878188380000001</v>
      </c>
      <c r="T251" s="187">
        <f t="shared" si="9"/>
        <v>-738564.87657478347</v>
      </c>
    </row>
    <row r="252" spans="1:20" x14ac:dyDescent="0.25">
      <c r="A252" s="173"/>
      <c r="B252" s="10" t="s">
        <v>201</v>
      </c>
      <c r="C252" s="116" t="s">
        <v>202</v>
      </c>
      <c r="D252" s="127">
        <v>2842</v>
      </c>
      <c r="E252" s="127">
        <v>10378.629999999999</v>
      </c>
      <c r="F252" s="116">
        <v>29496066.460000001</v>
      </c>
      <c r="G252" s="116">
        <v>1684425.3550700049</v>
      </c>
      <c r="H252" s="11" t="s">
        <v>68</v>
      </c>
      <c r="I252" s="27">
        <v>1235</v>
      </c>
      <c r="J252" s="32">
        <v>-6.6013219999999997E-2</v>
      </c>
      <c r="K252" s="24">
        <v>-5.0310229999999997E-2</v>
      </c>
      <c r="L252" s="24">
        <v>-6.6398789999999999E-2</v>
      </c>
      <c r="M252" s="24">
        <v>-6.7963339999999997E-2</v>
      </c>
      <c r="N252" s="16">
        <v>-3.553191E-2</v>
      </c>
      <c r="O252" s="72">
        <f t="shared" si="10"/>
        <v>-5.5829653999999999E-2</v>
      </c>
      <c r="P252" s="71">
        <f t="shared" si="7"/>
        <v>-1646755.1848228048</v>
      </c>
      <c r="Q252" s="14"/>
      <c r="S252" s="72">
        <f t="shared" ref="S252" si="11">AVERAGE(J252:N252)</f>
        <v>-5.724349799999999E-2</v>
      </c>
      <c r="T252" s="71">
        <f t="shared" ref="T252" si="12">S252*F252</f>
        <v>-1688458.0214108769</v>
      </c>
    </row>
    <row r="253" spans="1:20" x14ac:dyDescent="0.25">
      <c r="A253" s="173"/>
      <c r="B253" s="10" t="s">
        <v>203</v>
      </c>
      <c r="C253" s="116" t="s">
        <v>204</v>
      </c>
      <c r="D253" s="127">
        <v>28000</v>
      </c>
      <c r="E253" s="127">
        <v>37.414999999999999</v>
      </c>
      <c r="F253" s="116">
        <v>1047620</v>
      </c>
      <c r="G253" s="116">
        <v>0</v>
      </c>
      <c r="H253" s="15" t="s">
        <v>68</v>
      </c>
      <c r="I253" s="27">
        <v>1314</v>
      </c>
      <c r="J253" s="32">
        <v>-0.2027448</v>
      </c>
      <c r="K253" s="24">
        <v>-0.1766528</v>
      </c>
      <c r="L253" s="24">
        <v>-0.20317950000000001</v>
      </c>
      <c r="M253" s="24">
        <v>-0.2018499</v>
      </c>
      <c r="N253" s="16">
        <v>-0.33791330000000003</v>
      </c>
      <c r="O253" s="72">
        <f t="shared" si="10"/>
        <v>-0.22172590000000003</v>
      </c>
      <c r="P253" s="71">
        <f t="shared" si="7"/>
        <v>-232284.48735800004</v>
      </c>
      <c r="Q253" s="14"/>
      <c r="S253" s="72">
        <f t="shared" ref="S253:S265" si="13">AVERAGE(J253:N253)</f>
        <v>-0.22446806000000002</v>
      </c>
      <c r="T253" s="71">
        <f t="shared" ref="T253:T265" si="14">S253*F253</f>
        <v>-235157.22901720004</v>
      </c>
    </row>
    <row r="254" spans="1:20" x14ac:dyDescent="0.25">
      <c r="A254" s="173"/>
      <c r="B254" s="10" t="s">
        <v>205</v>
      </c>
      <c r="C254" s="116" t="s">
        <v>206</v>
      </c>
      <c r="D254" s="214"/>
      <c r="E254" s="214"/>
      <c r="F254" s="116">
        <v>2504893.4931507502</v>
      </c>
      <c r="G254" s="116">
        <v>165347.83205929701</v>
      </c>
      <c r="H254" s="15" t="s">
        <v>68</v>
      </c>
      <c r="I254" s="27">
        <v>1014</v>
      </c>
      <c r="J254" s="32">
        <v>-0.1059539</v>
      </c>
      <c r="K254" s="24">
        <v>-8.1672739999999994E-2</v>
      </c>
      <c r="L254" s="24">
        <v>-0.1044331</v>
      </c>
      <c r="M254" s="24">
        <v>-9.6759349999999994E-2</v>
      </c>
      <c r="N254" s="16">
        <v>-2.9836890000000001E-2</v>
      </c>
      <c r="O254" s="72">
        <f t="shared" si="10"/>
        <v>-8.0535704999999999E-2</v>
      </c>
      <c r="P254" s="71">
        <f t="shared" si="7"/>
        <v>-201733.36342080834</v>
      </c>
      <c r="Q254" s="14"/>
      <c r="S254" s="72">
        <f t="shared" si="13"/>
        <v>-8.3731196000000008E-2</v>
      </c>
      <c r="T254" s="71">
        <f t="shared" si="14"/>
        <v>-209737.72803413015</v>
      </c>
    </row>
    <row r="255" spans="1:20" x14ac:dyDescent="0.25">
      <c r="A255" s="173"/>
      <c r="B255" s="10" t="s">
        <v>207</v>
      </c>
      <c r="C255" s="116" t="s">
        <v>208</v>
      </c>
      <c r="D255" s="127">
        <v>1332.0309999999999</v>
      </c>
      <c r="E255" s="127">
        <v>1811</v>
      </c>
      <c r="F255" s="116">
        <v>2412308.1409999998</v>
      </c>
      <c r="G255" s="116">
        <v>940800.17498999997</v>
      </c>
      <c r="H255" s="15" t="s">
        <v>68</v>
      </c>
      <c r="I255" s="27">
        <v>495</v>
      </c>
      <c r="J255" s="32">
        <v>-0.2197916</v>
      </c>
      <c r="K255" s="24">
        <v>-0.21234049999999999</v>
      </c>
      <c r="L255" s="24">
        <v>-0.21260780000000001</v>
      </c>
      <c r="M255" s="24">
        <v>-0.22122130000000001</v>
      </c>
      <c r="N255" s="16">
        <v>-0.15082419999999999</v>
      </c>
      <c r="O255" s="72">
        <f t="shared" si="10"/>
        <v>-0.20347332000000001</v>
      </c>
      <c r="P255" s="71">
        <f t="shared" si="7"/>
        <v>-490840.34631229809</v>
      </c>
      <c r="Q255" s="14"/>
      <c r="S255" s="72">
        <f t="shared" si="13"/>
        <v>-0.20335708000000002</v>
      </c>
      <c r="T255" s="71">
        <f t="shared" si="14"/>
        <v>-490559.93961398827</v>
      </c>
    </row>
    <row r="256" spans="1:20" x14ac:dyDescent="0.25">
      <c r="A256" s="173"/>
      <c r="B256" s="10" t="s">
        <v>209</v>
      </c>
      <c r="C256" s="116" t="s">
        <v>210</v>
      </c>
      <c r="D256" s="127">
        <v>9242</v>
      </c>
      <c r="E256" s="127">
        <v>1030.45</v>
      </c>
      <c r="F256" s="116">
        <v>9523418.9000000004</v>
      </c>
      <c r="G256" s="116">
        <v>398165.76718954078</v>
      </c>
      <c r="H256" s="15" t="s">
        <v>68</v>
      </c>
      <c r="I256" s="27">
        <v>720</v>
      </c>
      <c r="J256" s="30">
        <v>-2.4283880000000001E-2</v>
      </c>
      <c r="K256" s="23">
        <v>-2.4037019999999999E-2</v>
      </c>
      <c r="L256" s="23">
        <v>-2.3350590000000001E-2</v>
      </c>
      <c r="M256" s="24">
        <v>-2.491202E-2</v>
      </c>
      <c r="N256" s="16">
        <v>-2.3973669999999999E-2</v>
      </c>
      <c r="O256" s="72">
        <f t="shared" si="10"/>
        <v>-2.4242892999999998E-2</v>
      </c>
      <c r="P256" s="71">
        <f t="shared" si="7"/>
        <v>-230875.22538687769</v>
      </c>
      <c r="Q256" s="14"/>
      <c r="S256" s="72">
        <f t="shared" si="13"/>
        <v>-2.4111436000000003E-2</v>
      </c>
      <c r="T256" s="71">
        <f t="shared" si="14"/>
        <v>-229623.30530854044</v>
      </c>
    </row>
    <row r="257" spans="1:20" x14ac:dyDescent="0.25">
      <c r="A257" s="173"/>
      <c r="B257" s="10" t="s">
        <v>211</v>
      </c>
      <c r="C257" s="116" t="s">
        <v>212</v>
      </c>
      <c r="D257" s="214"/>
      <c r="E257" s="214"/>
      <c r="F257" s="116">
        <v>5260855.3972602757</v>
      </c>
      <c r="G257" s="116">
        <v>246386.32847761139</v>
      </c>
      <c r="H257" s="15" t="s">
        <v>68</v>
      </c>
      <c r="I257" s="27">
        <v>767</v>
      </c>
      <c r="J257" s="30">
        <v>-6.8838590000000005E-2</v>
      </c>
      <c r="K257" s="23">
        <v>-5.1903610000000003E-2</v>
      </c>
      <c r="L257" s="23">
        <v>-6.6694169999999997E-2</v>
      </c>
      <c r="M257" s="24">
        <v>-6.7912990000000006E-2</v>
      </c>
      <c r="N257" s="16">
        <v>-2.5187009999999999E-2</v>
      </c>
      <c r="O257" s="72">
        <f t="shared" si="10"/>
        <v>-5.4535658000000001E-2</v>
      </c>
      <c r="P257" s="71">
        <f t="shared" si="7"/>
        <v>-286904.21073244052</v>
      </c>
      <c r="Q257" s="14"/>
      <c r="S257" s="72">
        <f t="shared" si="13"/>
        <v>-5.6107274000000006E-2</v>
      </c>
      <c r="T257" s="71">
        <f t="shared" si="14"/>
        <v>-295172.25524846115</v>
      </c>
    </row>
    <row r="258" spans="1:20" x14ac:dyDescent="0.25">
      <c r="A258" s="173"/>
      <c r="B258" s="10" t="s">
        <v>213</v>
      </c>
      <c r="C258" s="116" t="s">
        <v>214</v>
      </c>
      <c r="D258" s="127">
        <v>4132</v>
      </c>
      <c r="E258" s="127">
        <v>81.165000000000006</v>
      </c>
      <c r="F258" s="116">
        <v>3365300.2837778698</v>
      </c>
      <c r="G258" s="116">
        <v>2019686.0674970639</v>
      </c>
      <c r="H258" s="11" t="s">
        <v>68</v>
      </c>
      <c r="I258" s="28">
        <v>1231</v>
      </c>
      <c r="J258" s="30">
        <v>-0.265681</v>
      </c>
      <c r="K258" s="23">
        <v>-0.13748389999999999</v>
      </c>
      <c r="L258" s="23">
        <v>-0.263179</v>
      </c>
      <c r="M258" s="24">
        <v>-0.17176369999999999</v>
      </c>
      <c r="N258" s="16">
        <v>-0.1019217</v>
      </c>
      <c r="O258" s="72">
        <f t="shared" si="10"/>
        <v>-0.16604462</v>
      </c>
      <c r="P258" s="71">
        <f t="shared" si="7"/>
        <v>-558790.00680578861</v>
      </c>
      <c r="Q258" s="14"/>
      <c r="S258" s="72">
        <f t="shared" si="13"/>
        <v>-0.18800586</v>
      </c>
      <c r="T258" s="71">
        <f t="shared" si="14"/>
        <v>-632696.1740099024</v>
      </c>
    </row>
    <row r="259" spans="1:20" x14ac:dyDescent="0.25">
      <c r="A259" s="173"/>
      <c r="B259" s="10" t="s">
        <v>215</v>
      </c>
      <c r="C259" s="116" t="s">
        <v>216</v>
      </c>
      <c r="D259" s="127">
        <v>6400</v>
      </c>
      <c r="E259" s="127">
        <v>95.218000000000004</v>
      </c>
      <c r="F259" s="116">
        <v>6155387.79178112</v>
      </c>
      <c r="G259" s="116">
        <v>289752.87875286402</v>
      </c>
      <c r="H259" s="11" t="s">
        <v>68</v>
      </c>
      <c r="I259" s="27">
        <v>1287</v>
      </c>
      <c r="J259" s="30">
        <v>-0.1042969</v>
      </c>
      <c r="K259" s="23">
        <v>-7.7085219999999996E-2</v>
      </c>
      <c r="L259" s="23">
        <v>-0.10265829999999999</v>
      </c>
      <c r="M259" s="24">
        <v>-9.7312469999999998E-2</v>
      </c>
      <c r="N259" s="16">
        <v>-6.2082030000000003E-2</v>
      </c>
      <c r="O259" s="72">
        <f>K259</f>
        <v>-7.7085219999999996E-2</v>
      </c>
      <c r="P259" s="71">
        <f t="shared" si="7"/>
        <v>-474489.42211476178</v>
      </c>
      <c r="Q259" s="14"/>
      <c r="S259" s="72">
        <f t="shared" si="13"/>
        <v>-8.8686983999999996E-2</v>
      </c>
      <c r="T259" s="71">
        <f t="shared" si="14"/>
        <v>-545902.77860348753</v>
      </c>
    </row>
    <row r="260" spans="1:20" x14ac:dyDescent="0.25">
      <c r="A260" s="173"/>
      <c r="B260" s="10" t="s">
        <v>217</v>
      </c>
      <c r="C260" s="116" t="s">
        <v>218</v>
      </c>
      <c r="D260" s="127">
        <v>9.6578799999988405</v>
      </c>
      <c r="E260" s="127">
        <v>95.26</v>
      </c>
      <c r="F260" s="116">
        <v>920.00964879991022</v>
      </c>
      <c r="G260" s="116">
        <v>138.00144731998651</v>
      </c>
      <c r="H260" s="15" t="s">
        <v>68</v>
      </c>
      <c r="I260" s="27">
        <v>1523</v>
      </c>
      <c r="J260" s="30">
        <v>-5.9140600000000002E-2</v>
      </c>
      <c r="K260" s="23">
        <v>-4.6646529999999999E-2</v>
      </c>
      <c r="L260" s="23">
        <v>-5.8650720000000003E-2</v>
      </c>
      <c r="M260" s="24">
        <v>-6.0102139999999998E-2</v>
      </c>
      <c r="N260" s="16">
        <v>-6.9543419999999995E-2</v>
      </c>
      <c r="O260" s="72">
        <f t="shared" ref="O260:O265" si="15">(3/10)*K260+(3/10)*M260+(2/10)*N260+(1/10)*J260+(1/10)*L260</f>
        <v>-5.7712416999999995E-2</v>
      </c>
      <c r="P260" s="71">
        <f t="shared" si="7"/>
        <v>-53.095980495563964</v>
      </c>
      <c r="Q260" s="14"/>
      <c r="S260" s="72">
        <f t="shared" si="13"/>
        <v>-5.8816681999999995E-2</v>
      </c>
      <c r="T260" s="71">
        <f t="shared" si="14"/>
        <v>-54.111914950395999</v>
      </c>
    </row>
    <row r="261" spans="1:20" x14ac:dyDescent="0.25">
      <c r="A261" s="173"/>
      <c r="B261" s="10" t="s">
        <v>219</v>
      </c>
      <c r="C261" s="116" t="s">
        <v>220</v>
      </c>
      <c r="D261" s="127">
        <v>0.27683999999999997</v>
      </c>
      <c r="E261" s="127">
        <v>1102507.6000000001</v>
      </c>
      <c r="F261" s="116">
        <v>305218.20398400002</v>
      </c>
      <c r="G261" s="116">
        <v>42135.590612436768</v>
      </c>
      <c r="H261" s="15" t="s">
        <v>82</v>
      </c>
      <c r="I261" s="27">
        <v>455</v>
      </c>
      <c r="J261" s="30">
        <v>-8.2784120000000003E-2</v>
      </c>
      <c r="K261" s="23">
        <v>-7.943973E-2</v>
      </c>
      <c r="L261" s="23">
        <v>-8.2994170000000006E-2</v>
      </c>
      <c r="M261" s="24">
        <v>-8.1447560000000002E-2</v>
      </c>
      <c r="N261" s="16">
        <v>-0.14785889999999999</v>
      </c>
      <c r="O261" s="72">
        <f t="shared" si="15"/>
        <v>-9.441579600000001E-2</v>
      </c>
      <c r="P261" s="71">
        <f t="shared" si="7"/>
        <v>-28817.419682839736</v>
      </c>
      <c r="Q261" s="14"/>
      <c r="S261" s="72">
        <f t="shared" si="13"/>
        <v>-9.4904896000000002E-2</v>
      </c>
      <c r="T261" s="71">
        <f t="shared" si="14"/>
        <v>-28966.701906408307</v>
      </c>
    </row>
    <row r="262" spans="1:20" x14ac:dyDescent="0.25">
      <c r="A262" s="173"/>
      <c r="B262" s="10" t="s">
        <v>221</v>
      </c>
      <c r="C262" s="116" t="s">
        <v>222</v>
      </c>
      <c r="D262" s="127">
        <v>116.1897</v>
      </c>
      <c r="E262" s="127">
        <v>187.94</v>
      </c>
      <c r="F262" s="116">
        <v>21836.692218</v>
      </c>
      <c r="G262" s="116">
        <v>8516.3099650200002</v>
      </c>
      <c r="H262" s="15" t="s">
        <v>68</v>
      </c>
      <c r="I262" s="27">
        <v>5014</v>
      </c>
      <c r="J262" s="30">
        <v>-1.248968E-3</v>
      </c>
      <c r="K262" s="23">
        <v>-8.3475270000000004E-4</v>
      </c>
      <c r="L262" s="23">
        <v>-1.966237E-3</v>
      </c>
      <c r="M262" s="24">
        <v>-7.0145769999999997E-4</v>
      </c>
      <c r="N262" s="16">
        <v>-1.894143E-3</v>
      </c>
      <c r="O262" s="72">
        <f t="shared" si="15"/>
        <v>-1.16121222E-3</v>
      </c>
      <c r="P262" s="71">
        <f t="shared" si="7"/>
        <v>-25.357033847920505</v>
      </c>
      <c r="Q262" s="14"/>
      <c r="S262" s="72">
        <f t="shared" si="13"/>
        <v>-1.3291116800000001E-3</v>
      </c>
      <c r="T262" s="71">
        <f t="shared" si="14"/>
        <v>-29.023402679508909</v>
      </c>
    </row>
    <row r="263" spans="1:20" x14ac:dyDescent="0.25">
      <c r="A263" s="173"/>
      <c r="B263" s="10" t="s">
        <v>44</v>
      </c>
      <c r="C263" s="116" t="s">
        <v>45</v>
      </c>
      <c r="D263" s="127">
        <v>2636.391248772105</v>
      </c>
      <c r="E263" s="127">
        <v>107.93</v>
      </c>
      <c r="F263" s="116">
        <v>284545.70747997332</v>
      </c>
      <c r="G263" s="116">
        <v>40923.100247155868</v>
      </c>
      <c r="H263" s="15" t="s">
        <v>68</v>
      </c>
      <c r="I263" s="27">
        <v>1973</v>
      </c>
      <c r="J263" s="30">
        <v>-0.18298819999999999</v>
      </c>
      <c r="K263" s="23">
        <v>-0.15987889999999999</v>
      </c>
      <c r="L263" s="23">
        <v>-0.1837898</v>
      </c>
      <c r="M263" s="24">
        <v>-0.16609969999999999</v>
      </c>
      <c r="N263" s="16">
        <v>-0.14580499999999999</v>
      </c>
      <c r="O263" s="72">
        <f t="shared" si="15"/>
        <v>-0.16363237999999997</v>
      </c>
      <c r="P263" s="71">
        <f t="shared" si="7"/>
        <v>-46560.89133373183</v>
      </c>
      <c r="Q263" s="14"/>
      <c r="S263" s="72">
        <f t="shared" si="13"/>
        <v>-0.16771231999999997</v>
      </c>
      <c r="T263" s="71">
        <f t="shared" si="14"/>
        <v>-47721.820747507671</v>
      </c>
    </row>
    <row r="264" spans="1:20" x14ac:dyDescent="0.25">
      <c r="A264" s="173"/>
      <c r="B264" s="10" t="s">
        <v>46</v>
      </c>
      <c r="C264" s="116" t="s">
        <v>47</v>
      </c>
      <c r="D264" s="127">
        <v>17211.556081943629</v>
      </c>
      <c r="E264" s="127">
        <v>118.64</v>
      </c>
      <c r="F264" s="116">
        <v>2041979.013561792</v>
      </c>
      <c r="G264" s="116">
        <v>293675.5314801542</v>
      </c>
      <c r="H264" s="11" t="s">
        <v>68</v>
      </c>
      <c r="I264" s="27">
        <v>1973</v>
      </c>
      <c r="J264" s="30">
        <v>-0.18228720000000001</v>
      </c>
      <c r="K264" s="23">
        <v>-0.161111</v>
      </c>
      <c r="L264" s="23">
        <v>-0.18328729999999999</v>
      </c>
      <c r="M264" s="24">
        <v>-0.16684940000000001</v>
      </c>
      <c r="N264" s="16">
        <v>-0.14571719999999999</v>
      </c>
      <c r="O264" s="72">
        <f t="shared" si="15"/>
        <v>-0.16408900999999998</v>
      </c>
      <c r="P264" s="71">
        <f t="shared" si="7"/>
        <v>-335066.31477613095</v>
      </c>
      <c r="Q264" s="14"/>
      <c r="S264" s="72">
        <f t="shared" si="13"/>
        <v>-0.16785042</v>
      </c>
      <c r="T264" s="71">
        <f t="shared" si="14"/>
        <v>-342747.03505753248</v>
      </c>
    </row>
    <row r="265" spans="1:20" ht="29.25" thickBot="1" x14ac:dyDescent="0.3">
      <c r="A265" s="173"/>
      <c r="B265" s="10" t="s">
        <v>48</v>
      </c>
      <c r="C265" s="116" t="s">
        <v>49</v>
      </c>
      <c r="D265" s="127">
        <v>20576.13850847078</v>
      </c>
      <c r="E265" s="127">
        <v>1745.06</v>
      </c>
      <c r="F265" s="116">
        <v>35906596.265592016</v>
      </c>
      <c r="G265" s="116">
        <v>5164053.4363513244</v>
      </c>
      <c r="H265" s="15" t="s">
        <v>68</v>
      </c>
      <c r="I265" s="27">
        <v>1406</v>
      </c>
      <c r="J265" s="30">
        <v>-0.182445</v>
      </c>
      <c r="K265" s="23">
        <v>-0.15305270000000001</v>
      </c>
      <c r="L265" s="23">
        <v>-0.1842482</v>
      </c>
      <c r="M265" s="24">
        <v>-0.15435450000000001</v>
      </c>
      <c r="N265" s="16">
        <v>-0.140513</v>
      </c>
      <c r="O265" s="72">
        <f t="shared" si="15"/>
        <v>-0.15699408000000001</v>
      </c>
      <c r="P265" s="71">
        <f t="shared" si="7"/>
        <v>-5637123.0466480544</v>
      </c>
      <c r="Q265" s="14"/>
      <c r="S265" s="72">
        <f t="shared" si="13"/>
        <v>-0.16292267999999999</v>
      </c>
      <c r="T265" s="71">
        <f t="shared" si="14"/>
        <v>-5849998.8932682425</v>
      </c>
    </row>
    <row r="266" spans="1:20" x14ac:dyDescent="0.45">
      <c r="B266" s="77" t="s">
        <v>50</v>
      </c>
      <c r="C266" s="120" t="s">
        <v>51</v>
      </c>
      <c r="D266" s="129">
        <v>1582.5549900000001</v>
      </c>
      <c r="E266" s="129">
        <v>6.9600000000000009</v>
      </c>
      <c r="F266" s="120">
        <v>11014.582730399999</v>
      </c>
      <c r="G266" s="120">
        <v>0</v>
      </c>
      <c r="H266" s="49" t="s">
        <v>69</v>
      </c>
      <c r="I266" s="50"/>
      <c r="J266" s="54"/>
      <c r="K266" s="55"/>
      <c r="L266" s="55"/>
      <c r="M266" s="55"/>
      <c r="N266" s="56"/>
      <c r="O266" s="73"/>
      <c r="P266" s="61"/>
      <c r="S266" s="73"/>
      <c r="T266" s="61"/>
    </row>
    <row r="267" spans="1:20" x14ac:dyDescent="0.45">
      <c r="B267" s="79" t="s">
        <v>52</v>
      </c>
      <c r="C267" s="122" t="s">
        <v>53</v>
      </c>
      <c r="D267" s="131">
        <v>3086.113355</v>
      </c>
      <c r="E267" s="131">
        <v>5.0199999999999996</v>
      </c>
      <c r="F267" s="122">
        <v>15492.289042099999</v>
      </c>
      <c r="G267" s="122">
        <v>0</v>
      </c>
      <c r="H267" s="2" t="s">
        <v>69</v>
      </c>
      <c r="I267" s="51"/>
      <c r="J267" s="18"/>
      <c r="K267" s="19"/>
      <c r="L267" s="19"/>
      <c r="M267" s="19"/>
      <c r="N267" s="20"/>
      <c r="O267" s="74"/>
      <c r="P267" s="62"/>
      <c r="S267" s="74"/>
      <c r="T267" s="62"/>
    </row>
    <row r="268" spans="1:20" x14ac:dyDescent="0.45">
      <c r="B268" s="79" t="s">
        <v>54</v>
      </c>
      <c r="C268" s="122" t="s">
        <v>55</v>
      </c>
      <c r="D268" s="131">
        <v>67.457969999999989</v>
      </c>
      <c r="E268" s="131">
        <v>19.07</v>
      </c>
      <c r="F268" s="122">
        <v>1286.4234879000001</v>
      </c>
      <c r="G268" s="122">
        <v>0</v>
      </c>
      <c r="H268" s="2" t="s">
        <v>69</v>
      </c>
      <c r="I268" s="51"/>
      <c r="J268" s="18"/>
      <c r="K268" s="19"/>
      <c r="L268" s="19"/>
      <c r="M268" s="19"/>
      <c r="N268" s="20"/>
      <c r="O268" s="74"/>
      <c r="P268" s="62"/>
      <c r="S268" s="74"/>
      <c r="T268" s="62"/>
    </row>
    <row r="269" spans="1:20" x14ac:dyDescent="0.45">
      <c r="B269" s="79" t="s">
        <v>56</v>
      </c>
      <c r="C269" s="122" t="s">
        <v>57</v>
      </c>
      <c r="D269" s="131">
        <v>5250.04457</v>
      </c>
      <c r="E269" s="131">
        <v>7.9</v>
      </c>
      <c r="F269" s="122">
        <v>41475.352102999997</v>
      </c>
      <c r="G269" s="122">
        <v>0</v>
      </c>
      <c r="H269" s="2" t="s">
        <v>69</v>
      </c>
      <c r="I269" s="51"/>
      <c r="J269" s="18"/>
      <c r="K269" s="19"/>
      <c r="L269" s="19"/>
      <c r="M269" s="19"/>
      <c r="N269" s="20"/>
      <c r="O269" s="74"/>
      <c r="P269" s="62"/>
      <c r="S269" s="74"/>
      <c r="T269" s="62"/>
    </row>
    <row r="270" spans="1:20" x14ac:dyDescent="0.45">
      <c r="B270" s="79" t="s">
        <v>58</v>
      </c>
      <c r="C270" s="122" t="s">
        <v>59</v>
      </c>
      <c r="D270" s="131">
        <v>6129.9998350000014</v>
      </c>
      <c r="E270" s="131">
        <v>4.63</v>
      </c>
      <c r="F270" s="122">
        <v>28381.899236050001</v>
      </c>
      <c r="G270" s="122">
        <v>0</v>
      </c>
      <c r="H270" s="2" t="s">
        <v>69</v>
      </c>
      <c r="I270" s="51"/>
      <c r="J270" s="18"/>
      <c r="K270" s="19"/>
      <c r="L270" s="19"/>
      <c r="M270" s="19"/>
      <c r="N270" s="20"/>
      <c r="O270" s="74"/>
      <c r="P270" s="62"/>
      <c r="S270" s="74"/>
      <c r="T270" s="62"/>
    </row>
    <row r="271" spans="1:20" x14ac:dyDescent="0.45">
      <c r="B271" s="79" t="s">
        <v>60</v>
      </c>
      <c r="C271" s="122" t="s">
        <v>61</v>
      </c>
      <c r="D271" s="131">
        <v>4019.8410250000002</v>
      </c>
      <c r="E271" s="131">
        <v>14.06</v>
      </c>
      <c r="F271" s="122">
        <v>56518.964811499987</v>
      </c>
      <c r="G271" s="122">
        <v>0</v>
      </c>
      <c r="H271" s="2" t="s">
        <v>69</v>
      </c>
      <c r="I271" s="51"/>
      <c r="J271" s="18"/>
      <c r="K271" s="19"/>
      <c r="L271" s="19"/>
      <c r="M271" s="19"/>
      <c r="N271" s="20"/>
      <c r="O271" s="74"/>
      <c r="P271" s="62"/>
      <c r="S271" s="74"/>
      <c r="T271" s="62"/>
    </row>
    <row r="272" spans="1:20" ht="29.25" thickBot="1" x14ac:dyDescent="0.5">
      <c r="B272" s="80" t="s">
        <v>62</v>
      </c>
      <c r="C272" s="123" t="s">
        <v>63</v>
      </c>
      <c r="D272" s="132">
        <v>778.94479999999976</v>
      </c>
      <c r="E272" s="132">
        <v>55.49</v>
      </c>
      <c r="F272" s="123">
        <v>43223.646951999988</v>
      </c>
      <c r="G272" s="123">
        <v>0</v>
      </c>
      <c r="H272" s="52" t="s">
        <v>69</v>
      </c>
      <c r="I272" s="53"/>
      <c r="J272" s="58"/>
      <c r="K272" s="59"/>
      <c r="L272" s="59"/>
      <c r="M272" s="59"/>
      <c r="N272" s="60"/>
      <c r="O272" s="75"/>
      <c r="P272" s="63"/>
      <c r="S272" s="75"/>
      <c r="T272" s="63"/>
    </row>
    <row r="273" spans="2:20" ht="29.1" customHeight="1" thickBot="1" x14ac:dyDescent="0.5">
      <c r="B273" s="298" t="s">
        <v>94</v>
      </c>
      <c r="C273" s="299"/>
      <c r="D273" s="299"/>
      <c r="E273" s="300"/>
      <c r="F273" s="115">
        <f>SUM(F266:F272)</f>
        <v>197393.15836294997</v>
      </c>
      <c r="G273" s="133"/>
      <c r="H273" s="3"/>
      <c r="I273" s="5"/>
      <c r="J273" s="33"/>
      <c r="K273" s="34"/>
      <c r="L273" s="34"/>
      <c r="M273" s="34"/>
      <c r="N273" s="35"/>
      <c r="O273" s="76"/>
      <c r="P273" s="64"/>
      <c r="S273" s="76"/>
      <c r="T273" s="64"/>
    </row>
    <row r="274" spans="2:20" ht="31.5" x14ac:dyDescent="0.45">
      <c r="B274" s="190" t="s">
        <v>224</v>
      </c>
      <c r="C274" s="192"/>
      <c r="D274" s="133"/>
      <c r="E274" s="133"/>
      <c r="F274" s="133"/>
      <c r="G274" s="134"/>
      <c r="H274" s="1"/>
      <c r="I274" s="93">
        <v>3314</v>
      </c>
      <c r="J274" s="94">
        <v>-7.5804319999999994E-2</v>
      </c>
      <c r="K274" s="95">
        <v>-7.0971339999999994E-2</v>
      </c>
      <c r="L274" s="95">
        <v>-7.6459550000000001E-2</v>
      </c>
      <c r="M274" s="95">
        <v>-6.4848059999999999E-2</v>
      </c>
      <c r="N274" s="96">
        <v>-0.1022158</v>
      </c>
      <c r="O274" s="90">
        <f>(3/10)*K274+(3/10)*M274+(2/10)*N274+(1/10)*J274+(1/10)*L274</f>
        <v>-7.6415366999999998E-2</v>
      </c>
      <c r="P274" s="117">
        <f>O274*(1/3)*$F$273</f>
        <v>-5027.9568798646469</v>
      </c>
      <c r="S274" s="90">
        <f>AVERAGE(J274:N274)</f>
        <v>-7.8059813999999991E-2</v>
      </c>
      <c r="T274" s="117">
        <f>S274*(1/3)*$F$273</f>
        <v>-5136.1577422281389</v>
      </c>
    </row>
    <row r="275" spans="2:20" ht="31.5" x14ac:dyDescent="0.45">
      <c r="B275" s="191" t="s">
        <v>225</v>
      </c>
      <c r="C275" s="87" t="s">
        <v>226</v>
      </c>
      <c r="D275" s="134"/>
      <c r="E275" s="134"/>
      <c r="F275" s="134"/>
      <c r="G275" s="134"/>
      <c r="H275" s="1"/>
      <c r="I275" s="97">
        <v>2331</v>
      </c>
      <c r="J275" s="98">
        <v>-2.4079969999999999E-2</v>
      </c>
      <c r="K275" s="99">
        <v>-1.843508E-2</v>
      </c>
      <c r="L275" s="99">
        <v>-2.4309560000000001E-2</v>
      </c>
      <c r="M275" s="99">
        <v>-1.5450790000000001E-2</v>
      </c>
      <c r="N275" s="100">
        <v>-3.6388799999999999E-2</v>
      </c>
      <c r="O275" s="91">
        <f>(3/10)*K275+(3/10)*M275+(2/10)*N275+(1/10)*J275+(1/10)*L275</f>
        <v>-2.2282474E-2</v>
      </c>
      <c r="P275" s="118">
        <f>O275*(1/3)*$F$273</f>
        <v>-1466.135973000105</v>
      </c>
      <c r="S275" s="91">
        <f>AVERAGE(J275:N275)</f>
        <v>-2.3732840000000002E-2</v>
      </c>
      <c r="T275" s="118">
        <f>S275*(1/3)*$F$273</f>
        <v>-1561.5667481741846</v>
      </c>
    </row>
    <row r="276" spans="2:20" ht="29.25" thickBot="1" x14ac:dyDescent="0.5">
      <c r="B276" s="86" t="s">
        <v>227</v>
      </c>
      <c r="C276" s="89" t="s">
        <v>228</v>
      </c>
      <c r="D276" s="135"/>
      <c r="E276" s="135"/>
      <c r="F276" s="135"/>
      <c r="G276" s="135"/>
      <c r="H276" s="7"/>
      <c r="I276" s="101">
        <v>950</v>
      </c>
      <c r="J276" s="102">
        <v>-7.7029169999999994E-2</v>
      </c>
      <c r="K276" s="103">
        <v>-7.3109209999999994E-2</v>
      </c>
      <c r="L276" s="103">
        <v>-7.5890410000000005E-2</v>
      </c>
      <c r="M276" s="103">
        <v>-7.1436810000000003E-2</v>
      </c>
      <c r="N276" s="104">
        <v>-8.3852679999999999E-2</v>
      </c>
      <c r="O276" s="92">
        <f>(3/10)*K276+(3/10)*M276+(2/10)*N276+(1/10)*J276+(1/10)*L276</f>
        <v>-7.5426300000000002E-2</v>
      </c>
      <c r="P276" s="119">
        <f>O276*(1/3)*$F$273</f>
        <v>-4962.8785268771244</v>
      </c>
      <c r="S276" s="92">
        <f>AVERAGE(J276:N276)</f>
        <v>-7.6263655999999999E-2</v>
      </c>
      <c r="T276" s="119">
        <f>S276*(1/3)*$F$273</f>
        <v>-5017.9746420485126</v>
      </c>
    </row>
    <row r="277" spans="2:20" x14ac:dyDescent="0.45">
      <c r="B277" s="272" t="s">
        <v>86</v>
      </c>
      <c r="C277" s="273"/>
      <c r="D277" s="273"/>
      <c r="E277" s="211"/>
      <c r="F277" s="288">
        <f>SUM(F248:F265)+F273</f>
        <v>121254065.38372287</v>
      </c>
    </row>
    <row r="278" spans="2:20" ht="29.25" thickBot="1" x14ac:dyDescent="0.5">
      <c r="B278" s="274"/>
      <c r="C278" s="275"/>
      <c r="D278" s="275"/>
      <c r="E278" s="212"/>
      <c r="F278" s="277"/>
    </row>
    <row r="279" spans="2:20" x14ac:dyDescent="0.45">
      <c r="M279" s="335" t="s">
        <v>91</v>
      </c>
      <c r="N279" s="337"/>
      <c r="O279" s="243">
        <f>SUM(P248:P276)</f>
        <v>-14106420.010296864</v>
      </c>
      <c r="P279" s="244"/>
      <c r="S279" s="243">
        <f>SUM(T248:T276)</f>
        <v>-14690387.022864567</v>
      </c>
      <c r="T279" s="244"/>
    </row>
    <row r="280" spans="2:20" ht="19.5" customHeight="1" x14ac:dyDescent="0.45">
      <c r="M280" s="272"/>
      <c r="N280" s="301"/>
      <c r="O280" s="245"/>
      <c r="P280" s="246"/>
      <c r="S280" s="245"/>
      <c r="T280" s="246"/>
    </row>
    <row r="281" spans="2:20" ht="19.5" customHeight="1" thickBot="1" x14ac:dyDescent="0.5">
      <c r="M281" s="274"/>
      <c r="N281" s="302"/>
      <c r="O281" s="247"/>
      <c r="P281" s="248"/>
      <c r="S281" s="247"/>
      <c r="T281" s="248"/>
    </row>
    <row r="282" spans="2:20" ht="19.5" customHeight="1" x14ac:dyDescent="0.45">
      <c r="M282" s="282" t="s">
        <v>92</v>
      </c>
      <c r="N282" s="283"/>
      <c r="O282" s="249">
        <f>O279/F277</f>
        <v>-0.11633770765256757</v>
      </c>
      <c r="P282" s="250"/>
      <c r="S282" s="249">
        <f>S279/$F$277</f>
        <v>-0.12115376895921053</v>
      </c>
      <c r="T282" s="250"/>
    </row>
    <row r="283" spans="2:20" ht="19.5" customHeight="1" x14ac:dyDescent="0.45">
      <c r="M283" s="284"/>
      <c r="N283" s="285"/>
      <c r="O283" s="251"/>
      <c r="P283" s="252"/>
      <c r="S283" s="251"/>
      <c r="T283" s="252"/>
    </row>
    <row r="284" spans="2:20" ht="19.5" customHeight="1" thickBot="1" x14ac:dyDescent="0.5">
      <c r="M284" s="286"/>
      <c r="N284" s="287"/>
      <c r="O284" s="253"/>
      <c r="P284" s="254"/>
      <c r="S284" s="253"/>
      <c r="T284" s="254"/>
    </row>
    <row r="285" spans="2:20" ht="19.5" customHeight="1" x14ac:dyDescent="0.45">
      <c r="M285" s="350" t="s">
        <v>93</v>
      </c>
      <c r="N285" s="351"/>
      <c r="O285" s="356">
        <f>-(SUM(G248:G265)/SUM(F248:F265))</f>
        <v>-0.11807923780875933</v>
      </c>
      <c r="P285" s="330"/>
      <c r="S285"/>
    </row>
    <row r="286" spans="2:20" ht="19.5" customHeight="1" x14ac:dyDescent="0.45">
      <c r="M286" s="352"/>
      <c r="N286" s="353"/>
      <c r="O286" s="357"/>
      <c r="P286" s="332"/>
      <c r="S286"/>
    </row>
    <row r="287" spans="2:20" ht="19.5" customHeight="1" thickBot="1" x14ac:dyDescent="0.5">
      <c r="M287" s="354"/>
      <c r="N287" s="355"/>
      <c r="O287" s="358"/>
      <c r="P287" s="334"/>
      <c r="S287"/>
    </row>
    <row r="288" spans="2:20" ht="19.5" customHeight="1" x14ac:dyDescent="0.45">
      <c r="S288"/>
    </row>
    <row r="289" spans="1:20" ht="19.5" customHeight="1" thickBot="1" x14ac:dyDescent="0.5">
      <c r="S289"/>
    </row>
    <row r="290" spans="1:20" ht="19.5" customHeight="1" x14ac:dyDescent="0.45">
      <c r="M290" s="338" t="s">
        <v>121</v>
      </c>
      <c r="N290" s="339"/>
      <c r="O290" s="344">
        <v>-0.1</v>
      </c>
      <c r="P290" s="345"/>
      <c r="S290"/>
    </row>
    <row r="291" spans="1:20" ht="19.5" customHeight="1" x14ac:dyDescent="0.45">
      <c r="M291" s="340"/>
      <c r="N291" s="341"/>
      <c r="O291" s="346"/>
      <c r="P291" s="347"/>
      <c r="S291"/>
    </row>
    <row r="292" spans="1:20" ht="19.5" customHeight="1" x14ac:dyDescent="0.45">
      <c r="M292" s="340"/>
      <c r="N292" s="341"/>
      <c r="O292" s="346"/>
      <c r="P292" s="347"/>
      <c r="S292"/>
    </row>
    <row r="293" spans="1:20" ht="19.5" customHeight="1" thickBot="1" x14ac:dyDescent="0.5">
      <c r="M293" s="342"/>
      <c r="N293" s="343"/>
      <c r="O293" s="348"/>
      <c r="P293" s="349"/>
      <c r="S293"/>
    </row>
    <row r="297" spans="1:20" x14ac:dyDescent="0.25">
      <c r="A297" s="171" t="s">
        <v>229</v>
      </c>
    </row>
    <row r="298" spans="1:20" ht="18.75" x14ac:dyDescent="0.3">
      <c r="A298" s="198" t="s">
        <v>230</v>
      </c>
    </row>
    <row r="301" spans="1:20" ht="29.25" thickBot="1" x14ac:dyDescent="0.5"/>
    <row r="302" spans="1:20" x14ac:dyDescent="0.45">
      <c r="B302" s="303" t="s">
        <v>77</v>
      </c>
      <c r="C302" s="304"/>
      <c r="D302" s="304"/>
      <c r="E302" s="304"/>
      <c r="F302" s="304"/>
      <c r="G302" s="304"/>
      <c r="H302" s="304"/>
      <c r="I302" s="305"/>
      <c r="J302" s="289" t="s">
        <v>95</v>
      </c>
      <c r="K302" s="290"/>
      <c r="L302" s="290"/>
      <c r="M302" s="290"/>
      <c r="N302" s="291"/>
      <c r="O302" s="237" t="s">
        <v>90</v>
      </c>
      <c r="P302" s="238"/>
      <c r="S302" s="237" t="s">
        <v>277</v>
      </c>
      <c r="T302" s="238"/>
    </row>
    <row r="303" spans="1:20" x14ac:dyDescent="0.45">
      <c r="B303" s="306"/>
      <c r="C303" s="307"/>
      <c r="D303" s="307"/>
      <c r="E303" s="307"/>
      <c r="F303" s="307"/>
      <c r="G303" s="307"/>
      <c r="H303" s="307"/>
      <c r="I303" s="308"/>
      <c r="J303" s="292"/>
      <c r="K303" s="293"/>
      <c r="L303" s="293"/>
      <c r="M303" s="293"/>
      <c r="N303" s="294"/>
      <c r="O303" s="239"/>
      <c r="P303" s="240"/>
      <c r="S303" s="239"/>
      <c r="T303" s="240"/>
    </row>
    <row r="304" spans="1:20" ht="29.25" thickBot="1" x14ac:dyDescent="0.5">
      <c r="B304" s="165"/>
      <c r="C304" s="166"/>
      <c r="D304" s="166"/>
      <c r="E304" s="166"/>
      <c r="F304" s="309" t="s">
        <v>81</v>
      </c>
      <c r="G304" s="309"/>
      <c r="H304" s="309"/>
      <c r="I304" s="310"/>
      <c r="J304" s="295"/>
      <c r="K304" s="296"/>
      <c r="L304" s="296"/>
      <c r="M304" s="296"/>
      <c r="N304" s="297"/>
      <c r="O304" s="241"/>
      <c r="P304" s="242"/>
      <c r="S304" s="241"/>
      <c r="T304" s="242"/>
    </row>
    <row r="305" spans="2:20" ht="56.25" customHeight="1" thickBot="1" x14ac:dyDescent="0.5">
      <c r="B305" s="167" t="s">
        <v>1</v>
      </c>
      <c r="C305" s="36" t="s">
        <v>67</v>
      </c>
      <c r="D305" s="37" t="s">
        <v>64</v>
      </c>
      <c r="E305" s="37" t="s">
        <v>270</v>
      </c>
      <c r="F305" s="38" t="s">
        <v>274</v>
      </c>
      <c r="G305" s="38" t="s">
        <v>65</v>
      </c>
      <c r="H305" s="37" t="s">
        <v>88</v>
      </c>
      <c r="I305" s="39" t="s">
        <v>66</v>
      </c>
      <c r="J305" s="40" t="s">
        <v>75</v>
      </c>
      <c r="K305" s="41" t="s">
        <v>78</v>
      </c>
      <c r="L305" s="42" t="s">
        <v>76</v>
      </c>
      <c r="M305" s="43" t="s">
        <v>79</v>
      </c>
      <c r="N305" s="44" t="s">
        <v>80</v>
      </c>
      <c r="O305" s="45" t="s">
        <v>87</v>
      </c>
      <c r="P305" s="46" t="s">
        <v>89</v>
      </c>
      <c r="S305" s="45" t="s">
        <v>278</v>
      </c>
      <c r="T305" s="46" t="s">
        <v>89</v>
      </c>
    </row>
    <row r="306" spans="2:20" ht="29.25" thickBot="1" x14ac:dyDescent="0.5">
      <c r="B306" s="199"/>
      <c r="C306" s="200"/>
      <c r="D306" s="201"/>
      <c r="E306" s="201"/>
      <c r="F306" s="200"/>
      <c r="G306" s="200"/>
      <c r="H306" s="200"/>
      <c r="I306" s="200"/>
      <c r="J306" s="193"/>
      <c r="K306" s="194"/>
      <c r="L306" s="194"/>
      <c r="M306" s="194"/>
      <c r="N306" s="195"/>
      <c r="O306" s="196"/>
      <c r="P306" s="197"/>
      <c r="S306" s="196"/>
      <c r="T306" s="197"/>
    </row>
    <row r="307" spans="2:20" ht="29.1" customHeight="1" thickBot="1" x14ac:dyDescent="0.5">
      <c r="B307" s="298" t="s">
        <v>94</v>
      </c>
      <c r="C307" s="299"/>
      <c r="D307" s="299"/>
      <c r="E307" s="300"/>
      <c r="F307" s="115">
        <f>SUM(F306:F306)</f>
        <v>0</v>
      </c>
      <c r="G307" s="133"/>
      <c r="H307" s="179"/>
      <c r="I307" s="5"/>
      <c r="J307" s="105"/>
      <c r="K307" s="106"/>
      <c r="L307" s="106"/>
      <c r="M307" s="106"/>
      <c r="N307" s="107"/>
      <c r="O307" s="48"/>
      <c r="P307" s="180"/>
      <c r="S307" s="48"/>
      <c r="T307" s="180"/>
    </row>
    <row r="308" spans="2:20" x14ac:dyDescent="0.45">
      <c r="B308" s="84" t="s">
        <v>231</v>
      </c>
      <c r="C308" s="192"/>
      <c r="D308" s="133"/>
      <c r="E308" s="133"/>
      <c r="F308" s="133"/>
      <c r="G308" s="134"/>
      <c r="H308" s="1"/>
      <c r="I308" s="202" t="s">
        <v>232</v>
      </c>
      <c r="J308" s="109">
        <v>-4.0841429999999998E-2</v>
      </c>
      <c r="K308" s="112">
        <v>-3.2104290000000001E-2</v>
      </c>
      <c r="L308" s="112">
        <v>-4.8260409999999997E-2</v>
      </c>
      <c r="M308" s="112">
        <v>-4.1959379999999998E-2</v>
      </c>
      <c r="N308" s="163">
        <v>-8.070339E-2</v>
      </c>
      <c r="O308" s="139">
        <f>(3/10)*K308+(3/10)*M308+(2/10)*N308+(1/10)*J308+(1/10)*L308</f>
        <v>-4.7269962999999998E-2</v>
      </c>
      <c r="P308" s="141">
        <v>0</v>
      </c>
      <c r="S308" s="139">
        <f>AVERAGE(J308:N308)</f>
        <v>-4.8773780000000003E-2</v>
      </c>
      <c r="T308" s="141">
        <v>0</v>
      </c>
    </row>
    <row r="309" spans="2:20" ht="29.25" thickBot="1" x14ac:dyDescent="0.5">
      <c r="B309" s="86" t="s">
        <v>233</v>
      </c>
      <c r="C309" s="88" t="s">
        <v>234</v>
      </c>
      <c r="D309" s="135"/>
      <c r="E309" s="135"/>
      <c r="F309" s="135"/>
      <c r="G309" s="135"/>
      <c r="H309" s="7"/>
      <c r="I309" s="161">
        <v>1650</v>
      </c>
      <c r="J309" s="111">
        <v>-4.3250709999999998E-2</v>
      </c>
      <c r="K309" s="103">
        <v>-1.98196E-2</v>
      </c>
      <c r="L309" s="103">
        <v>-4.3326700000000003E-2</v>
      </c>
      <c r="M309" s="204"/>
      <c r="N309" s="104">
        <v>-2.4075740000000002E-2</v>
      </c>
      <c r="O309" s="143">
        <f>(6/10)*K309+(2/10)*N309+(1/10)*J309+(1/10)*L309</f>
        <v>-2.5364649E-2</v>
      </c>
      <c r="P309" s="119">
        <v>0</v>
      </c>
      <c r="S309" s="143">
        <f>AVERAGE(J309:N309)</f>
        <v>-3.26181875E-2</v>
      </c>
      <c r="T309" s="119">
        <v>0</v>
      </c>
    </row>
    <row r="310" spans="2:20" x14ac:dyDescent="0.45">
      <c r="B310" s="272" t="s">
        <v>86</v>
      </c>
      <c r="C310" s="273"/>
      <c r="D310" s="273"/>
      <c r="E310" s="301"/>
      <c r="F310" s="276">
        <f>F307</f>
        <v>0</v>
      </c>
    </row>
    <row r="311" spans="2:20" ht="29.25" thickBot="1" x14ac:dyDescent="0.5">
      <c r="B311" s="274"/>
      <c r="C311" s="275"/>
      <c r="D311" s="275"/>
      <c r="E311" s="302"/>
      <c r="F311" s="277"/>
    </row>
    <row r="312" spans="2:20" ht="19.5" customHeight="1" x14ac:dyDescent="0.45">
      <c r="M312" s="311" t="s">
        <v>91</v>
      </c>
      <c r="N312" s="312"/>
      <c r="O312" s="255">
        <f>(1/2)*(O308+O309)</f>
        <v>-3.6317306000000001E-2</v>
      </c>
      <c r="P312" s="256"/>
      <c r="S312" s="255">
        <f>AVERAGE(S308:S309)</f>
        <v>-4.0695983749999998E-2</v>
      </c>
      <c r="T312" s="256"/>
    </row>
    <row r="313" spans="2:20" ht="19.5" customHeight="1" x14ac:dyDescent="0.45">
      <c r="M313" s="313"/>
      <c r="N313" s="314"/>
      <c r="O313" s="257"/>
      <c r="P313" s="258"/>
      <c r="S313" s="257"/>
      <c r="T313" s="258"/>
    </row>
    <row r="314" spans="2:20" ht="19.5" customHeight="1" thickBot="1" x14ac:dyDescent="0.5">
      <c r="M314" s="315"/>
      <c r="N314" s="316"/>
      <c r="O314" s="259"/>
      <c r="P314" s="260"/>
      <c r="S314" s="259"/>
      <c r="T314" s="260"/>
    </row>
    <row r="315" spans="2:20" ht="19.5" customHeight="1" x14ac:dyDescent="0.45">
      <c r="M315" s="317" t="s">
        <v>92</v>
      </c>
      <c r="N315" s="318"/>
      <c r="O315" s="249" t="s">
        <v>235</v>
      </c>
      <c r="P315" s="250"/>
      <c r="S315" s="249" t="s">
        <v>235</v>
      </c>
      <c r="T315" s="250"/>
    </row>
    <row r="316" spans="2:20" ht="19.5" customHeight="1" x14ac:dyDescent="0.45">
      <c r="M316" s="319"/>
      <c r="N316" s="320"/>
      <c r="O316" s="251"/>
      <c r="P316" s="252"/>
      <c r="S316" s="251"/>
      <c r="T316" s="252"/>
    </row>
    <row r="317" spans="2:20" ht="19.5" customHeight="1" thickBot="1" x14ac:dyDescent="0.5">
      <c r="M317" s="321"/>
      <c r="N317" s="322"/>
      <c r="O317" s="253"/>
      <c r="P317" s="254"/>
      <c r="S317" s="253"/>
      <c r="T317" s="254"/>
    </row>
    <row r="318" spans="2:20" ht="19.5" customHeight="1" x14ac:dyDescent="0.45">
      <c r="M318" s="323" t="s">
        <v>93</v>
      </c>
      <c r="N318" s="324"/>
      <c r="O318" s="329" t="s">
        <v>235</v>
      </c>
      <c r="P318" s="330"/>
      <c r="S318"/>
    </row>
    <row r="319" spans="2:20" ht="19.5" customHeight="1" x14ac:dyDescent="0.45">
      <c r="M319" s="325"/>
      <c r="N319" s="326"/>
      <c r="O319" s="331"/>
      <c r="P319" s="332"/>
      <c r="S319"/>
    </row>
    <row r="320" spans="2:20" ht="19.5" customHeight="1" thickBot="1" x14ac:dyDescent="0.5">
      <c r="M320" s="327"/>
      <c r="N320" s="328"/>
      <c r="O320" s="333"/>
      <c r="P320" s="334"/>
      <c r="S320"/>
    </row>
    <row r="321" spans="1:20" ht="19.5" customHeight="1" x14ac:dyDescent="0.45">
      <c r="S321"/>
    </row>
    <row r="322" spans="1:20" ht="19.5" customHeight="1" thickBot="1" x14ac:dyDescent="0.5">
      <c r="S322"/>
    </row>
    <row r="323" spans="1:20" ht="19.5" customHeight="1" x14ac:dyDescent="0.45">
      <c r="M323" s="338" t="s">
        <v>121</v>
      </c>
      <c r="N323" s="339"/>
      <c r="O323" s="344">
        <v>-0.05</v>
      </c>
      <c r="P323" s="345"/>
      <c r="S323"/>
    </row>
    <row r="324" spans="1:20" ht="19.5" customHeight="1" x14ac:dyDescent="0.45">
      <c r="M324" s="340"/>
      <c r="N324" s="341"/>
      <c r="O324" s="346"/>
      <c r="P324" s="347"/>
      <c r="S324"/>
    </row>
    <row r="325" spans="1:20" ht="19.5" customHeight="1" x14ac:dyDescent="0.45">
      <c r="M325" s="340"/>
      <c r="N325" s="341"/>
      <c r="O325" s="346"/>
      <c r="P325" s="347"/>
      <c r="S325"/>
    </row>
    <row r="326" spans="1:20" ht="19.5" customHeight="1" thickBot="1" x14ac:dyDescent="0.5">
      <c r="M326" s="342"/>
      <c r="N326" s="343"/>
      <c r="O326" s="348"/>
      <c r="P326" s="349"/>
      <c r="S326"/>
    </row>
    <row r="330" spans="1:20" x14ac:dyDescent="0.25">
      <c r="A330" s="171" t="s">
        <v>236</v>
      </c>
    </row>
    <row r="332" spans="1:20" x14ac:dyDescent="0.45">
      <c r="A332" s="176"/>
    </row>
    <row r="334" spans="1:20" ht="29.25" thickBot="1" x14ac:dyDescent="0.5"/>
    <row r="335" spans="1:20" x14ac:dyDescent="0.45">
      <c r="B335" s="303" t="s">
        <v>77</v>
      </c>
      <c r="C335" s="304"/>
      <c r="D335" s="304"/>
      <c r="E335" s="304"/>
      <c r="F335" s="304"/>
      <c r="G335" s="304"/>
      <c r="H335" s="304"/>
      <c r="I335" s="305"/>
      <c r="J335" s="289" t="s">
        <v>95</v>
      </c>
      <c r="K335" s="290"/>
      <c r="L335" s="290"/>
      <c r="M335" s="290"/>
      <c r="N335" s="291"/>
      <c r="O335" s="237" t="s">
        <v>90</v>
      </c>
      <c r="P335" s="238"/>
      <c r="S335" s="237" t="s">
        <v>277</v>
      </c>
      <c r="T335" s="238"/>
    </row>
    <row r="336" spans="1:20" x14ac:dyDescent="0.45">
      <c r="B336" s="306"/>
      <c r="C336" s="307"/>
      <c r="D336" s="307"/>
      <c r="E336" s="307"/>
      <c r="F336" s="307"/>
      <c r="G336" s="307"/>
      <c r="H336" s="307"/>
      <c r="I336" s="308"/>
      <c r="J336" s="292"/>
      <c r="K336" s="293"/>
      <c r="L336" s="293"/>
      <c r="M336" s="293"/>
      <c r="N336" s="294"/>
      <c r="O336" s="239"/>
      <c r="P336" s="240"/>
      <c r="S336" s="239"/>
      <c r="T336" s="240"/>
    </row>
    <row r="337" spans="1:20" ht="29.25" thickBot="1" x14ac:dyDescent="0.5">
      <c r="B337" s="165"/>
      <c r="C337" s="166"/>
      <c r="D337" s="166"/>
      <c r="E337" s="166"/>
      <c r="F337" s="309" t="s">
        <v>81</v>
      </c>
      <c r="G337" s="309"/>
      <c r="H337" s="309"/>
      <c r="I337" s="310"/>
      <c r="J337" s="295"/>
      <c r="K337" s="296"/>
      <c r="L337" s="296"/>
      <c r="M337" s="296"/>
      <c r="N337" s="297"/>
      <c r="O337" s="241"/>
      <c r="P337" s="242"/>
      <c r="S337" s="241"/>
      <c r="T337" s="242"/>
    </row>
    <row r="338" spans="1:20" ht="46.5" customHeight="1" thickBot="1" x14ac:dyDescent="0.5">
      <c r="B338" s="167" t="s">
        <v>1</v>
      </c>
      <c r="C338" s="36" t="s">
        <v>67</v>
      </c>
      <c r="D338" s="37" t="s">
        <v>64</v>
      </c>
      <c r="E338" s="37" t="s">
        <v>270</v>
      </c>
      <c r="F338" s="38" t="s">
        <v>271</v>
      </c>
      <c r="G338" s="38" t="s">
        <v>65</v>
      </c>
      <c r="H338" s="37" t="s">
        <v>88</v>
      </c>
      <c r="I338" s="39" t="s">
        <v>66</v>
      </c>
      <c r="J338" s="40" t="s">
        <v>75</v>
      </c>
      <c r="K338" s="41" t="s">
        <v>78</v>
      </c>
      <c r="L338" s="42" t="s">
        <v>76</v>
      </c>
      <c r="M338" s="43" t="s">
        <v>79</v>
      </c>
      <c r="N338" s="44" t="s">
        <v>80</v>
      </c>
      <c r="O338" s="45" t="s">
        <v>87</v>
      </c>
      <c r="P338" s="46" t="s">
        <v>89</v>
      </c>
      <c r="S338" s="45" t="s">
        <v>278</v>
      </c>
      <c r="T338" s="46" t="s">
        <v>89</v>
      </c>
    </row>
    <row r="339" spans="1:20" x14ac:dyDescent="0.45">
      <c r="B339" s="205" t="s">
        <v>237</v>
      </c>
      <c r="C339" s="124" t="s">
        <v>238</v>
      </c>
      <c r="D339" s="136">
        <v>398</v>
      </c>
      <c r="E339" s="136">
        <v>9459.7999999999993</v>
      </c>
      <c r="F339" s="124">
        <v>3765000.4</v>
      </c>
      <c r="G339" s="124">
        <v>828300.08799999999</v>
      </c>
      <c r="H339" s="206" t="s">
        <v>69</v>
      </c>
      <c r="I339" s="50"/>
      <c r="J339" s="54"/>
      <c r="K339" s="55"/>
      <c r="L339" s="55"/>
      <c r="M339" s="55"/>
      <c r="N339" s="56"/>
      <c r="O339" s="57"/>
      <c r="P339" s="208"/>
      <c r="S339" s="57"/>
      <c r="T339" s="208"/>
    </row>
    <row r="340" spans="1:20" x14ac:dyDescent="0.45">
      <c r="B340" s="181" t="s">
        <v>272</v>
      </c>
      <c r="C340" s="125" t="s">
        <v>273</v>
      </c>
      <c r="D340" s="137">
        <v>36463</v>
      </c>
      <c r="E340" s="137">
        <v>999.99</v>
      </c>
      <c r="F340" s="137">
        <v>36462635.369999997</v>
      </c>
      <c r="G340" s="137">
        <v>8021860</v>
      </c>
      <c r="H340" s="9" t="s">
        <v>69</v>
      </c>
      <c r="I340" s="51"/>
      <c r="J340" s="18"/>
      <c r="K340" s="19"/>
      <c r="L340" s="19"/>
      <c r="M340" s="19"/>
      <c r="N340" s="20"/>
      <c r="O340" s="47"/>
      <c r="P340" s="177"/>
      <c r="S340" s="47"/>
      <c r="T340" s="177"/>
    </row>
    <row r="341" spans="1:20" x14ac:dyDescent="0.45">
      <c r="B341" s="181" t="s">
        <v>239</v>
      </c>
      <c r="C341" s="125" t="s">
        <v>240</v>
      </c>
      <c r="D341" s="137">
        <v>36463</v>
      </c>
      <c r="E341" s="137">
        <v>0.01</v>
      </c>
      <c r="F341" s="137">
        <v>364.63</v>
      </c>
      <c r="G341" s="137">
        <v>8021860</v>
      </c>
      <c r="H341" s="9" t="s">
        <v>69</v>
      </c>
      <c r="I341" s="51"/>
      <c r="J341" s="18"/>
      <c r="K341" s="19"/>
      <c r="L341" s="19"/>
      <c r="M341" s="19"/>
      <c r="N341" s="20"/>
      <c r="O341" s="47"/>
      <c r="P341" s="177"/>
      <c r="S341" s="47"/>
      <c r="T341" s="177"/>
    </row>
    <row r="342" spans="1:20" x14ac:dyDescent="0.45">
      <c r="B342" s="181" t="s">
        <v>241</v>
      </c>
      <c r="C342" s="125" t="s">
        <v>242</v>
      </c>
      <c r="D342" s="137">
        <v>26749547</v>
      </c>
      <c r="E342" s="137">
        <v>4.32</v>
      </c>
      <c r="F342" s="137">
        <v>115558043.04000001</v>
      </c>
      <c r="G342" s="137">
        <v>25422769.468799997</v>
      </c>
      <c r="H342" s="9" t="s">
        <v>69</v>
      </c>
      <c r="I342" s="51"/>
      <c r="J342" s="18"/>
      <c r="K342" s="19"/>
      <c r="L342" s="19"/>
      <c r="M342" s="19"/>
      <c r="N342" s="20"/>
      <c r="O342" s="47"/>
      <c r="P342" s="177"/>
      <c r="S342" s="47"/>
      <c r="T342" s="177"/>
    </row>
    <row r="343" spans="1:20" x14ac:dyDescent="0.45">
      <c r="B343" s="181" t="s">
        <v>243</v>
      </c>
      <c r="C343" s="125" t="s">
        <v>244</v>
      </c>
      <c r="D343" s="137">
        <v>50</v>
      </c>
      <c r="E343" s="137">
        <v>100</v>
      </c>
      <c r="F343" s="137">
        <v>5000</v>
      </c>
      <c r="G343" s="125">
        <v>1100</v>
      </c>
      <c r="H343" s="9" t="s">
        <v>69</v>
      </c>
      <c r="I343" s="51"/>
      <c r="J343" s="18"/>
      <c r="K343" s="19"/>
      <c r="L343" s="19"/>
      <c r="M343" s="19"/>
      <c r="N343" s="20"/>
      <c r="O343" s="47"/>
      <c r="P343" s="177"/>
      <c r="S343" s="47"/>
      <c r="T343" s="177"/>
    </row>
    <row r="344" spans="1:20" x14ac:dyDescent="0.45">
      <c r="B344" s="181" t="s">
        <v>245</v>
      </c>
      <c r="C344" s="125" t="s">
        <v>246</v>
      </c>
      <c r="D344" s="137">
        <v>13538431</v>
      </c>
      <c r="E344" s="137">
        <v>1</v>
      </c>
      <c r="F344" s="137">
        <v>13538431</v>
      </c>
      <c r="G344" s="125">
        <v>2978454.82</v>
      </c>
      <c r="H344" s="9" t="s">
        <v>69</v>
      </c>
      <c r="I344" s="51"/>
      <c r="J344" s="18"/>
      <c r="K344" s="19"/>
      <c r="L344" s="19"/>
      <c r="M344" s="19"/>
      <c r="N344" s="20"/>
      <c r="O344" s="47"/>
      <c r="P344" s="177"/>
      <c r="S344" s="47"/>
      <c r="T344" s="177"/>
    </row>
    <row r="345" spans="1:20" ht="29.25" thickBot="1" x14ac:dyDescent="0.3">
      <c r="A345" s="173"/>
      <c r="B345" s="182" t="s">
        <v>247</v>
      </c>
      <c r="C345" s="126" t="s">
        <v>248</v>
      </c>
      <c r="D345" s="138">
        <v>763271</v>
      </c>
      <c r="E345" s="138">
        <v>3.26</v>
      </c>
      <c r="F345" s="138">
        <v>2488263.46</v>
      </c>
      <c r="G345" s="138">
        <v>547417.96120000002</v>
      </c>
      <c r="H345" s="207" t="s">
        <v>69</v>
      </c>
      <c r="I345" s="53"/>
      <c r="J345" s="58"/>
      <c r="K345" s="59"/>
      <c r="L345" s="59"/>
      <c r="M345" s="59"/>
      <c r="N345" s="60"/>
      <c r="O345" s="209"/>
      <c r="P345" s="210"/>
      <c r="Q345" s="14"/>
      <c r="S345" s="209"/>
      <c r="T345" s="210"/>
    </row>
    <row r="346" spans="1:20" ht="29.1" customHeight="1" thickBot="1" x14ac:dyDescent="0.5">
      <c r="B346" s="265" t="s">
        <v>94</v>
      </c>
      <c r="C346" s="266"/>
      <c r="D346" s="266"/>
      <c r="E346" s="267"/>
      <c r="F346" s="115">
        <f>SUM(F339:F345)</f>
        <v>171817737.90000001</v>
      </c>
      <c r="G346" s="133"/>
      <c r="H346" s="179"/>
      <c r="I346" s="5"/>
      <c r="J346" s="105"/>
      <c r="K346" s="106"/>
      <c r="L346" s="106"/>
      <c r="M346" s="106"/>
      <c r="N346" s="107"/>
      <c r="O346" s="48"/>
      <c r="P346" s="180"/>
      <c r="S346" s="48"/>
      <c r="T346" s="180"/>
    </row>
    <row r="347" spans="1:20" x14ac:dyDescent="0.45">
      <c r="B347" s="84" t="s">
        <v>70</v>
      </c>
      <c r="C347" s="87" t="s">
        <v>74</v>
      </c>
      <c r="D347" s="133"/>
      <c r="E347" s="133"/>
      <c r="F347" s="133"/>
      <c r="G347" s="134"/>
      <c r="H347" s="1"/>
      <c r="I347" s="159">
        <v>4609</v>
      </c>
      <c r="J347" s="109">
        <v>-0.35222219999999999</v>
      </c>
      <c r="K347" s="112">
        <v>-0.32483790000000001</v>
      </c>
      <c r="L347" s="112">
        <v>-0.35639369999999998</v>
      </c>
      <c r="M347" s="112">
        <v>-0.33181470000000002</v>
      </c>
      <c r="N347" s="163">
        <v>-0.23357729999999999</v>
      </c>
      <c r="O347" s="139">
        <f>(3/10)*K347+(3/10)*M347+(2/10)*N347+(1/10)*J347+(1/10)*L347</f>
        <v>-0.31457282999999997</v>
      </c>
      <c r="P347" s="141">
        <f>(4/10)*$F$346*O347</f>
        <v>-21619676.822160505</v>
      </c>
      <c r="S347" s="139">
        <f>AVERAGE(J347:N347)</f>
        <v>-0.31976916</v>
      </c>
      <c r="T347" s="141">
        <f>(4/10)*$F$346*S347</f>
        <v>-21976805.488553271</v>
      </c>
    </row>
    <row r="348" spans="1:20" x14ac:dyDescent="0.45">
      <c r="B348" s="85" t="s">
        <v>71</v>
      </c>
      <c r="C348" s="169"/>
      <c r="D348" s="134"/>
      <c r="E348" s="134"/>
      <c r="F348" s="134"/>
      <c r="G348" s="134"/>
      <c r="H348" s="1"/>
      <c r="I348" s="160">
        <v>1600</v>
      </c>
      <c r="J348" s="110">
        <v>-0.26154169999999999</v>
      </c>
      <c r="K348" s="113">
        <v>-0.24023069999999999</v>
      </c>
      <c r="L348" s="113">
        <v>-0.27427489999999999</v>
      </c>
      <c r="M348" s="113">
        <v>-0.25793280000000002</v>
      </c>
      <c r="N348" s="164">
        <v>-0.26154169999999999</v>
      </c>
      <c r="O348" s="140">
        <f>(3/10)*K348+(3/10)*M348+(2/10)*N348+(1/10)*J348+(1/10)*L348</f>
        <v>-0.25533905000000001</v>
      </c>
      <c r="P348" s="142">
        <f>(4/10)*$F$346*O348</f>
        <v>-17548711.187414002</v>
      </c>
      <c r="S348" s="140">
        <f>AVERAGE(J348:N348)</f>
        <v>-0.25910435999999998</v>
      </c>
      <c r="T348" s="142">
        <f>(4/10)*$F$346*S348</f>
        <v>-17807490.006090898</v>
      </c>
    </row>
    <row r="349" spans="1:20" ht="29.25" thickBot="1" x14ac:dyDescent="0.5">
      <c r="B349" s="215" t="s">
        <v>72</v>
      </c>
      <c r="C349" s="216" t="s">
        <v>73</v>
      </c>
      <c r="D349" s="217"/>
      <c r="E349" s="217"/>
      <c r="F349" s="135"/>
      <c r="G349" s="135"/>
      <c r="H349" s="7"/>
      <c r="I349" s="203">
        <v>2520</v>
      </c>
      <c r="J349" s="111">
        <v>-0.2716134</v>
      </c>
      <c r="K349" s="103">
        <v>-0.25511</v>
      </c>
      <c r="L349" s="103">
        <v>-0.27443689999999998</v>
      </c>
      <c r="M349" s="103">
        <v>-0.27629789999999999</v>
      </c>
      <c r="N349" s="104">
        <v>-0.167383</v>
      </c>
      <c r="O349" s="143">
        <f>(3/10)*K349+(3/10)*M349+(2/10)*N349+(1/10)*J349+(1/10)*L349</f>
        <v>-0.24750399999999997</v>
      </c>
      <c r="P349" s="119">
        <f>(2/10)*$F$346*O349</f>
        <v>-8505115.4802403208</v>
      </c>
      <c r="S349" s="143">
        <f>AVERAGE(J349:N349)</f>
        <v>-0.24896824000000004</v>
      </c>
      <c r="T349" s="119">
        <f>(2/10)*$F$346*S349</f>
        <v>-8555431.9611488618</v>
      </c>
    </row>
    <row r="350" spans="1:20" x14ac:dyDescent="0.45">
      <c r="B350" s="335" t="s">
        <v>86</v>
      </c>
      <c r="C350" s="336"/>
      <c r="D350" s="336"/>
      <c r="E350" s="337"/>
      <c r="F350" s="276">
        <f>F346</f>
        <v>171817737.90000001</v>
      </c>
    </row>
    <row r="351" spans="1:20" ht="29.25" thickBot="1" x14ac:dyDescent="0.5">
      <c r="B351" s="274"/>
      <c r="C351" s="275"/>
      <c r="D351" s="275"/>
      <c r="E351" s="302"/>
      <c r="F351" s="277"/>
    </row>
    <row r="352" spans="1:20" ht="18" customHeight="1" x14ac:dyDescent="0.45">
      <c r="M352" s="311" t="s">
        <v>91</v>
      </c>
      <c r="N352" s="312"/>
      <c r="O352" s="243">
        <f>SUM(P339:P349)</f>
        <v>-47673503.489814825</v>
      </c>
      <c r="P352" s="244"/>
      <c r="S352" s="243">
        <f>SUM(T339:T349)</f>
        <v>-48339727.455793023</v>
      </c>
      <c r="T352" s="244"/>
    </row>
    <row r="353" spans="13:20" ht="18" customHeight="1" x14ac:dyDescent="0.45">
      <c r="M353" s="313"/>
      <c r="N353" s="314"/>
      <c r="O353" s="245"/>
      <c r="P353" s="246"/>
      <c r="S353" s="245"/>
      <c r="T353" s="246"/>
    </row>
    <row r="354" spans="13:20" ht="18" customHeight="1" thickBot="1" x14ac:dyDescent="0.5">
      <c r="M354" s="315"/>
      <c r="N354" s="316"/>
      <c r="O354" s="247"/>
      <c r="P354" s="248"/>
      <c r="S354" s="247"/>
      <c r="T354" s="248"/>
    </row>
    <row r="355" spans="13:20" ht="18" customHeight="1" x14ac:dyDescent="0.45">
      <c r="M355" s="317" t="s">
        <v>92</v>
      </c>
      <c r="N355" s="318"/>
      <c r="O355" s="249">
        <f>O352/F350</f>
        <v>-0.277465552</v>
      </c>
      <c r="P355" s="250"/>
      <c r="S355" s="249">
        <f>S352/$F$350</f>
        <v>-0.28134305599999998</v>
      </c>
      <c r="T355" s="250"/>
    </row>
    <row r="356" spans="13:20" ht="18" customHeight="1" x14ac:dyDescent="0.45">
      <c r="M356" s="319"/>
      <c r="N356" s="320"/>
      <c r="O356" s="251"/>
      <c r="P356" s="252"/>
      <c r="S356" s="251"/>
      <c r="T356" s="252"/>
    </row>
    <row r="357" spans="13:20" ht="18" customHeight="1" thickBot="1" x14ac:dyDescent="0.5">
      <c r="M357" s="321"/>
      <c r="N357" s="322"/>
      <c r="O357" s="253"/>
      <c r="P357" s="254"/>
      <c r="S357" s="253"/>
      <c r="T357" s="254"/>
    </row>
    <row r="358" spans="13:20" ht="18" customHeight="1" x14ac:dyDescent="0.45">
      <c r="M358" s="323" t="s">
        <v>93</v>
      </c>
      <c r="N358" s="324"/>
      <c r="O358" s="329">
        <f>-(SUM(G339:G345)/SUM(F339:F345))</f>
        <v>-0.26668819470006533</v>
      </c>
      <c r="P358" s="330"/>
      <c r="S358"/>
    </row>
    <row r="359" spans="13:20" ht="18" customHeight="1" x14ac:dyDescent="0.45">
      <c r="M359" s="325"/>
      <c r="N359" s="326"/>
      <c r="O359" s="331"/>
      <c r="P359" s="332"/>
      <c r="S359"/>
    </row>
    <row r="360" spans="13:20" ht="18" customHeight="1" thickBot="1" x14ac:dyDescent="0.5">
      <c r="M360" s="327"/>
      <c r="N360" s="328"/>
      <c r="O360" s="333"/>
      <c r="P360" s="334"/>
      <c r="S360"/>
    </row>
    <row r="361" spans="13:20" ht="18" customHeight="1" x14ac:dyDescent="0.45">
      <c r="S361"/>
    </row>
    <row r="362" spans="13:20" ht="18" customHeight="1" thickBot="1" x14ac:dyDescent="0.5">
      <c r="S362"/>
    </row>
    <row r="363" spans="13:20" ht="18" customHeight="1" x14ac:dyDescent="0.45">
      <c r="M363" s="338" t="s">
        <v>121</v>
      </c>
      <c r="N363" s="339"/>
      <c r="O363" s="344">
        <v>-0.25</v>
      </c>
      <c r="P363" s="345"/>
      <c r="S363"/>
    </row>
    <row r="364" spans="13:20" ht="18" customHeight="1" x14ac:dyDescent="0.45">
      <c r="M364" s="340"/>
      <c r="N364" s="341"/>
      <c r="O364" s="346"/>
      <c r="P364" s="347"/>
      <c r="S364"/>
    </row>
    <row r="365" spans="13:20" ht="18" customHeight="1" x14ac:dyDescent="0.45">
      <c r="M365" s="340"/>
      <c r="N365" s="341"/>
      <c r="O365" s="346"/>
      <c r="P365" s="347"/>
      <c r="S365"/>
    </row>
    <row r="366" spans="13:20" ht="18" customHeight="1" thickBot="1" x14ac:dyDescent="0.5">
      <c r="M366" s="342"/>
      <c r="N366" s="343"/>
      <c r="O366" s="348"/>
      <c r="P366" s="349"/>
      <c r="S366"/>
    </row>
    <row r="367" spans="13:20" ht="18" customHeight="1" x14ac:dyDescent="0.45"/>
    <row r="368" spans="13:20" ht="18" customHeight="1" x14ac:dyDescent="0.45"/>
    <row r="371" spans="1:20" x14ac:dyDescent="0.25">
      <c r="A371" s="171" t="s">
        <v>269</v>
      </c>
    </row>
    <row r="373" spans="1:20" ht="29.25" thickBot="1" x14ac:dyDescent="0.5"/>
    <row r="374" spans="1:20" x14ac:dyDescent="0.45">
      <c r="B374" s="303" t="s">
        <v>77</v>
      </c>
      <c r="C374" s="304"/>
      <c r="D374" s="304"/>
      <c r="E374" s="304"/>
      <c r="F374" s="304"/>
      <c r="G374" s="304"/>
      <c r="H374" s="304"/>
      <c r="I374" s="305"/>
      <c r="J374" s="289" t="s">
        <v>95</v>
      </c>
      <c r="K374" s="290"/>
      <c r="L374" s="290"/>
      <c r="M374" s="290"/>
      <c r="N374" s="291"/>
      <c r="O374" s="237" t="s">
        <v>90</v>
      </c>
      <c r="P374" s="238"/>
      <c r="S374" s="237" t="s">
        <v>277</v>
      </c>
      <c r="T374" s="238"/>
    </row>
    <row r="375" spans="1:20" x14ac:dyDescent="0.45">
      <c r="B375" s="306"/>
      <c r="C375" s="307"/>
      <c r="D375" s="307"/>
      <c r="E375" s="307"/>
      <c r="F375" s="307"/>
      <c r="G375" s="307"/>
      <c r="H375" s="307"/>
      <c r="I375" s="308"/>
      <c r="J375" s="292"/>
      <c r="K375" s="293"/>
      <c r="L375" s="293"/>
      <c r="M375" s="293"/>
      <c r="N375" s="294"/>
      <c r="O375" s="239"/>
      <c r="P375" s="240"/>
      <c r="S375" s="239"/>
      <c r="T375" s="240"/>
    </row>
    <row r="376" spans="1:20" ht="29.25" thickBot="1" x14ac:dyDescent="0.5">
      <c r="B376" s="165"/>
      <c r="C376" s="166"/>
      <c r="D376" s="166"/>
      <c r="E376" s="166"/>
      <c r="F376" s="309" t="s">
        <v>81</v>
      </c>
      <c r="G376" s="309"/>
      <c r="H376" s="309"/>
      <c r="I376" s="310"/>
      <c r="J376" s="295"/>
      <c r="K376" s="296"/>
      <c r="L376" s="296"/>
      <c r="M376" s="296"/>
      <c r="N376" s="297"/>
      <c r="O376" s="241"/>
      <c r="P376" s="242"/>
      <c r="S376" s="241"/>
      <c r="T376" s="242"/>
    </row>
    <row r="377" spans="1:20" ht="30.75" thickBot="1" x14ac:dyDescent="0.5">
      <c r="B377" s="167" t="s">
        <v>1</v>
      </c>
      <c r="C377" s="36" t="s">
        <v>67</v>
      </c>
      <c r="D377" s="37" t="s">
        <v>64</v>
      </c>
      <c r="E377" s="37" t="s">
        <v>270</v>
      </c>
      <c r="F377" s="38" t="s">
        <v>271</v>
      </c>
      <c r="G377" s="38" t="s">
        <v>65</v>
      </c>
      <c r="H377" s="37" t="s">
        <v>88</v>
      </c>
      <c r="I377" s="39" t="s">
        <v>66</v>
      </c>
      <c r="J377" s="40" t="s">
        <v>75</v>
      </c>
      <c r="K377" s="41" t="s">
        <v>78</v>
      </c>
      <c r="L377" s="42" t="s">
        <v>76</v>
      </c>
      <c r="M377" s="43" t="s">
        <v>79</v>
      </c>
      <c r="N377" s="44" t="s">
        <v>80</v>
      </c>
      <c r="O377" s="45" t="s">
        <v>87</v>
      </c>
      <c r="P377" s="46" t="s">
        <v>89</v>
      </c>
      <c r="S377" s="45" t="s">
        <v>278</v>
      </c>
      <c r="T377" s="46" t="s">
        <v>89</v>
      </c>
    </row>
    <row r="378" spans="1:20" x14ac:dyDescent="0.45">
      <c r="B378" s="77" t="s">
        <v>249</v>
      </c>
      <c r="C378" s="120" t="s">
        <v>250</v>
      </c>
      <c r="D378" s="129">
        <v>626271</v>
      </c>
      <c r="E378" s="129">
        <v>16.260000000000002</v>
      </c>
      <c r="F378" s="129">
        <v>10183166.460000001</v>
      </c>
      <c r="G378" s="129">
        <v>4989751.5653999997</v>
      </c>
      <c r="H378" s="49" t="s">
        <v>69</v>
      </c>
      <c r="I378" s="50"/>
      <c r="J378" s="54"/>
      <c r="K378" s="55"/>
      <c r="L378" s="55"/>
      <c r="M378" s="55"/>
      <c r="N378" s="56"/>
      <c r="O378" s="73"/>
      <c r="P378" s="61"/>
      <c r="S378" s="73"/>
      <c r="T378" s="61"/>
    </row>
    <row r="379" spans="1:20" x14ac:dyDescent="0.45">
      <c r="B379" s="79" t="s">
        <v>251</v>
      </c>
      <c r="C379" s="122" t="s">
        <v>252</v>
      </c>
      <c r="D379" s="131">
        <v>14970</v>
      </c>
      <c r="E379" s="131">
        <v>0.67</v>
      </c>
      <c r="F379" s="122">
        <v>10029.900000000001</v>
      </c>
      <c r="G379" s="122">
        <v>3911.6610000000001</v>
      </c>
      <c r="H379" s="2" t="s">
        <v>69</v>
      </c>
      <c r="I379" s="51"/>
      <c r="J379" s="18"/>
      <c r="K379" s="19"/>
      <c r="L379" s="19"/>
      <c r="M379" s="19"/>
      <c r="N379" s="20"/>
      <c r="O379" s="74"/>
      <c r="P379" s="62"/>
      <c r="S379" s="74"/>
      <c r="T379" s="62"/>
    </row>
    <row r="380" spans="1:20" x14ac:dyDescent="0.45">
      <c r="B380" s="79" t="s">
        <v>253</v>
      </c>
      <c r="C380" s="122" t="s">
        <v>254</v>
      </c>
      <c r="D380" s="131">
        <v>30</v>
      </c>
      <c r="E380" s="131">
        <v>197.65</v>
      </c>
      <c r="F380" s="122">
        <v>5929.5</v>
      </c>
      <c r="G380" s="122">
        <v>2312.5050000000001</v>
      </c>
      <c r="H380" s="2" t="s">
        <v>69</v>
      </c>
      <c r="I380" s="51"/>
      <c r="J380" s="18"/>
      <c r="K380" s="19"/>
      <c r="L380" s="19"/>
      <c r="M380" s="19"/>
      <c r="N380" s="20"/>
      <c r="O380" s="74"/>
      <c r="P380" s="62"/>
      <c r="S380" s="74"/>
      <c r="T380" s="62"/>
    </row>
    <row r="381" spans="1:20" x14ac:dyDescent="0.45">
      <c r="B381" s="79" t="s">
        <v>255</v>
      </c>
      <c r="C381" s="122" t="s">
        <v>256</v>
      </c>
      <c r="D381" s="131">
        <v>14970</v>
      </c>
      <c r="E381" s="131">
        <v>0</v>
      </c>
      <c r="F381" s="122">
        <v>0</v>
      </c>
      <c r="G381" s="122">
        <v>0</v>
      </c>
      <c r="H381" s="2" t="s">
        <v>69</v>
      </c>
      <c r="I381" s="51"/>
      <c r="J381" s="18"/>
      <c r="K381" s="19"/>
      <c r="L381" s="19"/>
      <c r="M381" s="19"/>
      <c r="N381" s="20"/>
      <c r="O381" s="74"/>
      <c r="P381" s="62"/>
      <c r="S381" s="74"/>
      <c r="T381" s="62"/>
    </row>
    <row r="382" spans="1:20" x14ac:dyDescent="0.45">
      <c r="B382" s="79" t="s">
        <v>257</v>
      </c>
      <c r="C382" s="122" t="s">
        <v>258</v>
      </c>
      <c r="D382" s="131">
        <v>149250</v>
      </c>
      <c r="E382" s="131">
        <v>0</v>
      </c>
      <c r="F382" s="122">
        <v>0</v>
      </c>
      <c r="G382" s="122">
        <v>0</v>
      </c>
      <c r="H382" s="2" t="s">
        <v>69</v>
      </c>
      <c r="I382" s="51"/>
      <c r="J382" s="18"/>
      <c r="K382" s="19"/>
      <c r="L382" s="19"/>
      <c r="M382" s="19"/>
      <c r="N382" s="20"/>
      <c r="O382" s="74"/>
      <c r="P382" s="62"/>
      <c r="S382" s="74"/>
      <c r="T382" s="62"/>
    </row>
    <row r="383" spans="1:20" x14ac:dyDescent="0.45">
      <c r="B383" s="79" t="s">
        <v>259</v>
      </c>
      <c r="C383" s="122" t="s">
        <v>260</v>
      </c>
      <c r="D383" s="131">
        <v>107800</v>
      </c>
      <c r="E383" s="131">
        <v>0</v>
      </c>
      <c r="F383" s="122">
        <v>0</v>
      </c>
      <c r="G383" s="131">
        <v>0</v>
      </c>
      <c r="H383" s="2" t="s">
        <v>69</v>
      </c>
      <c r="I383" s="51"/>
      <c r="J383" s="18"/>
      <c r="K383" s="19"/>
      <c r="L383" s="19"/>
      <c r="M383" s="19"/>
      <c r="N383" s="20"/>
      <c r="O383" s="74"/>
      <c r="P383" s="62"/>
      <c r="S383" s="74"/>
      <c r="T383" s="62"/>
    </row>
    <row r="384" spans="1:20" x14ac:dyDescent="0.45">
      <c r="B384" s="79" t="s">
        <v>261</v>
      </c>
      <c r="C384" s="122" t="s">
        <v>262</v>
      </c>
      <c r="D384" s="131">
        <v>550</v>
      </c>
      <c r="E384" s="131">
        <v>0</v>
      </c>
      <c r="F384" s="122">
        <v>0</v>
      </c>
      <c r="G384" s="131">
        <v>0</v>
      </c>
      <c r="H384" s="2" t="s">
        <v>69</v>
      </c>
      <c r="I384" s="51"/>
      <c r="J384" s="18"/>
      <c r="K384" s="19"/>
      <c r="L384" s="19"/>
      <c r="M384" s="19"/>
      <c r="N384" s="20"/>
      <c r="O384" s="74"/>
      <c r="P384" s="62"/>
      <c r="S384" s="74"/>
      <c r="T384" s="62"/>
    </row>
    <row r="385" spans="2:20" x14ac:dyDescent="0.45">
      <c r="B385" s="79" t="s">
        <v>263</v>
      </c>
      <c r="C385" s="122" t="s">
        <v>264</v>
      </c>
      <c r="D385" s="131">
        <v>34650</v>
      </c>
      <c r="E385" s="131">
        <v>2.2999999999999998</v>
      </c>
      <c r="F385" s="122">
        <v>79695</v>
      </c>
      <c r="G385" s="122">
        <v>31081.05</v>
      </c>
      <c r="H385" s="2" t="s">
        <v>69</v>
      </c>
      <c r="I385" s="51"/>
      <c r="J385" s="18"/>
      <c r="K385" s="19"/>
      <c r="L385" s="19"/>
      <c r="M385" s="19"/>
      <c r="N385" s="20"/>
      <c r="O385" s="74"/>
      <c r="P385" s="62"/>
      <c r="S385" s="74"/>
      <c r="T385" s="62"/>
    </row>
    <row r="386" spans="2:20" x14ac:dyDescent="0.45">
      <c r="B386" s="79" t="s">
        <v>265</v>
      </c>
      <c r="C386" s="122" t="s">
        <v>266</v>
      </c>
      <c r="D386" s="131">
        <v>35000</v>
      </c>
      <c r="E386" s="131">
        <v>0</v>
      </c>
      <c r="F386" s="122">
        <v>0</v>
      </c>
      <c r="G386" s="122">
        <v>0</v>
      </c>
      <c r="H386" s="2" t="s">
        <v>69</v>
      </c>
      <c r="I386" s="51"/>
      <c r="J386" s="18"/>
      <c r="K386" s="19"/>
      <c r="L386" s="19"/>
      <c r="M386" s="19"/>
      <c r="N386" s="20"/>
      <c r="O386" s="74"/>
      <c r="P386" s="62"/>
      <c r="S386" s="74"/>
      <c r="T386" s="62"/>
    </row>
    <row r="387" spans="2:20" ht="29.25" thickBot="1" x14ac:dyDescent="0.5">
      <c r="B387" s="80" t="s">
        <v>267</v>
      </c>
      <c r="C387" s="123" t="s">
        <v>268</v>
      </c>
      <c r="D387" s="132">
        <v>34650</v>
      </c>
      <c r="E387" s="132">
        <v>26.57</v>
      </c>
      <c r="F387" s="123">
        <v>920650.5</v>
      </c>
      <c r="G387" s="123">
        <v>359053.69500000001</v>
      </c>
      <c r="H387" s="52" t="s">
        <v>69</v>
      </c>
      <c r="I387" s="53"/>
      <c r="J387" s="58"/>
      <c r="K387" s="59"/>
      <c r="L387" s="59"/>
      <c r="M387" s="59"/>
      <c r="N387" s="60"/>
      <c r="O387" s="75"/>
      <c r="P387" s="63"/>
      <c r="S387" s="75"/>
      <c r="T387" s="63"/>
    </row>
    <row r="388" spans="2:20" ht="29.1" customHeight="1" thickBot="1" x14ac:dyDescent="0.5">
      <c r="B388" s="265" t="s">
        <v>94</v>
      </c>
      <c r="C388" s="266"/>
      <c r="D388" s="266"/>
      <c r="E388" s="267"/>
      <c r="F388" s="115">
        <f>SUM(F378:F387)</f>
        <v>11199471.360000001</v>
      </c>
      <c r="G388" s="133"/>
      <c r="H388" s="3"/>
      <c r="I388" s="5"/>
      <c r="J388" s="33"/>
      <c r="K388" s="34"/>
      <c r="L388" s="34"/>
      <c r="M388" s="34"/>
      <c r="N388" s="35"/>
      <c r="O388" s="76"/>
      <c r="P388" s="64"/>
      <c r="S388" s="76"/>
      <c r="T388" s="64"/>
    </row>
    <row r="389" spans="2:20" x14ac:dyDescent="0.45">
      <c r="B389" s="190" t="s">
        <v>70</v>
      </c>
      <c r="C389" s="87" t="s">
        <v>74</v>
      </c>
      <c r="D389" s="133"/>
      <c r="E389" s="133"/>
      <c r="F389" s="133"/>
      <c r="G389" s="134"/>
      <c r="H389" s="1"/>
      <c r="I389" s="159">
        <v>4609</v>
      </c>
      <c r="J389" s="109">
        <v>-0.35222219999999999</v>
      </c>
      <c r="K389" s="112">
        <v>-0.32483790000000001</v>
      </c>
      <c r="L389" s="112">
        <v>-0.35639369999999998</v>
      </c>
      <c r="M389" s="112">
        <v>-0.33181470000000002</v>
      </c>
      <c r="N389" s="163">
        <v>-0.23357729999999999</v>
      </c>
      <c r="O389" s="139">
        <f>(3/10)*K389+(3/10)*M389+(2/10)*N389+(1/10)*J389+(1/10)*L389</f>
        <v>-0.31457282999999997</v>
      </c>
      <c r="P389" s="141">
        <f>O389*(4/10)*$F$388</f>
        <v>-1409219.7600876596</v>
      </c>
      <c r="S389" s="139">
        <f>AVERAGE(J389:N389)</f>
        <v>-0.31976916</v>
      </c>
      <c r="T389" s="141">
        <f>S389*(4/10)*$F$388</f>
        <v>-1432498.2196925033</v>
      </c>
    </row>
    <row r="390" spans="2:20" x14ac:dyDescent="0.45">
      <c r="B390" s="191" t="s">
        <v>71</v>
      </c>
      <c r="C390" s="87"/>
      <c r="D390" s="134"/>
      <c r="E390" s="134"/>
      <c r="F390" s="134"/>
      <c r="G390" s="134"/>
      <c r="H390" s="1"/>
      <c r="I390" s="160">
        <v>1600</v>
      </c>
      <c r="J390" s="110">
        <v>-0.26154169999999999</v>
      </c>
      <c r="K390" s="113">
        <v>-0.24023069999999999</v>
      </c>
      <c r="L390" s="113">
        <v>-0.27427489999999999</v>
      </c>
      <c r="M390" s="113">
        <v>-0.25793280000000002</v>
      </c>
      <c r="N390" s="164">
        <v>-0.26154169999999999</v>
      </c>
      <c r="O390" s="140">
        <f>(3/10)*K390+(3/10)*M390+(2/10)*N390+(1/10)*J390+(1/10)*L390</f>
        <v>-0.25533905000000001</v>
      </c>
      <c r="P390" s="142">
        <f>O390*(4/10)*$F$388</f>
        <v>-1143864.9510258434</v>
      </c>
      <c r="S390" s="140">
        <f>AVERAGE(J390:N390)</f>
        <v>-0.25910435999999998</v>
      </c>
      <c r="T390" s="142">
        <f>S390*(4/10)*$F$388</f>
        <v>-1160732.7436284518</v>
      </c>
    </row>
    <row r="391" spans="2:20" ht="29.25" thickBot="1" x14ac:dyDescent="0.5">
      <c r="B391" s="86" t="s">
        <v>72</v>
      </c>
      <c r="C391" s="89" t="s">
        <v>73</v>
      </c>
      <c r="D391" s="135"/>
      <c r="E391" s="135"/>
      <c r="F391" s="135"/>
      <c r="G391" s="135"/>
      <c r="H391" s="7"/>
      <c r="I391" s="203">
        <v>2520</v>
      </c>
      <c r="J391" s="111">
        <v>-0.2716134</v>
      </c>
      <c r="K391" s="103">
        <v>-0.25511</v>
      </c>
      <c r="L391" s="103">
        <v>-0.27443689999999998</v>
      </c>
      <c r="M391" s="103">
        <v>-0.27629789999999999</v>
      </c>
      <c r="N391" s="104">
        <v>-0.167383</v>
      </c>
      <c r="O391" s="143">
        <f>(3/10)*K391+(3/10)*M391+(2/10)*N391+(1/10)*J391+(1/10)*L391</f>
        <v>-0.24750399999999997</v>
      </c>
      <c r="P391" s="119">
        <f>O391*(2/10)*$F$388</f>
        <v>-554382.79189708806</v>
      </c>
      <c r="S391" s="143">
        <f>AVERAGE(J391:N391)</f>
        <v>-0.24896824000000004</v>
      </c>
      <c r="T391" s="119">
        <f>S391*(2/10)*$F$388</f>
        <v>-557662.53468592151</v>
      </c>
    </row>
    <row r="392" spans="2:20" x14ac:dyDescent="0.45">
      <c r="B392" s="272" t="s">
        <v>86</v>
      </c>
      <c r="C392" s="273"/>
      <c r="D392" s="273"/>
      <c r="E392" s="211"/>
      <c r="F392" s="288">
        <f>F388</f>
        <v>11199471.360000001</v>
      </c>
    </row>
    <row r="393" spans="2:20" ht="29.25" thickBot="1" x14ac:dyDescent="0.5">
      <c r="B393" s="274"/>
      <c r="C393" s="275"/>
      <c r="D393" s="275"/>
      <c r="E393" s="212"/>
      <c r="F393" s="277"/>
    </row>
    <row r="394" spans="2:20" ht="18.95" customHeight="1" x14ac:dyDescent="0.45">
      <c r="M394" s="335" t="s">
        <v>91</v>
      </c>
      <c r="N394" s="337"/>
      <c r="O394" s="243">
        <f>SUM(P378:P391)</f>
        <v>-3107467.5030105915</v>
      </c>
      <c r="P394" s="244"/>
      <c r="S394" s="243">
        <f>SUM(T381:T391)</f>
        <v>-3150893.4980068766</v>
      </c>
      <c r="T394" s="244"/>
    </row>
    <row r="395" spans="2:20" ht="18.95" customHeight="1" x14ac:dyDescent="0.45">
      <c r="M395" s="272"/>
      <c r="N395" s="301"/>
      <c r="O395" s="245"/>
      <c r="P395" s="246"/>
      <c r="S395" s="245"/>
      <c r="T395" s="246"/>
    </row>
    <row r="396" spans="2:20" ht="18.95" customHeight="1" thickBot="1" x14ac:dyDescent="0.5">
      <c r="M396" s="274"/>
      <c r="N396" s="302"/>
      <c r="O396" s="247"/>
      <c r="P396" s="248"/>
      <c r="S396" s="247"/>
      <c r="T396" s="248"/>
    </row>
    <row r="397" spans="2:20" ht="18.95" customHeight="1" x14ac:dyDescent="0.45">
      <c r="M397" s="282" t="s">
        <v>92</v>
      </c>
      <c r="N397" s="283"/>
      <c r="O397" s="249">
        <f>O394/F392</f>
        <v>-0.27746555200000006</v>
      </c>
      <c r="P397" s="250"/>
      <c r="S397" s="249">
        <f>S394/$F$392</f>
        <v>-0.28134305599999998</v>
      </c>
      <c r="T397" s="250"/>
    </row>
    <row r="398" spans="2:20" ht="18.95" customHeight="1" x14ac:dyDescent="0.45">
      <c r="M398" s="284"/>
      <c r="N398" s="285"/>
      <c r="O398" s="251"/>
      <c r="P398" s="252"/>
      <c r="S398" s="251"/>
      <c r="T398" s="252"/>
    </row>
    <row r="399" spans="2:20" ht="18.95" customHeight="1" thickBot="1" x14ac:dyDescent="0.5">
      <c r="M399" s="286"/>
      <c r="N399" s="287"/>
      <c r="O399" s="253"/>
      <c r="P399" s="254"/>
      <c r="S399" s="253"/>
      <c r="T399" s="254"/>
    </row>
    <row r="400" spans="2:20" ht="18.95" customHeight="1" x14ac:dyDescent="0.45">
      <c r="M400" s="350" t="s">
        <v>93</v>
      </c>
      <c r="N400" s="351"/>
      <c r="O400" s="356">
        <f>-((SUM(G378:G387)/SUM(F378:F387)))</f>
        <v>-0.48092542078700395</v>
      </c>
      <c r="P400" s="330"/>
      <c r="S400"/>
    </row>
    <row r="401" spans="13:19" ht="18.95" customHeight="1" x14ac:dyDescent="0.45">
      <c r="M401" s="352"/>
      <c r="N401" s="353"/>
      <c r="O401" s="357"/>
      <c r="P401" s="332"/>
      <c r="S401"/>
    </row>
    <row r="402" spans="13:19" ht="18.95" customHeight="1" thickBot="1" x14ac:dyDescent="0.5">
      <c r="M402" s="354"/>
      <c r="N402" s="355"/>
      <c r="O402" s="358"/>
      <c r="P402" s="334"/>
      <c r="S402"/>
    </row>
    <row r="403" spans="13:19" ht="18.95" customHeight="1" x14ac:dyDescent="0.45">
      <c r="S403"/>
    </row>
    <row r="404" spans="13:19" ht="18.95" customHeight="1" thickBot="1" x14ac:dyDescent="0.5">
      <c r="S404"/>
    </row>
    <row r="405" spans="13:19" ht="18.95" customHeight="1" x14ac:dyDescent="0.45">
      <c r="M405" s="338" t="s">
        <v>121</v>
      </c>
      <c r="N405" s="339"/>
      <c r="O405" s="344">
        <v>-0.25</v>
      </c>
      <c r="P405" s="345"/>
      <c r="S405"/>
    </row>
    <row r="406" spans="13:19" ht="18.95" customHeight="1" x14ac:dyDescent="0.45">
      <c r="M406" s="340"/>
      <c r="N406" s="341"/>
      <c r="O406" s="346"/>
      <c r="P406" s="347"/>
      <c r="S406"/>
    </row>
    <row r="407" spans="13:19" ht="18.95" customHeight="1" x14ac:dyDescent="0.45">
      <c r="M407" s="340"/>
      <c r="N407" s="341"/>
      <c r="O407" s="346"/>
      <c r="P407" s="347"/>
      <c r="S407"/>
    </row>
    <row r="408" spans="13:19" ht="18.95" customHeight="1" thickBot="1" x14ac:dyDescent="0.5">
      <c r="M408" s="342"/>
      <c r="N408" s="343"/>
      <c r="O408" s="348"/>
      <c r="P408" s="349"/>
      <c r="S408"/>
    </row>
    <row r="409" spans="13:19" ht="18.95" customHeight="1" x14ac:dyDescent="0.45"/>
    <row r="410" spans="13:19" ht="18.95" customHeight="1" x14ac:dyDescent="0.45"/>
    <row r="411" spans="13:19" ht="18.95" customHeight="1" x14ac:dyDescent="0.45"/>
  </sheetData>
  <mergeCells count="178">
    <mergeCell ref="F175:F176"/>
    <mergeCell ref="M177:N179"/>
    <mergeCell ref="O177:P179"/>
    <mergeCell ref="M180:N182"/>
    <mergeCell ref="O180:P182"/>
    <mergeCell ref="B5:I6"/>
    <mergeCell ref="F7:I7"/>
    <mergeCell ref="B72:I73"/>
    <mergeCell ref="F74:I74"/>
    <mergeCell ref="B113:I114"/>
    <mergeCell ref="F115:I115"/>
    <mergeCell ref="M57:N60"/>
    <mergeCell ref="O57:P60"/>
    <mergeCell ref="M140:N142"/>
    <mergeCell ref="O140:P142"/>
    <mergeCell ref="M102:N105"/>
    <mergeCell ref="O102:P105"/>
    <mergeCell ref="J113:N115"/>
    <mergeCell ref="O113:P115"/>
    <mergeCell ref="O52:P54"/>
    <mergeCell ref="O5:P7"/>
    <mergeCell ref="O46:P48"/>
    <mergeCell ref="M46:N48"/>
    <mergeCell ref="M52:N54"/>
    <mergeCell ref="M94:N96"/>
    <mergeCell ref="O94:P96"/>
    <mergeCell ref="J76:J77"/>
    <mergeCell ref="K76:K77"/>
    <mergeCell ref="L76:L77"/>
    <mergeCell ref="E76:E77"/>
    <mergeCell ref="M137:N139"/>
    <mergeCell ref="O137:P139"/>
    <mergeCell ref="M221:N223"/>
    <mergeCell ref="O221:P223"/>
    <mergeCell ref="M224:N226"/>
    <mergeCell ref="O224:P226"/>
    <mergeCell ref="M229:N232"/>
    <mergeCell ref="O229:P232"/>
    <mergeCell ref="M97:N99"/>
    <mergeCell ref="O97:P99"/>
    <mergeCell ref="B162:I163"/>
    <mergeCell ref="B135:D136"/>
    <mergeCell ref="F135:F136"/>
    <mergeCell ref="B172:E172"/>
    <mergeCell ref="B214:E214"/>
    <mergeCell ref="B216:E217"/>
    <mergeCell ref="O162:P164"/>
    <mergeCell ref="F164:I164"/>
    <mergeCell ref="M183:N185"/>
    <mergeCell ref="O183:P185"/>
    <mergeCell ref="M188:N191"/>
    <mergeCell ref="O188:P191"/>
    <mergeCell ref="B175:D176"/>
    <mergeCell ref="J72:N74"/>
    <mergeCell ref="O72:P74"/>
    <mergeCell ref="M91:N93"/>
    <mergeCell ref="O91:P93"/>
    <mergeCell ref="M218:N220"/>
    <mergeCell ref="O218:P220"/>
    <mergeCell ref="J199:N201"/>
    <mergeCell ref="O199:P201"/>
    <mergeCell ref="M76:M77"/>
    <mergeCell ref="O76:O77"/>
    <mergeCell ref="P76:P77"/>
    <mergeCell ref="M148:N151"/>
    <mergeCell ref="O148:P151"/>
    <mergeCell ref="M143:N145"/>
    <mergeCell ref="O143:P145"/>
    <mergeCell ref="J162:N164"/>
    <mergeCell ref="M279:N281"/>
    <mergeCell ref="O279:P281"/>
    <mergeCell ref="M282:N284"/>
    <mergeCell ref="O282:P284"/>
    <mergeCell ref="B244:I245"/>
    <mergeCell ref="J244:N246"/>
    <mergeCell ref="O244:P246"/>
    <mergeCell ref="F246:I246"/>
    <mergeCell ref="B273:E273"/>
    <mergeCell ref="J302:N304"/>
    <mergeCell ref="O302:P304"/>
    <mergeCell ref="F304:I304"/>
    <mergeCell ref="F310:F311"/>
    <mergeCell ref="M312:N314"/>
    <mergeCell ref="O312:P314"/>
    <mergeCell ref="M285:N287"/>
    <mergeCell ref="O285:P287"/>
    <mergeCell ref="M290:N293"/>
    <mergeCell ref="O290:P293"/>
    <mergeCell ref="M405:N408"/>
    <mergeCell ref="O405:P408"/>
    <mergeCell ref="M363:N366"/>
    <mergeCell ref="O363:P366"/>
    <mergeCell ref="B374:I375"/>
    <mergeCell ref="J374:N376"/>
    <mergeCell ref="O374:P376"/>
    <mergeCell ref="F376:I376"/>
    <mergeCell ref="B392:D393"/>
    <mergeCell ref="F392:F393"/>
    <mergeCell ref="B388:E388"/>
    <mergeCell ref="M394:N396"/>
    <mergeCell ref="O394:P396"/>
    <mergeCell ref="M397:N399"/>
    <mergeCell ref="O397:P399"/>
    <mergeCell ref="M400:N402"/>
    <mergeCell ref="O400:P402"/>
    <mergeCell ref="F350:F351"/>
    <mergeCell ref="M352:N354"/>
    <mergeCell ref="O352:P354"/>
    <mergeCell ref="M355:N357"/>
    <mergeCell ref="O355:P357"/>
    <mergeCell ref="M358:N360"/>
    <mergeCell ref="O358:P360"/>
    <mergeCell ref="B350:E351"/>
    <mergeCell ref="M315:N317"/>
    <mergeCell ref="O315:P317"/>
    <mergeCell ref="M318:N320"/>
    <mergeCell ref="O318:P320"/>
    <mergeCell ref="M323:N326"/>
    <mergeCell ref="O323:P326"/>
    <mergeCell ref="B335:I336"/>
    <mergeCell ref="J335:N337"/>
    <mergeCell ref="O335:P337"/>
    <mergeCell ref="F337:I337"/>
    <mergeCell ref="B307:E307"/>
    <mergeCell ref="B310:E311"/>
    <mergeCell ref="B346:E346"/>
    <mergeCell ref="B302:I303"/>
    <mergeCell ref="B277:D278"/>
    <mergeCell ref="F277:F278"/>
    <mergeCell ref="F216:F217"/>
    <mergeCell ref="B199:I200"/>
    <mergeCell ref="F201:I201"/>
    <mergeCell ref="S5:T7"/>
    <mergeCell ref="S46:T48"/>
    <mergeCell ref="S49:T51"/>
    <mergeCell ref="S72:T74"/>
    <mergeCell ref="S76:S77"/>
    <mergeCell ref="T76:T77"/>
    <mergeCell ref="S91:T93"/>
    <mergeCell ref="B132:E132"/>
    <mergeCell ref="B85:E85"/>
    <mergeCell ref="G76:G77"/>
    <mergeCell ref="H76:H77"/>
    <mergeCell ref="B89:D90"/>
    <mergeCell ref="F89:F90"/>
    <mergeCell ref="B76:B77"/>
    <mergeCell ref="C76:C77"/>
    <mergeCell ref="D76:D77"/>
    <mergeCell ref="F76:F77"/>
    <mergeCell ref="I76:I77"/>
    <mergeCell ref="M49:N51"/>
    <mergeCell ref="O49:P51"/>
    <mergeCell ref="B44:D45"/>
    <mergeCell ref="F44:F45"/>
    <mergeCell ref="J5:N7"/>
    <mergeCell ref="B40:E40"/>
    <mergeCell ref="S177:T179"/>
    <mergeCell ref="S180:T182"/>
    <mergeCell ref="S199:T201"/>
    <mergeCell ref="S218:T220"/>
    <mergeCell ref="S221:T223"/>
    <mergeCell ref="S94:T96"/>
    <mergeCell ref="S113:T115"/>
    <mergeCell ref="S137:T139"/>
    <mergeCell ref="S140:T142"/>
    <mergeCell ref="S162:T164"/>
    <mergeCell ref="S335:T337"/>
    <mergeCell ref="S352:T354"/>
    <mergeCell ref="S355:T357"/>
    <mergeCell ref="S374:T376"/>
    <mergeCell ref="S394:T396"/>
    <mergeCell ref="S397:T399"/>
    <mergeCell ref="S244:T246"/>
    <mergeCell ref="S279:T281"/>
    <mergeCell ref="S282:T284"/>
    <mergeCell ref="S302:T304"/>
    <mergeCell ref="S312:T314"/>
    <mergeCell ref="S315:T317"/>
  </mergeCells>
  <pageMargins left="0.7" right="0.7" top="0.75" bottom="0.75" header="0.3" footer="0.3"/>
  <pageSetup paperSize="9" orientation="portrait" r:id="rId1"/>
  <ignoredErrors>
    <ignoredError sqref="O11 O22 O27" formula="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Détails des 9 classes d'actifs</vt:lpstr>
    </vt:vector>
  </TitlesOfParts>
  <Company>Groupe Burrus Technologies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ANTUNES Manuel</dc:creator>
  <cp:lastModifiedBy>benjamin lhx</cp:lastModifiedBy>
  <dcterms:created xsi:type="dcterms:W3CDTF">2023-01-31T13:30:37Z</dcterms:created>
  <dcterms:modified xsi:type="dcterms:W3CDTF">2025-05-05T15:14:24Z</dcterms:modified>
</cp:coreProperties>
</file>