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\sov\extract\"/>
    </mc:Choice>
  </mc:AlternateContent>
  <xr:revisionPtr revIDLastSave="0" documentId="13_ncr:1_{28DBB0F8-5DE0-41E2-A500-5B92FE085D16}" xr6:coauthVersionLast="47" xr6:coauthVersionMax="47" xr10:uidLastSave="{00000000-0000-0000-0000-000000000000}"/>
  <bookViews>
    <workbookView xWindow="11625" yWindow="1710" windowWidth="22860" windowHeight="18945" xr2:uid="{00000000-000D-0000-FFFF-FFFF00000000}"/>
  </bookViews>
  <sheets>
    <sheet name="Sheet1" sheetId="1" r:id="rId1"/>
    <sheet name="Sheet2" sheetId="2" r:id="rId2"/>
    <sheet name="Sheet3" sheetId="3" r:id="rId3"/>
    <sheet name="FD_solid" sheetId="4" r:id="rId4"/>
    <sheet name="FD_supernatant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For analysi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L2" i="10"/>
  <c r="I5" i="10"/>
  <c r="I2" i="10"/>
  <c r="C5" i="10"/>
  <c r="C2" i="10"/>
  <c r="P10" i="9" l="1"/>
  <c r="P5" i="9"/>
  <c r="H2" i="8"/>
  <c r="L8" i="8"/>
  <c r="N35" i="4"/>
  <c r="Z56" i="4"/>
  <c r="P2" i="11"/>
  <c r="O2" i="11"/>
  <c r="N2" i="11"/>
  <c r="M2" i="1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2" i="12"/>
  <c r="E4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2" i="12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2" i="11"/>
  <c r="D17" i="11"/>
  <c r="D3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C2" i="11"/>
  <c r="G17" i="11"/>
  <c r="G16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7" i="11"/>
  <c r="E16" i="11"/>
  <c r="E15" i="11"/>
  <c r="E14" i="11"/>
  <c r="E13" i="11"/>
  <c r="E12" i="11"/>
  <c r="E11" i="11"/>
  <c r="E10" i="11"/>
  <c r="E9" i="11"/>
  <c r="E7" i="11"/>
  <c r="E8" i="11"/>
  <c r="E6" i="11"/>
  <c r="E5" i="11"/>
  <c r="E4" i="11"/>
  <c r="E3" i="11"/>
  <c r="E2" i="11"/>
  <c r="C17" i="11"/>
  <c r="C16" i="11"/>
  <c r="C15" i="11"/>
  <c r="C14" i="11"/>
  <c r="C8" i="11"/>
  <c r="C6" i="11"/>
  <c r="C4" i="11"/>
  <c r="C3" i="11"/>
  <c r="C13" i="11"/>
  <c r="C12" i="11"/>
  <c r="C11" i="11"/>
  <c r="C10" i="11"/>
  <c r="C9" i="11"/>
  <c r="C19" i="11" s="1"/>
  <c r="C7" i="11"/>
  <c r="C5" i="11"/>
  <c r="L11" i="10"/>
  <c r="M47" i="10"/>
  <c r="L47" i="10"/>
  <c r="M44" i="10"/>
  <c r="L44" i="10"/>
  <c r="M41" i="10"/>
  <c r="L41" i="10"/>
  <c r="M38" i="10"/>
  <c r="L38" i="10"/>
  <c r="M35" i="10"/>
  <c r="L35" i="10"/>
  <c r="M32" i="10"/>
  <c r="L32" i="10"/>
  <c r="M29" i="10"/>
  <c r="L29" i="10"/>
  <c r="M26" i="10"/>
  <c r="L26" i="10"/>
  <c r="M23" i="10"/>
  <c r="L23" i="10"/>
  <c r="M20" i="10"/>
  <c r="L20" i="10"/>
  <c r="M17" i="10"/>
  <c r="L17" i="10"/>
  <c r="M14" i="10"/>
  <c r="L14" i="10"/>
  <c r="M11" i="10"/>
  <c r="M8" i="10"/>
  <c r="L8" i="10"/>
  <c r="M5" i="10"/>
  <c r="L5" i="10"/>
  <c r="M2" i="10"/>
  <c r="J47" i="10"/>
  <c r="I47" i="10"/>
  <c r="J44" i="10"/>
  <c r="I44" i="10"/>
  <c r="J41" i="10"/>
  <c r="I41" i="10"/>
  <c r="J38" i="10"/>
  <c r="I38" i="10"/>
  <c r="J35" i="10"/>
  <c r="I35" i="10"/>
  <c r="J32" i="10"/>
  <c r="I32" i="10"/>
  <c r="J29" i="10"/>
  <c r="I29" i="10"/>
  <c r="J26" i="10"/>
  <c r="I26" i="10"/>
  <c r="J23" i="10"/>
  <c r="I23" i="10"/>
  <c r="J20" i="10"/>
  <c r="I20" i="10"/>
  <c r="J17" i="10"/>
  <c r="I17" i="10"/>
  <c r="J14" i="10"/>
  <c r="I14" i="10"/>
  <c r="J11" i="10"/>
  <c r="I11" i="10"/>
  <c r="J8" i="10"/>
  <c r="I8" i="10"/>
  <c r="J5" i="10"/>
  <c r="J2" i="10"/>
  <c r="G47" i="10"/>
  <c r="F47" i="10"/>
  <c r="G44" i="10"/>
  <c r="F44" i="10"/>
  <c r="G41" i="10"/>
  <c r="F41" i="10"/>
  <c r="G38" i="10"/>
  <c r="F38" i="10"/>
  <c r="G35" i="10"/>
  <c r="F35" i="10"/>
  <c r="G32" i="10"/>
  <c r="F32" i="10"/>
  <c r="G29" i="10"/>
  <c r="F29" i="10"/>
  <c r="G26" i="10"/>
  <c r="F26" i="10"/>
  <c r="G23" i="10"/>
  <c r="F23" i="10"/>
  <c r="G20" i="10"/>
  <c r="F20" i="10"/>
  <c r="G17" i="10"/>
  <c r="F17" i="10"/>
  <c r="G14" i="10"/>
  <c r="F14" i="10"/>
  <c r="G11" i="10"/>
  <c r="F11" i="10"/>
  <c r="G8" i="10"/>
  <c r="F8" i="10"/>
  <c r="G5" i="10"/>
  <c r="F5" i="10"/>
  <c r="G2" i="10"/>
  <c r="F2" i="10"/>
  <c r="D47" i="10"/>
  <c r="C47" i="10"/>
  <c r="D44" i="10"/>
  <c r="C44" i="10"/>
  <c r="D41" i="10"/>
  <c r="C41" i="10"/>
  <c r="D38" i="10"/>
  <c r="C38" i="10"/>
  <c r="D35" i="10"/>
  <c r="C35" i="10"/>
  <c r="D32" i="10"/>
  <c r="C32" i="10"/>
  <c r="D29" i="10"/>
  <c r="C29" i="10"/>
  <c r="D26" i="10"/>
  <c r="C26" i="10"/>
  <c r="D23" i="10"/>
  <c r="C23" i="10"/>
  <c r="D20" i="10"/>
  <c r="C20" i="10"/>
  <c r="D17" i="10"/>
  <c r="C17" i="10"/>
  <c r="D14" i="10"/>
  <c r="C14" i="10"/>
  <c r="D11" i="10"/>
  <c r="C11" i="10"/>
  <c r="D8" i="10"/>
  <c r="C8" i="10"/>
  <c r="D5" i="10"/>
  <c r="D2" i="10"/>
  <c r="I7" i="8"/>
  <c r="I13" i="8"/>
  <c r="I6" i="8"/>
  <c r="I12" i="8"/>
  <c r="I5" i="8"/>
  <c r="I11" i="8"/>
  <c r="J20" i="8"/>
  <c r="J41" i="8"/>
  <c r="J42" i="8"/>
  <c r="K40" i="8"/>
  <c r="K39" i="8"/>
  <c r="K38" i="8"/>
  <c r="K36" i="8"/>
  <c r="K35" i="8"/>
  <c r="K37" i="8"/>
  <c r="I37" i="8"/>
  <c r="I35" i="8"/>
  <c r="I36" i="8"/>
  <c r="I10" i="8" l="1"/>
  <c r="I9" i="8"/>
  <c r="I8" i="8"/>
  <c r="N10" i="8"/>
  <c r="N8" i="8"/>
  <c r="N9" i="8"/>
  <c r="N11" i="8"/>
  <c r="L10" i="8"/>
  <c r="L9" i="8"/>
  <c r="J5" i="8"/>
  <c r="H5" i="8"/>
  <c r="K7" i="8"/>
  <c r="K5" i="8"/>
  <c r="J12" i="8"/>
  <c r="K12" i="8" s="1"/>
  <c r="J13" i="8"/>
  <c r="K13" i="8" s="1"/>
  <c r="J11" i="8"/>
  <c r="J8" i="8"/>
  <c r="J10" i="8"/>
  <c r="J9" i="8"/>
  <c r="K9" i="8" s="1"/>
  <c r="I48" i="8"/>
  <c r="I47" i="8"/>
  <c r="I44" i="8"/>
  <c r="L46" i="8" s="1"/>
  <c r="I46" i="8"/>
  <c r="I45" i="8"/>
  <c r="I2" i="8"/>
  <c r="K2" i="8" s="1"/>
  <c r="I4" i="8"/>
  <c r="I3" i="8"/>
  <c r="H49" i="9"/>
  <c r="H48" i="9"/>
  <c r="O47" i="9"/>
  <c r="N47" i="9"/>
  <c r="H47" i="9"/>
  <c r="D47" i="9"/>
  <c r="C47" i="9"/>
  <c r="H46" i="9"/>
  <c r="H45" i="9"/>
  <c r="O44" i="9"/>
  <c r="N44" i="9"/>
  <c r="H44" i="9"/>
  <c r="D44" i="9"/>
  <c r="C44" i="9"/>
  <c r="M43" i="9"/>
  <c r="P43" i="9" s="1"/>
  <c r="H43" i="9"/>
  <c r="P42" i="9"/>
  <c r="M42" i="9"/>
  <c r="H42" i="9"/>
  <c r="O41" i="9"/>
  <c r="M41" i="9"/>
  <c r="P41" i="9" s="1"/>
  <c r="L41" i="9"/>
  <c r="K41" i="9"/>
  <c r="H41" i="9"/>
  <c r="G41" i="9"/>
  <c r="F41" i="9"/>
  <c r="D41" i="9"/>
  <c r="C41" i="9"/>
  <c r="M40" i="9"/>
  <c r="H40" i="9"/>
  <c r="M39" i="9"/>
  <c r="O38" i="9" s="1"/>
  <c r="H39" i="9"/>
  <c r="M38" i="9"/>
  <c r="N38" i="9" s="1"/>
  <c r="H38" i="9"/>
  <c r="G38" i="9"/>
  <c r="F38" i="9"/>
  <c r="D38" i="9"/>
  <c r="C38" i="9"/>
  <c r="M37" i="9"/>
  <c r="H37" i="9"/>
  <c r="M36" i="9"/>
  <c r="O35" i="9" s="1"/>
  <c r="H36" i="9"/>
  <c r="M35" i="9"/>
  <c r="N35" i="9" s="1"/>
  <c r="H35" i="9"/>
  <c r="G35" i="9"/>
  <c r="F35" i="9"/>
  <c r="D35" i="9"/>
  <c r="C35" i="9"/>
  <c r="M34" i="9"/>
  <c r="P34" i="9" s="1"/>
  <c r="H34" i="9"/>
  <c r="M33" i="9"/>
  <c r="P33" i="9" s="1"/>
  <c r="H33" i="9"/>
  <c r="N32" i="9"/>
  <c r="M32" i="9"/>
  <c r="P32" i="9" s="1"/>
  <c r="L32" i="9"/>
  <c r="K32" i="9"/>
  <c r="H32" i="9"/>
  <c r="G32" i="9"/>
  <c r="F32" i="9"/>
  <c r="D32" i="9"/>
  <c r="C32" i="9"/>
  <c r="H31" i="9"/>
  <c r="P31" i="9" s="1"/>
  <c r="H30" i="9"/>
  <c r="P30" i="9" s="1"/>
  <c r="P29" i="9"/>
  <c r="O29" i="9"/>
  <c r="N29" i="9"/>
  <c r="H29" i="9"/>
  <c r="G29" i="9"/>
  <c r="F29" i="9"/>
  <c r="D29" i="9"/>
  <c r="C29" i="9"/>
  <c r="H28" i="9"/>
  <c r="P28" i="9" s="1"/>
  <c r="H27" i="9"/>
  <c r="P27" i="9" s="1"/>
  <c r="O26" i="9"/>
  <c r="N26" i="9"/>
  <c r="L26" i="9"/>
  <c r="K26" i="9"/>
  <c r="H26" i="9"/>
  <c r="P26" i="9" s="1"/>
  <c r="G26" i="9"/>
  <c r="F26" i="9"/>
  <c r="D26" i="9"/>
  <c r="C26" i="9"/>
  <c r="H25" i="9"/>
  <c r="P25" i="9" s="1"/>
  <c r="H24" i="9"/>
  <c r="P24" i="9" s="1"/>
  <c r="O23" i="9"/>
  <c r="N23" i="9"/>
  <c r="H23" i="9"/>
  <c r="P23" i="9" s="1"/>
  <c r="G23" i="9"/>
  <c r="F23" i="9"/>
  <c r="D23" i="9"/>
  <c r="C23" i="9"/>
  <c r="H22" i="9"/>
  <c r="H21" i="9"/>
  <c r="O20" i="9"/>
  <c r="N20" i="9"/>
  <c r="H20" i="9"/>
  <c r="G20" i="9"/>
  <c r="F20" i="9"/>
  <c r="D20" i="9"/>
  <c r="C20" i="9"/>
  <c r="P19" i="9"/>
  <c r="M19" i="9"/>
  <c r="H19" i="9"/>
  <c r="M18" i="9"/>
  <c r="P18" i="9" s="1"/>
  <c r="H18" i="9"/>
  <c r="P17" i="9"/>
  <c r="M17" i="9"/>
  <c r="O17" i="9" s="1"/>
  <c r="L17" i="9"/>
  <c r="K17" i="9"/>
  <c r="H17" i="9"/>
  <c r="D17" i="9"/>
  <c r="C17" i="9"/>
  <c r="M16" i="9"/>
  <c r="P16" i="9" s="1"/>
  <c r="H16" i="9"/>
  <c r="P15" i="9"/>
  <c r="M15" i="9"/>
  <c r="H15" i="9"/>
  <c r="O14" i="9"/>
  <c r="M14" i="9"/>
  <c r="P14" i="9" s="1"/>
  <c r="L14" i="9"/>
  <c r="K14" i="9"/>
  <c r="H14" i="9"/>
  <c r="D14" i="9"/>
  <c r="C14" i="9"/>
  <c r="M13" i="9"/>
  <c r="O11" i="9" s="1"/>
  <c r="H13" i="9"/>
  <c r="M12" i="9"/>
  <c r="H12" i="9"/>
  <c r="M11" i="9"/>
  <c r="N11" i="9" s="1"/>
  <c r="H11" i="9"/>
  <c r="D11" i="9"/>
  <c r="C11" i="9"/>
  <c r="M10" i="9"/>
  <c r="N8" i="9" s="1"/>
  <c r="H10" i="9"/>
  <c r="M9" i="9"/>
  <c r="P9" i="9" s="1"/>
  <c r="H9" i="9"/>
  <c r="M8" i="9"/>
  <c r="O8" i="9" s="1"/>
  <c r="J8" i="9"/>
  <c r="L8" i="9" s="1"/>
  <c r="H8" i="9"/>
  <c r="P8" i="9" s="1"/>
  <c r="D8" i="9"/>
  <c r="C8" i="9"/>
  <c r="M7" i="9"/>
  <c r="H7" i="9"/>
  <c r="M6" i="9"/>
  <c r="H6" i="9"/>
  <c r="M5" i="9"/>
  <c r="O5" i="9" s="1"/>
  <c r="H5" i="9"/>
  <c r="D5" i="9"/>
  <c r="C5" i="9"/>
  <c r="H4" i="9"/>
  <c r="H3" i="9"/>
  <c r="H2" i="9"/>
  <c r="D2" i="9"/>
  <c r="C2" i="9"/>
  <c r="H49" i="8"/>
  <c r="K49" i="8" s="1"/>
  <c r="H48" i="8"/>
  <c r="K48" i="8" s="1"/>
  <c r="H47" i="8"/>
  <c r="K47" i="8" s="1"/>
  <c r="D47" i="8"/>
  <c r="C47" i="8"/>
  <c r="H46" i="8"/>
  <c r="K46" i="8" s="1"/>
  <c r="H45" i="8"/>
  <c r="K45" i="8" s="1"/>
  <c r="H44" i="8"/>
  <c r="D44" i="8"/>
  <c r="C44" i="8"/>
  <c r="K43" i="8"/>
  <c r="J43" i="8"/>
  <c r="H43" i="8"/>
  <c r="H42" i="8"/>
  <c r="K42" i="8" s="1"/>
  <c r="H41" i="8"/>
  <c r="K41" i="8" s="1"/>
  <c r="G41" i="8"/>
  <c r="F41" i="8"/>
  <c r="D41" i="8"/>
  <c r="C41" i="8"/>
  <c r="J40" i="8"/>
  <c r="H40" i="8"/>
  <c r="J39" i="8"/>
  <c r="H39" i="8"/>
  <c r="J38" i="8"/>
  <c r="H38" i="8"/>
  <c r="G38" i="8"/>
  <c r="F38" i="8"/>
  <c r="D38" i="8"/>
  <c r="C38" i="8"/>
  <c r="J37" i="8"/>
  <c r="H37" i="8"/>
  <c r="J36" i="8"/>
  <c r="H36" i="8"/>
  <c r="J35" i="8"/>
  <c r="H35" i="8"/>
  <c r="G35" i="8"/>
  <c r="F35" i="8"/>
  <c r="D35" i="8"/>
  <c r="C35" i="8"/>
  <c r="J34" i="8"/>
  <c r="K34" i="8" s="1"/>
  <c r="H34" i="8"/>
  <c r="J33" i="8"/>
  <c r="K33" i="8" s="1"/>
  <c r="H33" i="8"/>
  <c r="K32" i="8"/>
  <c r="J32" i="8"/>
  <c r="H32" i="8"/>
  <c r="G32" i="8"/>
  <c r="F32" i="8"/>
  <c r="D32" i="8"/>
  <c r="C32" i="8"/>
  <c r="H31" i="8"/>
  <c r="K31" i="8" s="1"/>
  <c r="H30" i="8"/>
  <c r="K30" i="8" s="1"/>
  <c r="H29" i="8"/>
  <c r="K29" i="8" s="1"/>
  <c r="G29" i="8"/>
  <c r="F29" i="8"/>
  <c r="D29" i="8"/>
  <c r="C29" i="8"/>
  <c r="H28" i="8"/>
  <c r="K28" i="8" s="1"/>
  <c r="H27" i="8"/>
  <c r="K27" i="8" s="1"/>
  <c r="H26" i="8"/>
  <c r="K26" i="8" s="1"/>
  <c r="G26" i="8"/>
  <c r="F26" i="8"/>
  <c r="D26" i="8"/>
  <c r="C26" i="8"/>
  <c r="H25" i="8"/>
  <c r="K25" i="8" s="1"/>
  <c r="H24" i="8"/>
  <c r="K24" i="8" s="1"/>
  <c r="H23" i="8"/>
  <c r="K23" i="8" s="1"/>
  <c r="G23" i="8"/>
  <c r="F23" i="8"/>
  <c r="D23" i="8"/>
  <c r="C23" i="8"/>
  <c r="H22" i="8"/>
  <c r="K22" i="8" s="1"/>
  <c r="H21" i="8"/>
  <c r="K21" i="8" s="1"/>
  <c r="H20" i="8"/>
  <c r="K20" i="8" s="1"/>
  <c r="G20" i="8"/>
  <c r="F20" i="8"/>
  <c r="D20" i="8"/>
  <c r="C20" i="8"/>
  <c r="J19" i="8"/>
  <c r="K19" i="8" s="1"/>
  <c r="H19" i="8"/>
  <c r="K18" i="8"/>
  <c r="J18" i="8"/>
  <c r="H18" i="8"/>
  <c r="J17" i="8"/>
  <c r="K17" i="8" s="1"/>
  <c r="H17" i="8"/>
  <c r="D17" i="8"/>
  <c r="C17" i="8"/>
  <c r="J16" i="8"/>
  <c r="K16" i="8" s="1"/>
  <c r="H16" i="8"/>
  <c r="J15" i="8"/>
  <c r="K15" i="8" s="1"/>
  <c r="H15" i="8"/>
  <c r="J14" i="8"/>
  <c r="K14" i="8" s="1"/>
  <c r="H14" i="8"/>
  <c r="D14" i="8"/>
  <c r="C14" i="8"/>
  <c r="H13" i="8"/>
  <c r="H12" i="8"/>
  <c r="H11" i="8"/>
  <c r="D11" i="8"/>
  <c r="C11" i="8"/>
  <c r="K10" i="8"/>
  <c r="H10" i="8"/>
  <c r="H9" i="8"/>
  <c r="H8" i="8"/>
  <c r="D8" i="8"/>
  <c r="C8" i="8"/>
  <c r="J7" i="8"/>
  <c r="H7" i="8"/>
  <c r="J6" i="8"/>
  <c r="H6" i="8"/>
  <c r="K6" i="8" s="1"/>
  <c r="D5" i="8"/>
  <c r="C5" i="8"/>
  <c r="H4" i="8"/>
  <c r="K4" i="8" s="1"/>
  <c r="H3" i="8"/>
  <c r="K3" i="8" s="1"/>
  <c r="D2" i="8"/>
  <c r="C2" i="8"/>
  <c r="F69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H49" i="6"/>
  <c r="H48" i="6"/>
  <c r="H47" i="6"/>
  <c r="H46" i="6"/>
  <c r="H45" i="6"/>
  <c r="H44" i="6"/>
  <c r="H43" i="6"/>
  <c r="H42" i="6"/>
  <c r="H41" i="6"/>
  <c r="G41" i="6"/>
  <c r="F41" i="6"/>
  <c r="D41" i="6"/>
  <c r="C41" i="6"/>
  <c r="H40" i="6"/>
  <c r="H39" i="6"/>
  <c r="H38" i="6"/>
  <c r="G38" i="6"/>
  <c r="F38" i="6"/>
  <c r="D38" i="6"/>
  <c r="C38" i="6"/>
  <c r="H37" i="6"/>
  <c r="H36" i="6"/>
  <c r="H35" i="6"/>
  <c r="G35" i="6"/>
  <c r="F35" i="6"/>
  <c r="D35" i="6"/>
  <c r="C35" i="6"/>
  <c r="H34" i="6"/>
  <c r="H33" i="6"/>
  <c r="H32" i="6"/>
  <c r="G32" i="6"/>
  <c r="F32" i="6"/>
  <c r="D32" i="6"/>
  <c r="C32" i="6"/>
  <c r="H31" i="6"/>
  <c r="H30" i="6"/>
  <c r="H29" i="6"/>
  <c r="G29" i="6"/>
  <c r="F29" i="6"/>
  <c r="D29" i="6"/>
  <c r="C29" i="6"/>
  <c r="H28" i="6"/>
  <c r="H27" i="6"/>
  <c r="H26" i="6"/>
  <c r="G26" i="6"/>
  <c r="F26" i="6"/>
  <c r="D26" i="6"/>
  <c r="C26" i="6"/>
  <c r="H25" i="6"/>
  <c r="H24" i="6"/>
  <c r="H23" i="6"/>
  <c r="G23" i="6"/>
  <c r="F23" i="6"/>
  <c r="D23" i="6"/>
  <c r="C23" i="6"/>
  <c r="H22" i="6"/>
  <c r="H21" i="6"/>
  <c r="H20" i="6"/>
  <c r="G20" i="6"/>
  <c r="F20" i="6"/>
  <c r="D20" i="6"/>
  <c r="C20" i="6"/>
  <c r="H19" i="6"/>
  <c r="H18" i="6"/>
  <c r="H17" i="6"/>
  <c r="D17" i="6"/>
  <c r="C17" i="6"/>
  <c r="H16" i="6"/>
  <c r="H15" i="6"/>
  <c r="H14" i="6"/>
  <c r="D14" i="6"/>
  <c r="C14" i="6"/>
  <c r="H13" i="6"/>
  <c r="H12" i="6"/>
  <c r="H11" i="6"/>
  <c r="D11" i="6"/>
  <c r="C11" i="6"/>
  <c r="H10" i="6"/>
  <c r="H9" i="6"/>
  <c r="H8" i="6"/>
  <c r="D8" i="6"/>
  <c r="C8" i="6"/>
  <c r="H7" i="6"/>
  <c r="H6" i="6"/>
  <c r="H5" i="6"/>
  <c r="D5" i="6"/>
  <c r="C5" i="6"/>
  <c r="H4" i="6"/>
  <c r="H3" i="6"/>
  <c r="H2" i="6"/>
  <c r="D2" i="6"/>
  <c r="C2" i="6"/>
  <c r="N24" i="5"/>
  <c r="F24" i="5"/>
  <c r="N22" i="5"/>
  <c r="F22" i="5"/>
  <c r="G20" i="5" s="1"/>
  <c r="P20" i="5"/>
  <c r="N20" i="5"/>
  <c r="O20" i="5" s="1"/>
  <c r="F20" i="5"/>
  <c r="H20" i="5" s="1"/>
  <c r="N18" i="5"/>
  <c r="F18" i="5"/>
  <c r="N16" i="5"/>
  <c r="F16" i="5"/>
  <c r="N14" i="5"/>
  <c r="O14" i="5" s="1"/>
  <c r="F14" i="5"/>
  <c r="H14" i="5" s="1"/>
  <c r="N12" i="5"/>
  <c r="F12" i="5"/>
  <c r="N10" i="5"/>
  <c r="F10" i="5"/>
  <c r="N8" i="5"/>
  <c r="P8" i="5" s="1"/>
  <c r="H8" i="5"/>
  <c r="G8" i="5"/>
  <c r="F8" i="5"/>
  <c r="N6" i="5"/>
  <c r="F6" i="5"/>
  <c r="N4" i="5"/>
  <c r="P2" i="5" s="1"/>
  <c r="F4" i="5"/>
  <c r="N2" i="5"/>
  <c r="O2" i="5" s="1"/>
  <c r="F2" i="5"/>
  <c r="G2" i="5" s="1"/>
  <c r="AB56" i="4"/>
  <c r="AA56" i="4"/>
  <c r="Z54" i="4"/>
  <c r="Z52" i="4"/>
  <c r="R51" i="4"/>
  <c r="Q51" i="4"/>
  <c r="P51" i="4"/>
  <c r="Z50" i="4"/>
  <c r="AB50" i="4" s="1"/>
  <c r="P49" i="4"/>
  <c r="P47" i="4"/>
  <c r="R45" i="4" s="1"/>
  <c r="P45" i="4"/>
  <c r="V43" i="4"/>
  <c r="X39" i="4" s="1"/>
  <c r="V41" i="4"/>
  <c r="V39" i="4"/>
  <c r="W39" i="4" s="1"/>
  <c r="F39" i="4"/>
  <c r="F37" i="4"/>
  <c r="P35" i="4"/>
  <c r="O35" i="4"/>
  <c r="F35" i="4"/>
  <c r="H35" i="4" s="1"/>
  <c r="N33" i="4"/>
  <c r="F32" i="4"/>
  <c r="N31" i="4"/>
  <c r="U29" i="4"/>
  <c r="S29" i="4"/>
  <c r="T29" i="4" s="1"/>
  <c r="P29" i="4"/>
  <c r="O29" i="4"/>
  <c r="N29" i="4"/>
  <c r="F29" i="4"/>
  <c r="P26" i="4"/>
  <c r="O26" i="4"/>
  <c r="N26" i="4"/>
  <c r="H26" i="4"/>
  <c r="F26" i="4"/>
  <c r="G26" i="4" s="1"/>
  <c r="N24" i="4"/>
  <c r="F24" i="4"/>
  <c r="N22" i="4"/>
  <c r="F22" i="4"/>
  <c r="H20" i="4" s="1"/>
  <c r="N20" i="4"/>
  <c r="P20" i="4" s="1"/>
  <c r="F20" i="4"/>
  <c r="G20" i="4" s="1"/>
  <c r="F18" i="4"/>
  <c r="P17" i="4"/>
  <c r="N17" i="4"/>
  <c r="O17" i="4" s="1"/>
  <c r="F16" i="4"/>
  <c r="G14" i="4" s="1"/>
  <c r="P14" i="4"/>
  <c r="N14" i="4"/>
  <c r="O14" i="4" s="1"/>
  <c r="F14" i="4"/>
  <c r="H14" i="4" s="1"/>
  <c r="N12" i="4"/>
  <c r="F12" i="4"/>
  <c r="N10" i="4"/>
  <c r="F10" i="4"/>
  <c r="N8" i="4"/>
  <c r="O8" i="4" s="1"/>
  <c r="F8" i="4"/>
  <c r="H8" i="4" s="1"/>
  <c r="N6" i="4"/>
  <c r="F6" i="4"/>
  <c r="N4" i="4"/>
  <c r="F4" i="4"/>
  <c r="N2" i="4"/>
  <c r="P2" i="4" s="1"/>
  <c r="H2" i="4"/>
  <c r="G2" i="4"/>
  <c r="F2" i="4"/>
  <c r="F39" i="3"/>
  <c r="P38" i="3"/>
  <c r="O38" i="3"/>
  <c r="N38" i="3"/>
  <c r="F37" i="3"/>
  <c r="P35" i="3"/>
  <c r="N35" i="3"/>
  <c r="O35" i="3" s="1"/>
  <c r="F35" i="3"/>
  <c r="H35" i="3" s="1"/>
  <c r="F32" i="3"/>
  <c r="N30" i="3"/>
  <c r="F29" i="3"/>
  <c r="N28" i="3"/>
  <c r="O26" i="3" s="1"/>
  <c r="N26" i="3"/>
  <c r="P26" i="3" s="1"/>
  <c r="F26" i="3"/>
  <c r="H26" i="3" s="1"/>
  <c r="N24" i="3"/>
  <c r="O20" i="3" s="1"/>
  <c r="F24" i="3"/>
  <c r="H20" i="3" s="1"/>
  <c r="N22" i="3"/>
  <c r="F22" i="3"/>
  <c r="N20" i="3"/>
  <c r="P20" i="3" s="1"/>
  <c r="F20" i="3"/>
  <c r="G20" i="3" s="1"/>
  <c r="F18" i="3"/>
  <c r="P17" i="3"/>
  <c r="N17" i="3"/>
  <c r="O17" i="3" s="1"/>
  <c r="F16" i="3"/>
  <c r="P14" i="3"/>
  <c r="N14" i="3"/>
  <c r="O14" i="3" s="1"/>
  <c r="G14" i="3"/>
  <c r="F14" i="3"/>
  <c r="H14" i="3" s="1"/>
  <c r="N12" i="3"/>
  <c r="F12" i="3"/>
  <c r="N10" i="3"/>
  <c r="F10" i="3"/>
  <c r="G8" i="3" s="1"/>
  <c r="P8" i="3"/>
  <c r="N8" i="3"/>
  <c r="O8" i="3" s="1"/>
  <c r="F8" i="3"/>
  <c r="H8" i="3" s="1"/>
  <c r="N6" i="3"/>
  <c r="F6" i="3"/>
  <c r="N4" i="3"/>
  <c r="F4" i="3"/>
  <c r="N2" i="3"/>
  <c r="O2" i="3" s="1"/>
  <c r="F2" i="3"/>
  <c r="H2" i="3" s="1"/>
  <c r="F39" i="2"/>
  <c r="P38" i="2"/>
  <c r="O38" i="2"/>
  <c r="N38" i="2"/>
  <c r="F37" i="2"/>
  <c r="P35" i="2"/>
  <c r="N35" i="2"/>
  <c r="O35" i="2" s="1"/>
  <c r="H35" i="2"/>
  <c r="F35" i="2"/>
  <c r="G35" i="2" s="1"/>
  <c r="Y34" i="2"/>
  <c r="X34" i="2"/>
  <c r="W34" i="2"/>
  <c r="F32" i="2"/>
  <c r="Y31" i="2"/>
  <c r="W31" i="2"/>
  <c r="X31" i="2" s="1"/>
  <c r="N30" i="2"/>
  <c r="F29" i="2"/>
  <c r="H26" i="2" s="1"/>
  <c r="N28" i="2"/>
  <c r="N26" i="2"/>
  <c r="P26" i="2" s="1"/>
  <c r="F26" i="2"/>
  <c r="G26" i="2" s="1"/>
  <c r="N24" i="2"/>
  <c r="F24" i="2"/>
  <c r="N22" i="2"/>
  <c r="F22" i="2"/>
  <c r="P20" i="2"/>
  <c r="O20" i="2"/>
  <c r="N20" i="2"/>
  <c r="F20" i="2"/>
  <c r="H20" i="2" s="1"/>
  <c r="F18" i="2"/>
  <c r="P17" i="2"/>
  <c r="N17" i="2"/>
  <c r="O17" i="2" s="1"/>
  <c r="F16" i="2"/>
  <c r="P14" i="2"/>
  <c r="N14" i="2"/>
  <c r="O14" i="2" s="1"/>
  <c r="F14" i="2"/>
  <c r="H14" i="2" s="1"/>
  <c r="N12" i="2"/>
  <c r="F12" i="2"/>
  <c r="N10" i="2"/>
  <c r="F10" i="2"/>
  <c r="N8" i="2"/>
  <c r="P8" i="2" s="1"/>
  <c r="H8" i="2"/>
  <c r="G8" i="2"/>
  <c r="F8" i="2"/>
  <c r="N6" i="2"/>
  <c r="F6" i="2"/>
  <c r="N4" i="2"/>
  <c r="P2" i="2" s="1"/>
  <c r="F4" i="2"/>
  <c r="N2" i="2"/>
  <c r="O2" i="2" s="1"/>
  <c r="F2" i="2"/>
  <c r="G2" i="2" s="1"/>
  <c r="F86" i="1"/>
  <c r="F83" i="1"/>
  <c r="H80" i="1"/>
  <c r="H77" i="1"/>
  <c r="F77" i="1"/>
  <c r="G77" i="1" s="1"/>
  <c r="H74" i="1"/>
  <c r="F74" i="1"/>
  <c r="G74" i="1" s="1"/>
  <c r="H71" i="1"/>
  <c r="F71" i="1"/>
  <c r="G71" i="1" s="1"/>
  <c r="F69" i="1"/>
  <c r="F67" i="1"/>
  <c r="F65" i="1"/>
  <c r="G65" i="1" s="1"/>
  <c r="F63" i="1"/>
  <c r="F61" i="1"/>
  <c r="F59" i="1"/>
  <c r="H56" i="1"/>
  <c r="F56" i="1"/>
  <c r="G56" i="1" s="1"/>
  <c r="H53" i="1"/>
  <c r="F53" i="1"/>
  <c r="G53" i="1" s="1"/>
  <c r="F51" i="1"/>
  <c r="F49" i="1"/>
  <c r="F47" i="1"/>
  <c r="H47" i="1" s="1"/>
  <c r="F45" i="1"/>
  <c r="F43" i="1"/>
  <c r="F41" i="1"/>
  <c r="F39" i="1"/>
  <c r="F37" i="1"/>
  <c r="F35" i="1"/>
  <c r="G35" i="1" s="1"/>
  <c r="F32" i="1"/>
  <c r="H26" i="1" s="1"/>
  <c r="F29" i="1"/>
  <c r="F26" i="1"/>
  <c r="G26" i="1" s="1"/>
  <c r="F24" i="1"/>
  <c r="F22" i="1"/>
  <c r="H20" i="1"/>
  <c r="F20" i="1"/>
  <c r="F18" i="1"/>
  <c r="F16" i="1"/>
  <c r="F14" i="1"/>
  <c r="G14" i="1" s="1"/>
  <c r="F12" i="1"/>
  <c r="F10" i="1"/>
  <c r="F8" i="1"/>
  <c r="H8" i="1" s="1"/>
  <c r="F6" i="1"/>
  <c r="F4" i="1"/>
  <c r="F2" i="1"/>
  <c r="H2" i="1" s="1"/>
  <c r="H65" i="1" l="1"/>
  <c r="G59" i="1"/>
  <c r="H35" i="1"/>
  <c r="G20" i="1"/>
  <c r="H41" i="1"/>
  <c r="G35" i="3"/>
  <c r="P2" i="3"/>
  <c r="P8" i="4"/>
  <c r="P14" i="5"/>
  <c r="G47" i="1"/>
  <c r="H59" i="1"/>
  <c r="H2" i="2"/>
  <c r="O8" i="2"/>
  <c r="G26" i="3"/>
  <c r="O2" i="4"/>
  <c r="AA50" i="4"/>
  <c r="H2" i="5"/>
  <c r="O8" i="5"/>
  <c r="K8" i="9"/>
  <c r="O32" i="9"/>
  <c r="K11" i="8"/>
  <c r="H14" i="1"/>
  <c r="N5" i="9"/>
  <c r="G2" i="1"/>
  <c r="K44" i="8"/>
  <c r="K8" i="8"/>
  <c r="N14" i="9"/>
  <c r="N41" i="9"/>
  <c r="G8" i="1"/>
  <c r="G80" i="1"/>
  <c r="G20" i="2"/>
  <c r="G35" i="4"/>
  <c r="G41" i="1"/>
  <c r="G14" i="2"/>
  <c r="O26" i="2"/>
  <c r="G2" i="3"/>
  <c r="G8" i="4"/>
  <c r="O20" i="4"/>
  <c r="Q45" i="4"/>
  <c r="G14" i="5"/>
  <c r="N17" i="9"/>
  <c r="L11" i="8"/>
  <c r="P49" i="9"/>
</calcChain>
</file>

<file path=xl/sharedStrings.xml><?xml version="1.0" encoding="utf-8"?>
<sst xmlns="http://schemas.openxmlformats.org/spreadsheetml/2006/main" count="455" uniqueCount="117">
  <si>
    <t>Nº</t>
  </si>
  <si>
    <t>Extraction phase 1</t>
  </si>
  <si>
    <t>Extraction phase 2</t>
  </si>
  <si>
    <t>weight, g</t>
  </si>
  <si>
    <t>average weight, g</t>
  </si>
  <si>
    <t>Standard Deviation</t>
  </si>
  <si>
    <t>Treatment 1</t>
  </si>
  <si>
    <t>ethanol 80%</t>
  </si>
  <si>
    <t>H2O</t>
  </si>
  <si>
    <t>HCl 0.1 M</t>
  </si>
  <si>
    <t>Treatment 2</t>
  </si>
  <si>
    <t>Treatment 3</t>
  </si>
  <si>
    <t>Treatment 4</t>
  </si>
  <si>
    <t>Treatment 5</t>
  </si>
  <si>
    <t>Treatment 6</t>
  </si>
  <si>
    <t>Treatment 7</t>
  </si>
  <si>
    <r>
      <t>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</si>
  <si>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HCl      0.1 M</t>
  </si>
  <si>
    <t>HCl     0.1 M</t>
  </si>
  <si>
    <t>Tr1</t>
  </si>
  <si>
    <t>Tr2</t>
  </si>
  <si>
    <t>Tr3</t>
  </si>
  <si>
    <t>Tr4</t>
  </si>
  <si>
    <t>Tr5</t>
  </si>
  <si>
    <t>Tr6</t>
  </si>
  <si>
    <t>Tr7</t>
  </si>
  <si>
    <t>SD</t>
  </si>
  <si>
    <t>AVERAGE</t>
  </si>
  <si>
    <t>phase 2</t>
  </si>
  <si>
    <t>phase 1</t>
  </si>
  <si>
    <t>AVERAGE ph 2</t>
  </si>
  <si>
    <t>Tr8</t>
  </si>
  <si>
    <t>SUM ph 1</t>
  </si>
  <si>
    <t>SUM ph2</t>
  </si>
  <si>
    <t>SD summed</t>
  </si>
  <si>
    <t>Treatment 8</t>
  </si>
  <si>
    <t>no phase 1</t>
  </si>
  <si>
    <t>Supernatant precipitate weight</t>
  </si>
  <si>
    <t>Tr 8</t>
  </si>
  <si>
    <t>total</t>
  </si>
  <si>
    <t>AVERAGE phase 1</t>
  </si>
  <si>
    <t>alginate</t>
  </si>
  <si>
    <t>fuc lam phase 2</t>
  </si>
  <si>
    <t>fuc lam phase 1</t>
  </si>
  <si>
    <t>fuc lam total</t>
  </si>
  <si>
    <t>residue left</t>
  </si>
  <si>
    <t>Solids combined</t>
  </si>
  <si>
    <t>Average</t>
  </si>
  <si>
    <t>Tr1 H2O</t>
  </si>
  <si>
    <t>Tr1 HCl</t>
  </si>
  <si>
    <t>Tr2 H2O</t>
  </si>
  <si>
    <t>Tr2 HCl</t>
  </si>
  <si>
    <t>Tr3 H2O</t>
  </si>
  <si>
    <t>Tr3 HCl</t>
  </si>
  <si>
    <t>Tr4 H2O</t>
  </si>
  <si>
    <t>Tr4 HCl</t>
  </si>
  <si>
    <t>Tr5 H2O</t>
  </si>
  <si>
    <t>Tr5 HCl</t>
  </si>
  <si>
    <t>Tr6 H2O</t>
  </si>
  <si>
    <t>Tr6 HCl</t>
  </si>
  <si>
    <t>Tr7 H2O</t>
  </si>
  <si>
    <t>Tr7 HCl</t>
  </si>
  <si>
    <t>Tr8 H2O</t>
  </si>
  <si>
    <t>Tr8 HCl</t>
  </si>
  <si>
    <t>fuc lam</t>
  </si>
  <si>
    <t xml:space="preserve"> +</t>
  </si>
  <si>
    <t>4 5</t>
  </si>
  <si>
    <t>F and L average</t>
  </si>
  <si>
    <t>alg average</t>
  </si>
  <si>
    <t>alg st dev</t>
  </si>
  <si>
    <t>F and L st dev</t>
  </si>
  <si>
    <t>residue average</t>
  </si>
  <si>
    <t>residue st dev</t>
  </si>
  <si>
    <t>solids average</t>
  </si>
  <si>
    <t>solids st dev</t>
  </si>
  <si>
    <t>Treatment</t>
  </si>
  <si>
    <t>Fucoidan and Laminarin average</t>
  </si>
  <si>
    <t>Alginate average</t>
  </si>
  <si>
    <t>Residue average</t>
  </si>
  <si>
    <t>Total solids average</t>
  </si>
  <si>
    <t>ethanol</t>
  </si>
  <si>
    <t>ph 1</t>
  </si>
  <si>
    <t>ph 2</t>
  </si>
  <si>
    <t>ethanol 2X</t>
  </si>
  <si>
    <t>HCl</t>
  </si>
  <si>
    <r>
      <t>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O</t>
    </r>
  </si>
  <si>
    <t xml:space="preserve">autoclave + HCl 0.1 M </t>
  </si>
  <si>
    <r>
      <t>autoclave + 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O </t>
    </r>
  </si>
  <si>
    <r>
      <t>microwave + 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O </t>
    </r>
  </si>
  <si>
    <t xml:space="preserve">microwave + HCl 0.1 M </t>
  </si>
  <si>
    <t>Control (no phase 1)</t>
  </si>
  <si>
    <r>
      <t>I EtOH 80%,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</si>
  <si>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EtOH 80% (2x),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</si>
  <si>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I EtOH 80%, II HCl 0.1 M</t>
  </si>
  <si>
    <t>I EtOH 80% (2x), II HCl 0.1 M</t>
  </si>
  <si>
    <t xml:space="preserve">I EtOH 80% (2x) + EtOH 80 % 70° C, 5 h, II HCl 0.1 M </t>
  </si>
  <si>
    <t>I EtOH 80% (2x) + EtOH 80 % 70° C, 5 h, II water</t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</si>
  <si>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autoclave,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</si>
  <si>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HCl 0.1 M + autoclave,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</si>
  <si>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autoclave, II HCl 0.1 M</t>
    </r>
  </si>
  <si>
    <t>I HCl 0.1 M + autoclave, II HCl 0.1 M</t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</si>
  <si>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microwave,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</si>
  <si>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microwave, II HCl 0.1 M</t>
    </r>
  </si>
  <si>
    <r>
      <t>I HCl 0.1 M + microwave,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</si>
  <si>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I HCl 0.1 M + microwave, II HCl 0.1 M</t>
  </si>
  <si>
    <r>
      <t>Control 1: no I,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</si>
  <si>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Control 2: no I, II HCl 0.1 M</t>
  </si>
  <si>
    <t>Fuc lam total</t>
  </si>
  <si>
    <t>Fuc lam %</t>
  </si>
  <si>
    <t>alginate %</t>
  </si>
  <si>
    <t>residue left %</t>
  </si>
  <si>
    <t>alginate lit</t>
  </si>
  <si>
    <t>fuc and lamin</t>
  </si>
  <si>
    <t>alg lit 75%</t>
  </si>
  <si>
    <t>fuc lam 75%</t>
  </si>
  <si>
    <t>alg lit 50%</t>
  </si>
  <si>
    <t>fuc lam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</si>
</sst>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2F75B5"/>
      <name val="Calibri"/>
      <family val="2"/>
    </font>
    <font>
      <b/>
      <sz val="11"/>
      <color rgb="FF1EE204"/>
      <name val="Calibri"/>
      <family val="2"/>
    </font>
    <font>
      <b/>
      <sz val="11"/>
      <color rgb="FFC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C00000"/>
      <name val="Calibri"/>
      <family val="2"/>
    </font>
    <font>
      <b/>
      <sz val="10"/>
      <color rgb="FF1EE204"/>
      <name val="Calibri"/>
      <family val="2"/>
    </font>
    <font>
      <sz val="8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5" fillId="0" borderId="25" xfId="0" applyFont="1" applyBorder="1"/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6" xfId="0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6" xfId="0" applyBorder="1"/>
    <xf numFmtId="0" fontId="0" fillId="0" borderId="64" xfId="0" applyBorder="1"/>
    <xf numFmtId="0" fontId="0" fillId="0" borderId="36" xfId="0" applyBorder="1"/>
    <xf numFmtId="16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50" xfId="0" applyBorder="1"/>
    <xf numFmtId="0" fontId="0" fillId="0" borderId="67" xfId="0" applyBorder="1"/>
    <xf numFmtId="164" fontId="0" fillId="0" borderId="46" xfId="0" applyNumberForma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2" xfId="0" applyBorder="1"/>
    <xf numFmtId="164" fontId="0" fillId="0" borderId="36" xfId="0" applyNumberFormat="1" applyBorder="1" applyAlignment="1">
      <alignment horizontal="center"/>
    </xf>
    <xf numFmtId="165" fontId="0" fillId="0" borderId="36" xfId="0" applyNumberFormat="1" applyBorder="1"/>
    <xf numFmtId="164" fontId="0" fillId="0" borderId="46" xfId="0" applyNumberFormat="1" applyBorder="1" applyAlignment="1">
      <alignment horizontal="center"/>
    </xf>
    <xf numFmtId="165" fontId="0" fillId="0" borderId="46" xfId="0" applyNumberFormat="1" applyBorder="1"/>
    <xf numFmtId="0" fontId="0" fillId="2" borderId="0" xfId="0" applyFill="1"/>
    <xf numFmtId="0" fontId="0" fillId="2" borderId="46" xfId="0" applyFill="1" applyBorder="1"/>
    <xf numFmtId="0" fontId="0" fillId="2" borderId="36" xfId="0" applyFill="1" applyBorder="1"/>
    <xf numFmtId="0" fontId="0" fillId="0" borderId="68" xfId="0" applyBorder="1"/>
    <xf numFmtId="0" fontId="0" fillId="2" borderId="0" xfId="0" applyFill="1" applyAlignment="1">
      <alignment horizontal="center"/>
    </xf>
    <xf numFmtId="0" fontId="0" fillId="2" borderId="46" xfId="0" applyFill="1" applyBorder="1" applyAlignment="1">
      <alignment horizontal="center"/>
    </xf>
    <xf numFmtId="164" fontId="0" fillId="0" borderId="50" xfId="0" applyNumberFormat="1" applyBorder="1"/>
    <xf numFmtId="164" fontId="0" fillId="0" borderId="65" xfId="0" applyNumberFormat="1" applyBorder="1"/>
    <xf numFmtId="0" fontId="1" fillId="0" borderId="0" xfId="0" applyFont="1" applyAlignment="1">
      <alignment horizontal="center" vertical="center" wrapText="1"/>
    </xf>
    <xf numFmtId="0" fontId="12" fillId="0" borderId="70" xfId="0" applyFon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2" fillId="0" borderId="69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11" fillId="0" borderId="79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4" fillId="0" borderId="74" xfId="0" applyFont="1" applyBorder="1" applyAlignment="1">
      <alignment horizontal="center"/>
    </xf>
    <xf numFmtId="0" fontId="14" fillId="0" borderId="75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0" xfId="0" applyFont="1"/>
    <xf numFmtId="165" fontId="0" fillId="0" borderId="50" xfId="0" applyNumberFormat="1" applyBorder="1"/>
    <xf numFmtId="0" fontId="0" fillId="0" borderId="41" xfId="0" applyBorder="1" applyAlignment="1">
      <alignment horizontal="center" vertical="center"/>
    </xf>
    <xf numFmtId="0" fontId="0" fillId="0" borderId="41" xfId="0" applyBorder="1"/>
    <xf numFmtId="0" fontId="0" fillId="0" borderId="51" xfId="0" applyBorder="1"/>
    <xf numFmtId="0" fontId="0" fillId="0" borderId="34" xfId="0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  <xf numFmtId="0" fontId="0" fillId="0" borderId="46" xfId="0" applyBorder="1"/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53" xfId="0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164" fontId="5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textRotation="90"/>
    </xf>
    <xf numFmtId="164" fontId="1" fillId="0" borderId="25" xfId="0" applyNumberFormat="1" applyFon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33CCCC"/>
      <color rgb="FFC01A6D"/>
      <color rgb="FFA91760"/>
      <color rgb="FF339966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A69-BB03-AD35FFBCE063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(Sheet4!$C$55,Sheet4!$C$57,Sheet4!$C$59,Sheet4!$C$61,Sheet4!$C$63,Sheet4!$C$65,Sheet4!$C$67)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A69-BB03-AD35FFBC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107391"/>
        <c:axId val="114166411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1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average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plus>
            <c:min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(Sheet4!$F$54,Sheet4!$F$56,Sheet4!$F$58,Sheet4!$F$60,Sheet4!$F$62,Sheet4!$F$64,Sheet4!$F$66)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0.498</c:v>
                </c:pt>
                <c:pt idx="4">
                  <c:v>0.313</c:v>
                </c:pt>
                <c:pt idx="5">
                  <c:v>0.24866666666666665</c:v>
                </c:pt>
                <c:pt idx="6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0-48CE-9300-CE3EBE72D679}"/>
            </c:ext>
          </c:extLst>
        </c:ser>
        <c:ser>
          <c:idx val="3"/>
          <c:order val="3"/>
          <c:tx>
            <c:v>average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(Sheet4!$F$55,Sheet4!$F$57,Sheet4!$F$59,Sheet4!$F$61,Sheet4!$F$63,Sheet4!$F$65,Sheet4!$F$67)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0.50866666666666671</c:v>
                </c:pt>
                <c:pt idx="4">
                  <c:v>0.29099999999999998</c:v>
                </c:pt>
                <c:pt idx="5">
                  <c:v>0.56266666666666665</c:v>
                </c:pt>
                <c:pt idx="6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4107391"/>
        <c:axId val="1141664111"/>
      </c:barChart>
      <c:barChart>
        <c:barDir val="col"/>
        <c:grouping val="clustered"/>
        <c:varyColors val="0"/>
        <c:ser>
          <c:idx val="0"/>
          <c:order val="0"/>
          <c:tx>
            <c:v>H20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(Sheet4!$C$54,Sheet4!$C$56,Sheet4!$C$58,Sheet4!$C$60,Sheet4!$C$62,Sheet4!$C$64,Sheet4!$C$66,Sheet4!$C$68)</c:f>
              <c:numCache>
                <c:formatCode>0.000</c:formatCode>
                <c:ptCount val="8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  <c:pt idx="7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8CE-9300-CE3EBE72D679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(Sheet4!$C$55,Sheet4!$C$57,Sheet4!$C$59,Sheet4!$C$61,Sheet4!$C$63,Sheet4!$C$65,Sheet4!$C$67,Sheet4!$C$69)</c:f>
              <c:numCache>
                <c:formatCode>0.000</c:formatCode>
                <c:ptCount val="8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57023"/>
        <c:axId val="107495619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107391"/>
        <c:crosses val="autoZero"/>
        <c:crossBetween val="between"/>
      </c:valAx>
      <c:valAx>
        <c:axId val="107495619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74957023"/>
        <c:crosses val="max"/>
        <c:crossBetween val="between"/>
      </c:valAx>
      <c:catAx>
        <c:axId val="1074957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95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 sz="1600">
                <a:latin typeface="Times New Roman" panose="02020603050405020304" pitchFamily="18" charset="0"/>
                <a:cs typeface="Times New Roman" panose="02020603050405020304" pitchFamily="18" charset="0"/>
              </a:rPr>
              <a:t>Fucoidan</a:t>
            </a:r>
            <a:r>
              <a:rPr lang="en-IE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laminarin, alginate content</a:t>
            </a:r>
            <a:endParaRPr lang="en-IE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Fucoidan and Laminarin average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B9D-B590-36B5F1D1A711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Alginate average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B9D-B590-36B5F1D1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9452518081971603"/>
              <c:y val="0.88199439835121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>
                <a:latin typeface="Times New Roman" panose="02020603050405020304" pitchFamily="18" charset="0"/>
                <a:cs typeface="Times New Roman" panose="02020603050405020304" pitchFamily="18" charset="0"/>
              </a:rPr>
              <a:t>Residue</a:t>
            </a:r>
            <a:r>
              <a:rPr lang="en-I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Total solids weigh, g</a:t>
            </a:r>
            <a:endParaRPr lang="en-IE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4053880387522968"/>
          <c:y val="0.15013290111783642"/>
          <c:w val="0.83621767120178836"/>
          <c:h val="0.6624224743479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Sheet9!$G$1</c:f>
              <c:strCache>
                <c:ptCount val="1"/>
                <c:pt idx="0">
                  <c:v>Residue average</c:v>
                </c:pt>
              </c:strCache>
            </c:strRef>
          </c:tx>
          <c:spPr>
            <a:solidFill>
              <a:srgbClr val="3399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80C-95E9-7DA2770DA1EE}"/>
            </c:ext>
          </c:extLst>
        </c:ser>
        <c:ser>
          <c:idx val="1"/>
          <c:order val="1"/>
          <c:tx>
            <c:strRef>
              <c:f>Sheet9!$I$1</c:f>
              <c:strCache>
                <c:ptCount val="1"/>
                <c:pt idx="0">
                  <c:v>Total solids average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Sheet9!$J$2:$J$17</c:f>
                <c:numCache>
                  <c:formatCode>General</c:formatCode>
                  <c:ptCount val="16"/>
                  <c:pt idx="0">
                    <c:v>1.7967285085213593E-2</c:v>
                  </c:pt>
                  <c:pt idx="1">
                    <c:v>2.7537852736429697E-3</c:v>
                  </c:pt>
                  <c:pt idx="2">
                    <c:v>2.8744622685527136E-2</c:v>
                  </c:pt>
                  <c:pt idx="3">
                    <c:v>2.9271829461104727E-2</c:v>
                  </c:pt>
                  <c:pt idx="4">
                    <c:v>0.15857308514793214</c:v>
                  </c:pt>
                  <c:pt idx="5">
                    <c:v>6.6424618930032306E-2</c:v>
                  </c:pt>
                  <c:pt idx="6">
                    <c:v>2.993197844001181E-2</c:v>
                  </c:pt>
                  <c:pt idx="7">
                    <c:v>4.2921439864011847E-2</c:v>
                  </c:pt>
                  <c:pt idx="8">
                    <c:v>2.9589581499800521E-2</c:v>
                  </c:pt>
                  <c:pt idx="9">
                    <c:v>3.8683502082067639E-2</c:v>
                  </c:pt>
                  <c:pt idx="10">
                    <c:v>3.501842372237781E-2</c:v>
                  </c:pt>
                  <c:pt idx="11">
                    <c:v>1.7500095237836157E-2</c:v>
                  </c:pt>
                  <c:pt idx="12">
                    <c:v>1.4437451298619128E-2</c:v>
                  </c:pt>
                  <c:pt idx="13">
                    <c:v>6.6021309691139243E-2</c:v>
                  </c:pt>
                  <c:pt idx="14">
                    <c:v>7.5846973132309772E-2</c:v>
                  </c:pt>
                  <c:pt idx="15">
                    <c:v>3.2748944003331372E-2</c:v>
                  </c:pt>
                </c:numCache>
              </c:numRef>
            </c:plus>
            <c:minus>
              <c:numRef>
                <c:f>Sheet9!$J$2:$J$17</c:f>
                <c:numCache>
                  <c:formatCode>General</c:formatCode>
                  <c:ptCount val="16"/>
                  <c:pt idx="0">
                    <c:v>1.7967285085213593E-2</c:v>
                  </c:pt>
                  <c:pt idx="1">
                    <c:v>2.7537852736429697E-3</c:v>
                  </c:pt>
                  <c:pt idx="2">
                    <c:v>2.8744622685527136E-2</c:v>
                  </c:pt>
                  <c:pt idx="3">
                    <c:v>2.9271829461104727E-2</c:v>
                  </c:pt>
                  <c:pt idx="4">
                    <c:v>0.15857308514793214</c:v>
                  </c:pt>
                  <c:pt idx="5">
                    <c:v>6.6424618930032306E-2</c:v>
                  </c:pt>
                  <c:pt idx="6">
                    <c:v>2.993197844001181E-2</c:v>
                  </c:pt>
                  <c:pt idx="7">
                    <c:v>4.2921439864011847E-2</c:v>
                  </c:pt>
                  <c:pt idx="8">
                    <c:v>2.9589581499800521E-2</c:v>
                  </c:pt>
                  <c:pt idx="9">
                    <c:v>3.8683502082067639E-2</c:v>
                  </c:pt>
                  <c:pt idx="10">
                    <c:v>3.501842372237781E-2</c:v>
                  </c:pt>
                  <c:pt idx="11">
                    <c:v>1.7500095237836157E-2</c:v>
                  </c:pt>
                  <c:pt idx="12">
                    <c:v>1.4437451298619128E-2</c:v>
                  </c:pt>
                  <c:pt idx="13">
                    <c:v>6.6021309691139243E-2</c:v>
                  </c:pt>
                  <c:pt idx="14">
                    <c:v>7.5846973132309772E-2</c:v>
                  </c:pt>
                  <c:pt idx="15">
                    <c:v>3.2748944003331372E-2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Sheet9!$I$2:$I$17</c:f>
              <c:numCache>
                <c:formatCode>0.000</c:formatCode>
                <c:ptCount val="16"/>
                <c:pt idx="0">
                  <c:v>2.4598666666666666</c:v>
                </c:pt>
                <c:pt idx="1">
                  <c:v>1.9244333333333332</c:v>
                </c:pt>
                <c:pt idx="2">
                  <c:v>2.6100666666666665</c:v>
                </c:pt>
                <c:pt idx="3">
                  <c:v>2.0381</c:v>
                </c:pt>
                <c:pt idx="4">
                  <c:v>2.2690333333333332</c:v>
                </c:pt>
                <c:pt idx="5">
                  <c:v>1.5246999999999999</c:v>
                </c:pt>
                <c:pt idx="6">
                  <c:v>1.7970666666666666</c:v>
                </c:pt>
                <c:pt idx="7">
                  <c:v>1.8805000000000003</c:v>
                </c:pt>
                <c:pt idx="8">
                  <c:v>1.2733666666666668</c:v>
                </c:pt>
                <c:pt idx="9">
                  <c:v>1.7822666666666667</c:v>
                </c:pt>
                <c:pt idx="10">
                  <c:v>1.7793000000000001</c:v>
                </c:pt>
                <c:pt idx="11">
                  <c:v>0.84093333333333342</c:v>
                </c:pt>
                <c:pt idx="12">
                  <c:v>0.82799999999999996</c:v>
                </c:pt>
                <c:pt idx="13">
                  <c:v>1.5160666666666665</c:v>
                </c:pt>
                <c:pt idx="14">
                  <c:v>2.4792333333333332</c:v>
                </c:pt>
                <c:pt idx="15">
                  <c:v>2.1668666666666665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80C-95E9-7DA2770D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17"/>
        <c:axId val="1649203936"/>
        <c:axId val="1649203456"/>
      </c:barChart>
      <c:catAx>
        <c:axId val="16492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4926040002156298"/>
              <c:y val="0.91845932505149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49203456"/>
        <c:crosses val="autoZero"/>
        <c:auto val="1"/>
        <c:lblAlgn val="ctr"/>
        <c:lblOffset val="100"/>
        <c:noMultiLvlLbl val="0"/>
      </c:catAx>
      <c:valAx>
        <c:axId val="1649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521908810843288E-3"/>
              <c:y val="0.1871663396953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492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54542120861005"/>
          <c:y val="0.15768326745650227"/>
          <c:w val="0.50588325727470751"/>
          <c:h val="7.2222736766610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B-4C66-B9DD-DE20A1615C6D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B-4C66-B9DD-DE20A1615C6D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B-4C66-B9DD-DE20A161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9452518081971603"/>
              <c:y val="0.88199439835121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1638129498093"/>
          <c:y val="1.7492547227701178E-2"/>
          <c:w val="0.87837131829723714"/>
          <c:h val="0.41892102315541713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815-9A3C-158AD10DA9CD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3-4815-9A3C-158AD10DA9CD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3-4815-9A3C-158AD10D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7500844493914995"/>
              <c:y val="0.9322098062815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0340768999683038"/>
          <c:y val="0.972123409133275"/>
          <c:w val="0.44766931426276935"/>
          <c:h val="2.5988293811550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1638129498093"/>
          <c:y val="1.7492547227701178E-2"/>
          <c:w val="0.87837131829723714"/>
          <c:h val="0.41892102315541713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B4E-9769-E8698FA160EF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E-4B4E-9769-E8698FA160EF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E-4B4E-9769-E8698FA1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6634511187339206"/>
              <c:y val="0.8664820849089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350666562719263"/>
          <c:y val="0.92254681083524837"/>
          <c:w val="0.44766931426276935"/>
          <c:h val="2.5988293811550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1351335015608"/>
          <c:y val="3.4824160670981812E-2"/>
          <c:w val="0.87093003503359734"/>
          <c:h val="0.76093475652557252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826-9DD9-D45B4D02FADC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B-4826-9DD9-D45B4D02FADC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B-4826-9DD9-D45B4D02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8612630943143342"/>
              <c:y val="0.8644777968620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yield of different seaweed components, %</a:t>
                </a:r>
                <a:endParaRPr lang="en-IE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43298532731377E-2"/>
              <c:y val="5.94190016829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891740441591422"/>
          <c:y val="2.7234406947878084E-2"/>
          <c:w val="0.72456220019751694"/>
          <c:h val="6.4400321487338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43</xdr:row>
      <xdr:rowOff>33337</xdr:rowOff>
    </xdr:from>
    <xdr:to>
      <xdr:col>18</xdr:col>
      <xdr:colOff>161925</xdr:colOff>
      <xdr:row>62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87BD-05D8-4828-9911-BAF6166D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64</xdr:row>
      <xdr:rowOff>47625</xdr:rowOff>
    </xdr:from>
    <xdr:to>
      <xdr:col>18</xdr:col>
      <xdr:colOff>171450</xdr:colOff>
      <xdr:row>78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D7B0D-A8E2-4EF3-ADA2-BA0D8E2F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413807</xdr:colOff>
      <xdr:row>17</xdr:row>
      <xdr:rowOff>152400</xdr:rowOff>
    </xdr:from>
    <xdr:to>
      <xdr:col>22</xdr:col>
      <xdr:colOff>82549</xdr:colOff>
      <xdr:row>40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4909F-D217-EADC-FEEB-9E329984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190046</xdr:colOff>
      <xdr:row>23</xdr:row>
      <xdr:rowOff>37646</xdr:rowOff>
    </xdr:from>
    <xdr:to>
      <xdr:col>13</xdr:col>
      <xdr:colOff>439964</xdr:colOff>
      <xdr:row>39</xdr:row>
      <xdr:rowOff>214993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3BB0F-3661-26CC-D243-F216441F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28</xdr:col>
      <xdr:colOff>580573</xdr:colOff>
      <xdr:row>76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A37A-0098-4406-B045-D791A3EF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533401</xdr:colOff>
      <xdr:row>77</xdr:row>
      <xdr:rowOff>185057</xdr:rowOff>
    </xdr:from>
    <xdr:to>
      <xdr:col>25</xdr:col>
      <xdr:colOff>330201</xdr:colOff>
      <xdr:row>122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45A132-1BC5-41D4-A758-3515A7E11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584200</xdr:colOff>
      <xdr:row>78</xdr:row>
      <xdr:rowOff>50801</xdr:rowOff>
    </xdr:from>
    <xdr:to>
      <xdr:col>42</xdr:col>
      <xdr:colOff>482600</xdr:colOff>
      <xdr:row>120</xdr:row>
      <xdr:rowOff>12701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180DA4-9D43-4014-B993-2F764282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465667</xdr:colOff>
      <xdr:row>25</xdr:row>
      <xdr:rowOff>101600</xdr:rowOff>
    </xdr:from>
    <xdr:to>
      <xdr:col>28</xdr:col>
      <xdr:colOff>529773</xdr:colOff>
      <xdr:row>48</xdr:row>
      <xdr:rowOff>77611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A037C-ADA9-47E9-AFD6-DCBAB7558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A73" workbookViewId="0">
      <selection activeCell="K17" sqref="K16:K17"/>
    </sheetView>
  </sheetViews>
  <sheetFormatPr defaultRowHeight="15" x14ac:dyDescent="0.25"/>
  <cols>
    <col min="1" max="1" width="5.28515625" customWidth="1"/>
    <col min="2" max="2" width="3.85546875" customWidth="1"/>
    <col min="3" max="3" width="5.7109375" customWidth="1"/>
    <col min="4" max="6" width="9.140625" customWidth="1"/>
    <col min="7" max="7" width="9.5703125" bestFit="1" customWidth="1"/>
    <col min="8" max="8" width="9.140625" customWidth="1"/>
  </cols>
  <sheetData>
    <row r="1" spans="1:8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</row>
    <row r="2" spans="1:8" ht="15.75" thickBot="1" x14ac:dyDescent="0.3">
      <c r="A2" s="154" t="s">
        <v>6</v>
      </c>
      <c r="B2" s="5">
        <v>1.1000000000000001</v>
      </c>
      <c r="C2" s="155" t="s">
        <v>7</v>
      </c>
      <c r="D2" s="131" t="s">
        <v>8</v>
      </c>
      <c r="E2" s="68">
        <v>0.10100000000000001</v>
      </c>
      <c r="F2" s="156">
        <f>SUM(E2:E3)</f>
        <v>0.21400000000000002</v>
      </c>
      <c r="G2" s="133">
        <f>AVERAGE(F2:F7)</f>
        <v>0.22066666666666668</v>
      </c>
      <c r="H2" s="134">
        <f>STDEVA(F2:F7)</f>
        <v>2.2744962812309297E-2</v>
      </c>
    </row>
    <row r="3" spans="1:8" ht="15.75" thickBot="1" x14ac:dyDescent="0.3">
      <c r="A3" s="154"/>
      <c r="B3" s="8">
        <v>1.2</v>
      </c>
      <c r="C3" s="155"/>
      <c r="D3" s="131"/>
      <c r="E3" s="69">
        <v>0.113</v>
      </c>
      <c r="F3" s="156"/>
      <c r="G3" s="133"/>
      <c r="H3" s="134"/>
    </row>
    <row r="4" spans="1:8" ht="15.75" thickBot="1" x14ac:dyDescent="0.3">
      <c r="A4" s="154"/>
      <c r="B4" s="8">
        <v>2.1</v>
      </c>
      <c r="C4" s="155"/>
      <c r="D4" s="131"/>
      <c r="E4" s="69">
        <v>0.126</v>
      </c>
      <c r="F4" s="152">
        <f>SUM(E4:E5)</f>
        <v>0.246</v>
      </c>
      <c r="G4" s="133"/>
      <c r="H4" s="134"/>
    </row>
    <row r="5" spans="1:8" ht="15.75" thickBot="1" x14ac:dyDescent="0.3">
      <c r="A5" s="154"/>
      <c r="B5" s="8">
        <v>2.2000000000000002</v>
      </c>
      <c r="C5" s="155"/>
      <c r="D5" s="131"/>
      <c r="E5" s="69">
        <v>0.12</v>
      </c>
      <c r="F5" s="152"/>
      <c r="G5" s="133"/>
      <c r="H5" s="134"/>
    </row>
    <row r="6" spans="1:8" ht="15.75" thickBot="1" x14ac:dyDescent="0.3">
      <c r="A6" s="154"/>
      <c r="B6" s="8">
        <v>3.1</v>
      </c>
      <c r="C6" s="155"/>
      <c r="D6" s="131"/>
      <c r="E6" s="69">
        <v>0.1</v>
      </c>
      <c r="F6" s="153">
        <f>SUM(E6:E7)</f>
        <v>0.20200000000000001</v>
      </c>
      <c r="G6" s="133"/>
      <c r="H6" s="134"/>
    </row>
    <row r="7" spans="1:8" ht="15.75" thickBot="1" x14ac:dyDescent="0.3">
      <c r="A7" s="154"/>
      <c r="B7" s="10">
        <v>3.2</v>
      </c>
      <c r="C7" s="155"/>
      <c r="D7" s="131"/>
      <c r="E7" s="70">
        <v>0.10199999999999999</v>
      </c>
      <c r="F7" s="153"/>
      <c r="G7" s="133"/>
      <c r="H7" s="134"/>
    </row>
    <row r="8" spans="1:8" ht="15.75" thickBot="1" x14ac:dyDescent="0.3">
      <c r="A8" s="154"/>
      <c r="B8" s="5">
        <v>4.0999999999999996</v>
      </c>
      <c r="C8" s="155"/>
      <c r="D8" s="131" t="s">
        <v>9</v>
      </c>
      <c r="E8" s="71">
        <v>0.32</v>
      </c>
      <c r="F8" s="158">
        <f>SUM(E8:E9)</f>
        <v>0.32</v>
      </c>
      <c r="G8" s="160">
        <f>AVERAGE(F8:F13)</f>
        <v>0.34400000000000003</v>
      </c>
      <c r="H8" s="134">
        <f>STDEVA(F8:F13)</f>
        <v>2.0999999999999987E-2</v>
      </c>
    </row>
    <row r="9" spans="1:8" ht="15.75" thickBot="1" x14ac:dyDescent="0.3">
      <c r="A9" s="154"/>
      <c r="B9" s="8">
        <v>4.2</v>
      </c>
      <c r="C9" s="155"/>
      <c r="D9" s="131"/>
      <c r="E9" s="69"/>
      <c r="F9" s="158"/>
      <c r="G9" s="160"/>
      <c r="H9" s="134"/>
    </row>
    <row r="10" spans="1:8" ht="15.75" thickBot="1" x14ac:dyDescent="0.3">
      <c r="A10" s="154"/>
      <c r="B10" s="8">
        <v>5.0999999999999996</v>
      </c>
      <c r="C10" s="155"/>
      <c r="D10" s="131"/>
      <c r="E10" s="69">
        <v>0.152</v>
      </c>
      <c r="F10" s="152">
        <f>SUM(E10:E11)</f>
        <v>0.35899999999999999</v>
      </c>
      <c r="G10" s="160"/>
      <c r="H10" s="134"/>
    </row>
    <row r="11" spans="1:8" ht="15.75" thickBot="1" x14ac:dyDescent="0.3">
      <c r="A11" s="154"/>
      <c r="B11" s="8">
        <v>5.2</v>
      </c>
      <c r="C11" s="155"/>
      <c r="D11" s="131"/>
      <c r="E11" s="69">
        <v>0.20699999999999999</v>
      </c>
      <c r="F11" s="152"/>
      <c r="G11" s="160"/>
      <c r="H11" s="134"/>
    </row>
    <row r="12" spans="1:8" ht="15.75" thickBot="1" x14ac:dyDescent="0.3">
      <c r="A12" s="154"/>
      <c r="B12" s="8">
        <v>6.1</v>
      </c>
      <c r="C12" s="155"/>
      <c r="D12" s="131"/>
      <c r="E12" s="69">
        <v>0.18</v>
      </c>
      <c r="F12" s="153">
        <f>SUM(E12:E13)</f>
        <v>0.35299999999999998</v>
      </c>
      <c r="G12" s="160"/>
      <c r="H12" s="134"/>
    </row>
    <row r="13" spans="1:8" ht="15.75" thickBot="1" x14ac:dyDescent="0.3">
      <c r="A13" s="154"/>
      <c r="B13" s="10">
        <v>6.2</v>
      </c>
      <c r="C13" s="155"/>
      <c r="D13" s="131"/>
      <c r="E13" s="72">
        <v>0.17299999999999999</v>
      </c>
      <c r="F13" s="153"/>
      <c r="G13" s="160"/>
      <c r="H13" s="134"/>
    </row>
    <row r="14" spans="1:8" ht="15.75" thickBot="1" x14ac:dyDescent="0.3">
      <c r="A14" s="154" t="s">
        <v>10</v>
      </c>
      <c r="B14" s="5">
        <v>1.1000000000000001</v>
      </c>
      <c r="C14" s="155" t="s">
        <v>7</v>
      </c>
      <c r="D14" s="131" t="s">
        <v>8</v>
      </c>
      <c r="E14" s="71">
        <v>9.5000000000000001E-2</v>
      </c>
      <c r="F14" s="156">
        <f>SUM(E14:E15)</f>
        <v>0.20200000000000001</v>
      </c>
      <c r="G14" s="133">
        <f>AVERAGE(F14:F19)</f>
        <v>0.23533333333333337</v>
      </c>
      <c r="H14" s="134">
        <f>STDEVA(F14:F19)</f>
        <v>3.6909799963333947E-2</v>
      </c>
    </row>
    <row r="15" spans="1:8" ht="15.75" thickBot="1" x14ac:dyDescent="0.3">
      <c r="A15" s="154"/>
      <c r="B15" s="8">
        <v>1.2</v>
      </c>
      <c r="C15" s="155"/>
      <c r="D15" s="131"/>
      <c r="E15" s="69">
        <v>0.107</v>
      </c>
      <c r="F15" s="156"/>
      <c r="G15" s="133"/>
      <c r="H15" s="134"/>
    </row>
    <row r="16" spans="1:8" ht="15.75" thickBot="1" x14ac:dyDescent="0.3">
      <c r="A16" s="154"/>
      <c r="B16" s="8">
        <v>2.1</v>
      </c>
      <c r="C16" s="155"/>
      <c r="D16" s="131"/>
      <c r="E16" s="69">
        <v>0.115</v>
      </c>
      <c r="F16" s="152">
        <f>SUM(E16:E17)</f>
        <v>0.22900000000000001</v>
      </c>
      <c r="G16" s="133"/>
      <c r="H16" s="134"/>
    </row>
    <row r="17" spans="1:8" ht="15.75" thickBot="1" x14ac:dyDescent="0.3">
      <c r="A17" s="154"/>
      <c r="B17" s="8">
        <v>2.2000000000000002</v>
      </c>
      <c r="C17" s="155"/>
      <c r="D17" s="131"/>
      <c r="E17" s="69">
        <v>0.114</v>
      </c>
      <c r="F17" s="152"/>
      <c r="G17" s="133"/>
      <c r="H17" s="134"/>
    </row>
    <row r="18" spans="1:8" ht="15.75" thickBot="1" x14ac:dyDescent="0.3">
      <c r="A18" s="154"/>
      <c r="B18" s="8">
        <v>3.1</v>
      </c>
      <c r="C18" s="155"/>
      <c r="D18" s="131"/>
      <c r="E18" s="69">
        <v>0.13800000000000001</v>
      </c>
      <c r="F18" s="153">
        <f>SUM(E18:E19)</f>
        <v>0.27500000000000002</v>
      </c>
      <c r="G18" s="133"/>
      <c r="H18" s="134"/>
    </row>
    <row r="19" spans="1:8" ht="15.75" thickBot="1" x14ac:dyDescent="0.3">
      <c r="A19" s="154"/>
      <c r="B19" s="10">
        <v>3.2</v>
      </c>
      <c r="C19" s="155"/>
      <c r="D19" s="131"/>
      <c r="E19" s="70">
        <v>0.13700000000000001</v>
      </c>
      <c r="F19" s="153"/>
      <c r="G19" s="133"/>
      <c r="H19" s="134"/>
    </row>
    <row r="20" spans="1:8" ht="15.75" thickBot="1" x14ac:dyDescent="0.3">
      <c r="A20" s="154"/>
      <c r="B20" s="5">
        <v>4.0999999999999996</v>
      </c>
      <c r="C20" s="155"/>
      <c r="D20" s="131" t="s">
        <v>9</v>
      </c>
      <c r="E20" s="71">
        <v>0.16500000000000001</v>
      </c>
      <c r="F20" s="158">
        <f>SUM(E20:E21)</f>
        <v>0.33</v>
      </c>
      <c r="G20" s="160">
        <f>AVERAGE(F20:F25)</f>
        <v>0.35766666666666663</v>
      </c>
      <c r="H20" s="134">
        <f>STDEVA(F20:F25)</f>
        <v>3.1533051443419391E-2</v>
      </c>
    </row>
    <row r="21" spans="1:8" ht="15.75" thickBot="1" x14ac:dyDescent="0.3">
      <c r="A21" s="154"/>
      <c r="B21" s="8">
        <v>4.2</v>
      </c>
      <c r="C21" s="155"/>
      <c r="D21" s="131"/>
      <c r="E21" s="69">
        <v>0.16500000000000001</v>
      </c>
      <c r="F21" s="158"/>
      <c r="G21" s="160"/>
      <c r="H21" s="134"/>
    </row>
    <row r="22" spans="1:8" ht="15.75" thickBot="1" x14ac:dyDescent="0.3">
      <c r="A22" s="154"/>
      <c r="B22" s="8">
        <v>5.0999999999999996</v>
      </c>
      <c r="C22" s="155"/>
      <c r="D22" s="131"/>
      <c r="E22" s="69">
        <v>0.192</v>
      </c>
      <c r="F22" s="152">
        <f>SUM(E22:E23)</f>
        <v>0.39200000000000002</v>
      </c>
      <c r="G22" s="160"/>
      <c r="H22" s="134"/>
    </row>
    <row r="23" spans="1:8" ht="15.75" thickBot="1" x14ac:dyDescent="0.3">
      <c r="A23" s="154"/>
      <c r="B23" s="8">
        <v>5.2</v>
      </c>
      <c r="C23" s="155"/>
      <c r="D23" s="131"/>
      <c r="E23" s="69">
        <v>0.2</v>
      </c>
      <c r="F23" s="152"/>
      <c r="G23" s="160"/>
      <c r="H23" s="134"/>
    </row>
    <row r="24" spans="1:8" ht="15.75" thickBot="1" x14ac:dyDescent="0.3">
      <c r="A24" s="154"/>
      <c r="B24" s="8">
        <v>6.1</v>
      </c>
      <c r="C24" s="155"/>
      <c r="D24" s="131"/>
      <c r="E24" s="69">
        <v>0.17499999999999999</v>
      </c>
      <c r="F24" s="153">
        <f>SUM(E24:E25)</f>
        <v>0.35099999999999998</v>
      </c>
      <c r="G24" s="160"/>
      <c r="H24" s="134"/>
    </row>
    <row r="25" spans="1:8" ht="15.75" thickBot="1" x14ac:dyDescent="0.3">
      <c r="A25" s="154"/>
      <c r="B25" s="10">
        <v>6.2</v>
      </c>
      <c r="C25" s="155"/>
      <c r="D25" s="131"/>
      <c r="E25" s="72">
        <v>0.17599999999999999</v>
      </c>
      <c r="F25" s="153"/>
      <c r="G25" s="160"/>
      <c r="H25" s="134"/>
    </row>
    <row r="26" spans="1:8" ht="15.75" thickBot="1" x14ac:dyDescent="0.3">
      <c r="A26" s="154" t="s">
        <v>11</v>
      </c>
      <c r="B26" s="5">
        <v>1.1000000000000001</v>
      </c>
      <c r="C26" s="155" t="s">
        <v>7</v>
      </c>
      <c r="D26" s="131" t="s">
        <v>8</v>
      </c>
      <c r="E26" s="71">
        <v>0.11600000000000001</v>
      </c>
      <c r="F26" s="132">
        <f>SUM(E26:E28)</f>
        <v>0.36</v>
      </c>
      <c r="G26" s="160">
        <f>AVERAGE(F26:F34)</f>
        <v>0.34733333333333333</v>
      </c>
      <c r="H26" s="134">
        <f>STDEVA(F26:F34)</f>
        <v>4.0513372277969327E-2</v>
      </c>
    </row>
    <row r="27" spans="1:8" ht="15.75" thickBot="1" x14ac:dyDescent="0.3">
      <c r="A27" s="154"/>
      <c r="B27" s="8">
        <v>1.2</v>
      </c>
      <c r="C27" s="155"/>
      <c r="D27" s="131"/>
      <c r="E27" s="73">
        <v>0.129</v>
      </c>
      <c r="F27" s="132"/>
      <c r="G27" s="160"/>
      <c r="H27" s="134"/>
    </row>
    <row r="28" spans="1:8" ht="15.75" thickBot="1" x14ac:dyDescent="0.3">
      <c r="A28" s="154"/>
      <c r="B28" s="8">
        <v>1.3</v>
      </c>
      <c r="C28" s="155"/>
      <c r="D28" s="131"/>
      <c r="E28" s="69">
        <v>0.115</v>
      </c>
      <c r="F28" s="132"/>
      <c r="G28" s="160"/>
      <c r="H28" s="134"/>
    </row>
    <row r="29" spans="1:8" ht="15.75" thickBot="1" x14ac:dyDescent="0.3">
      <c r="A29" s="154"/>
      <c r="B29" s="8">
        <v>2.1</v>
      </c>
      <c r="C29" s="155"/>
      <c r="D29" s="131"/>
      <c r="E29" s="69">
        <v>0.125</v>
      </c>
      <c r="F29" s="158">
        <f>SUM(E29:E31)</f>
        <v>0.38</v>
      </c>
      <c r="G29" s="160"/>
      <c r="H29" s="134"/>
    </row>
    <row r="30" spans="1:8" ht="15.75" thickBot="1" x14ac:dyDescent="0.3">
      <c r="A30" s="154"/>
      <c r="B30" s="8">
        <v>2.2000000000000002</v>
      </c>
      <c r="C30" s="155"/>
      <c r="D30" s="131"/>
      <c r="E30" s="69">
        <v>0.12</v>
      </c>
      <c r="F30" s="158"/>
      <c r="G30" s="160"/>
      <c r="H30" s="134"/>
    </row>
    <row r="31" spans="1:8" ht="15.75" thickBot="1" x14ac:dyDescent="0.3">
      <c r="A31" s="154"/>
      <c r="B31" s="8">
        <v>2.2999999999999998</v>
      </c>
      <c r="C31" s="155"/>
      <c r="D31" s="131"/>
      <c r="E31" s="69">
        <v>0.13500000000000001</v>
      </c>
      <c r="F31" s="158"/>
      <c r="G31" s="160"/>
      <c r="H31" s="134"/>
    </row>
    <row r="32" spans="1:8" ht="15.75" thickBot="1" x14ac:dyDescent="0.3">
      <c r="A32" s="154"/>
      <c r="B32" s="8">
        <v>3.1</v>
      </c>
      <c r="C32" s="155"/>
      <c r="D32" s="131"/>
      <c r="E32" s="69">
        <v>0.10199999999999999</v>
      </c>
      <c r="F32" s="153">
        <f>SUM(E32:E34)</f>
        <v>0.30199999999999999</v>
      </c>
      <c r="G32" s="160"/>
      <c r="H32" s="134"/>
    </row>
    <row r="33" spans="1:8" ht="15.75" thickBot="1" x14ac:dyDescent="0.3">
      <c r="A33" s="154"/>
      <c r="B33" s="8">
        <v>3.2</v>
      </c>
      <c r="C33" s="155"/>
      <c r="D33" s="131"/>
      <c r="E33" s="70">
        <v>9.7000000000000003E-2</v>
      </c>
      <c r="F33" s="153"/>
      <c r="G33" s="160"/>
      <c r="H33" s="134"/>
    </row>
    <row r="34" spans="1:8" ht="15.75" thickBot="1" x14ac:dyDescent="0.3">
      <c r="A34" s="154"/>
      <c r="B34" s="10">
        <v>3.3</v>
      </c>
      <c r="C34" s="155"/>
      <c r="D34" s="131"/>
      <c r="E34" s="70">
        <v>0.10299999999999999</v>
      </c>
      <c r="F34" s="153"/>
      <c r="G34" s="160"/>
      <c r="H34" s="134"/>
    </row>
    <row r="35" spans="1:8" ht="15.75" thickBot="1" x14ac:dyDescent="0.3">
      <c r="A35" s="154"/>
      <c r="B35" s="5">
        <v>4.0999999999999996</v>
      </c>
      <c r="C35" s="155"/>
      <c r="D35" s="131" t="s">
        <v>9</v>
      </c>
      <c r="E35" s="71">
        <v>0.26500000000000001</v>
      </c>
      <c r="F35" s="158">
        <f>SUM(E35:E36)</f>
        <v>0.47</v>
      </c>
      <c r="G35" s="161">
        <f>AVERAGE(F35:F40)</f>
        <v>0.45233333333333331</v>
      </c>
      <c r="H35" s="134">
        <f>STDEVA(F35:F40)</f>
        <v>3.2347076117221644E-2</v>
      </c>
    </row>
    <row r="36" spans="1:8" ht="15.75" thickBot="1" x14ac:dyDescent="0.3">
      <c r="A36" s="154"/>
      <c r="B36" s="8">
        <v>4.2</v>
      </c>
      <c r="C36" s="155"/>
      <c r="D36" s="131"/>
      <c r="E36" s="69">
        <v>0.20499999999999999</v>
      </c>
      <c r="F36" s="158"/>
      <c r="G36" s="161"/>
      <c r="H36" s="134"/>
    </row>
    <row r="37" spans="1:8" ht="15.75" thickBot="1" x14ac:dyDescent="0.3">
      <c r="A37" s="154"/>
      <c r="B37" s="8">
        <v>5.0999999999999996</v>
      </c>
      <c r="C37" s="155"/>
      <c r="D37" s="131"/>
      <c r="E37" s="69">
        <v>0.29699999999999999</v>
      </c>
      <c r="F37" s="152">
        <f>SUM(E37:E38)</f>
        <v>0.47199999999999998</v>
      </c>
      <c r="G37" s="161"/>
      <c r="H37" s="134"/>
    </row>
    <row r="38" spans="1:8" ht="15.75" thickBot="1" x14ac:dyDescent="0.3">
      <c r="A38" s="154"/>
      <c r="B38" s="8">
        <v>5.2</v>
      </c>
      <c r="C38" s="155"/>
      <c r="D38" s="131"/>
      <c r="E38" s="69">
        <v>0.17499999999999999</v>
      </c>
      <c r="F38" s="152"/>
      <c r="G38" s="161"/>
      <c r="H38" s="134"/>
    </row>
    <row r="39" spans="1:8" ht="15.75" thickBot="1" x14ac:dyDescent="0.3">
      <c r="A39" s="154"/>
      <c r="B39" s="8">
        <v>6.1</v>
      </c>
      <c r="C39" s="155"/>
      <c r="D39" s="131"/>
      <c r="E39" s="69">
        <v>0.214</v>
      </c>
      <c r="F39" s="153">
        <f>SUM(E39:E40)</f>
        <v>0.41500000000000004</v>
      </c>
      <c r="G39" s="161"/>
      <c r="H39" s="134"/>
    </row>
    <row r="40" spans="1:8" ht="15.75" thickBot="1" x14ac:dyDescent="0.3">
      <c r="A40" s="154"/>
      <c r="B40" s="10">
        <v>6.2</v>
      </c>
      <c r="C40" s="155"/>
      <c r="D40" s="131"/>
      <c r="E40" s="72">
        <v>0.20100000000000001</v>
      </c>
      <c r="F40" s="153"/>
      <c r="G40" s="161"/>
      <c r="H40" s="134"/>
    </row>
    <row r="41" spans="1:8" ht="15.75" thickBot="1" x14ac:dyDescent="0.3">
      <c r="A41" s="154" t="s">
        <v>12</v>
      </c>
      <c r="B41" s="5">
        <v>1.1000000000000001</v>
      </c>
      <c r="C41" s="155" t="s">
        <v>8</v>
      </c>
      <c r="D41" s="131" t="s">
        <v>8</v>
      </c>
      <c r="E41" s="71">
        <v>0.123</v>
      </c>
      <c r="F41" s="156">
        <f>SUM(E41:E42)</f>
        <v>0.23599999999999999</v>
      </c>
      <c r="G41" s="133">
        <f>AVERAGE(F41:F46)</f>
        <v>0.2233333333333333</v>
      </c>
      <c r="H41" s="134">
        <f>STDEVA(F41:F46)</f>
        <v>1.9399312702601933E-2</v>
      </c>
    </row>
    <row r="42" spans="1:8" ht="15.75" thickBot="1" x14ac:dyDescent="0.3">
      <c r="A42" s="154"/>
      <c r="B42" s="8">
        <v>1.2</v>
      </c>
      <c r="C42" s="155"/>
      <c r="D42" s="131"/>
      <c r="E42" s="69">
        <v>0.113</v>
      </c>
      <c r="F42" s="156"/>
      <c r="G42" s="133"/>
      <c r="H42" s="134"/>
    </row>
    <row r="43" spans="1:8" ht="15.75" thickBot="1" x14ac:dyDescent="0.3">
      <c r="A43" s="154"/>
      <c r="B43" s="8">
        <v>2.1</v>
      </c>
      <c r="C43" s="155"/>
      <c r="D43" s="131"/>
      <c r="E43" s="69">
        <v>0.121</v>
      </c>
      <c r="F43" s="152">
        <f>SUM(E43:E44)</f>
        <v>0.23299999999999998</v>
      </c>
      <c r="G43" s="133"/>
      <c r="H43" s="134"/>
    </row>
    <row r="44" spans="1:8" ht="15.75" thickBot="1" x14ac:dyDescent="0.3">
      <c r="A44" s="154"/>
      <c r="B44" s="8">
        <v>2.2000000000000002</v>
      </c>
      <c r="C44" s="155"/>
      <c r="D44" s="131"/>
      <c r="E44" s="69">
        <v>0.112</v>
      </c>
      <c r="F44" s="152"/>
      <c r="G44" s="133"/>
      <c r="H44" s="134"/>
    </row>
    <row r="45" spans="1:8" ht="15.75" thickBot="1" x14ac:dyDescent="0.3">
      <c r="A45" s="154"/>
      <c r="B45" s="8">
        <v>3.1</v>
      </c>
      <c r="C45" s="155"/>
      <c r="D45" s="131"/>
      <c r="E45" s="69">
        <v>0.1</v>
      </c>
      <c r="F45" s="153">
        <f>SUM(E45:E46)</f>
        <v>0.20100000000000001</v>
      </c>
      <c r="G45" s="133"/>
      <c r="H45" s="134"/>
    </row>
    <row r="46" spans="1:8" ht="15.75" thickBot="1" x14ac:dyDescent="0.3">
      <c r="A46" s="154"/>
      <c r="B46" s="10">
        <v>3.2</v>
      </c>
      <c r="C46" s="155"/>
      <c r="D46" s="131"/>
      <c r="E46" s="70">
        <v>0.10100000000000001</v>
      </c>
      <c r="F46" s="153"/>
      <c r="G46" s="133"/>
      <c r="H46" s="134"/>
    </row>
    <row r="47" spans="1:8" ht="15.75" thickBot="1" x14ac:dyDescent="0.3">
      <c r="A47" s="154"/>
      <c r="B47" s="159">
        <v>4</v>
      </c>
      <c r="C47" s="155"/>
      <c r="D47" s="131" t="s">
        <v>9</v>
      </c>
      <c r="E47" s="142">
        <v>0.16600000000000001</v>
      </c>
      <c r="F47" s="158">
        <f>SUM(E47:E48)</f>
        <v>0.16600000000000001</v>
      </c>
      <c r="G47" s="133">
        <f>AVERAGE(F47:F52)</f>
        <v>0.17100000000000001</v>
      </c>
      <c r="H47" s="134">
        <f>STDEVA(F47:F52)</f>
        <v>1.2288205727444502E-2</v>
      </c>
    </row>
    <row r="48" spans="1:8" ht="15.75" thickBot="1" x14ac:dyDescent="0.3">
      <c r="A48" s="154"/>
      <c r="B48" s="159"/>
      <c r="C48" s="155"/>
      <c r="D48" s="131"/>
      <c r="E48" s="142"/>
      <c r="F48" s="158"/>
      <c r="G48" s="133"/>
      <c r="H48" s="134"/>
    </row>
    <row r="49" spans="1:8" ht="15.75" thickBot="1" x14ac:dyDescent="0.3">
      <c r="A49" s="154"/>
      <c r="B49" s="159">
        <v>5</v>
      </c>
      <c r="C49" s="155"/>
      <c r="D49" s="131"/>
      <c r="E49" s="142">
        <v>0.16200000000000001</v>
      </c>
      <c r="F49" s="152">
        <f>SUM(E49:E50)</f>
        <v>0.16200000000000001</v>
      </c>
      <c r="G49" s="133"/>
      <c r="H49" s="134"/>
    </row>
    <row r="50" spans="1:8" ht="15.75" thickBot="1" x14ac:dyDescent="0.3">
      <c r="A50" s="154"/>
      <c r="B50" s="159"/>
      <c r="C50" s="155"/>
      <c r="D50" s="131"/>
      <c r="E50" s="142"/>
      <c r="F50" s="152"/>
      <c r="G50" s="133"/>
      <c r="H50" s="134"/>
    </row>
    <row r="51" spans="1:8" ht="15.75" thickBot="1" x14ac:dyDescent="0.3">
      <c r="A51" s="154"/>
      <c r="B51" s="159">
        <v>6</v>
      </c>
      <c r="C51" s="155"/>
      <c r="D51" s="131"/>
      <c r="E51" s="142">
        <v>0.185</v>
      </c>
      <c r="F51" s="153">
        <f>SUM(E51:E52)</f>
        <v>0.185</v>
      </c>
      <c r="G51" s="133"/>
      <c r="H51" s="134"/>
    </row>
    <row r="52" spans="1:8" ht="15.75" thickBot="1" x14ac:dyDescent="0.3">
      <c r="A52" s="154"/>
      <c r="B52" s="159"/>
      <c r="C52" s="155"/>
      <c r="D52" s="131"/>
      <c r="E52" s="142"/>
      <c r="F52" s="153"/>
      <c r="G52" s="133"/>
      <c r="H52" s="134"/>
    </row>
    <row r="53" spans="1:8" ht="15.75" thickBot="1" x14ac:dyDescent="0.3">
      <c r="A53" s="154" t="s">
        <v>13</v>
      </c>
      <c r="B53" s="14">
        <v>1</v>
      </c>
      <c r="C53" s="155" t="s">
        <v>9</v>
      </c>
      <c r="D53" s="131" t="s">
        <v>8</v>
      </c>
      <c r="E53" s="71">
        <v>0.10100000000000001</v>
      </c>
      <c r="F53" s="132">
        <f>AVERAGE(E53:E55)</f>
        <v>0.11333333333333334</v>
      </c>
      <c r="G53" s="157">
        <f>SUM(F53:F55)</f>
        <v>0.11333333333333334</v>
      </c>
      <c r="H53" s="134">
        <f>STDEVA(E53:E55)</f>
        <v>1.2503332889007365E-2</v>
      </c>
    </row>
    <row r="54" spans="1:8" ht="15.75" thickBot="1" x14ac:dyDescent="0.3">
      <c r="A54" s="154"/>
      <c r="B54" s="16">
        <v>2</v>
      </c>
      <c r="C54" s="155"/>
      <c r="D54" s="131"/>
      <c r="E54" s="69">
        <v>0.113</v>
      </c>
      <c r="F54" s="132"/>
      <c r="G54" s="157"/>
      <c r="H54" s="134"/>
    </row>
    <row r="55" spans="1:8" ht="15.75" thickBot="1" x14ac:dyDescent="0.3">
      <c r="A55" s="154"/>
      <c r="B55" s="16">
        <v>3</v>
      </c>
      <c r="C55" s="155"/>
      <c r="D55" s="131"/>
      <c r="E55" s="72">
        <v>0.126</v>
      </c>
      <c r="F55" s="132"/>
      <c r="G55" s="157"/>
      <c r="H55" s="134"/>
    </row>
    <row r="56" spans="1:8" ht="15.75" thickBot="1" x14ac:dyDescent="0.3">
      <c r="A56" s="154"/>
      <c r="B56" s="16">
        <v>4</v>
      </c>
      <c r="C56" s="155"/>
      <c r="D56" s="131" t="s">
        <v>9</v>
      </c>
      <c r="E56" s="73">
        <v>0.12</v>
      </c>
      <c r="F56" s="132">
        <f>AVERAGE(E56:E58)</f>
        <v>0.10733333333333334</v>
      </c>
      <c r="G56" s="157">
        <f>SUM(F56:F58)</f>
        <v>0.10733333333333334</v>
      </c>
      <c r="H56" s="134">
        <f>STDEVA(E56:E58)</f>
        <v>1.1015141094572202E-2</v>
      </c>
    </row>
    <row r="57" spans="1:8" ht="15.75" thickBot="1" x14ac:dyDescent="0.3">
      <c r="A57" s="154"/>
      <c r="B57" s="16">
        <v>5</v>
      </c>
      <c r="C57" s="155"/>
      <c r="D57" s="131"/>
      <c r="E57" s="69">
        <v>0.1</v>
      </c>
      <c r="F57" s="132"/>
      <c r="G57" s="157"/>
      <c r="H57" s="134"/>
    </row>
    <row r="58" spans="1:8" ht="15.75" thickBot="1" x14ac:dyDescent="0.3">
      <c r="A58" s="154"/>
      <c r="B58" s="21">
        <v>6</v>
      </c>
      <c r="C58" s="155"/>
      <c r="D58" s="131"/>
      <c r="E58" s="70">
        <v>0.10199999999999999</v>
      </c>
      <c r="F58" s="132"/>
      <c r="G58" s="157"/>
      <c r="H58" s="134"/>
    </row>
    <row r="59" spans="1:8" ht="15.75" thickBot="1" x14ac:dyDescent="0.3">
      <c r="A59" s="154" t="s">
        <v>14</v>
      </c>
      <c r="B59" s="5">
        <v>1.1000000000000001</v>
      </c>
      <c r="C59" s="155" t="s">
        <v>8</v>
      </c>
      <c r="D59" s="131" t="s">
        <v>8</v>
      </c>
      <c r="E59" s="71">
        <v>5.8999999999999997E-2</v>
      </c>
      <c r="F59" s="156">
        <f>SUM(E59:E60)</f>
        <v>0.12</v>
      </c>
      <c r="G59" s="157">
        <f>AVERAGE(F59:F64)</f>
        <v>0.12633333333333333</v>
      </c>
      <c r="H59" s="134">
        <f>STDEVA(F59:F64)</f>
        <v>1.4571661996262942E-2</v>
      </c>
    </row>
    <row r="60" spans="1:8" ht="15.75" thickBot="1" x14ac:dyDescent="0.3">
      <c r="A60" s="154"/>
      <c r="B60" s="8">
        <v>1.2</v>
      </c>
      <c r="C60" s="155"/>
      <c r="D60" s="131"/>
      <c r="E60" s="69">
        <v>6.0999999999999999E-2</v>
      </c>
      <c r="F60" s="156"/>
      <c r="G60" s="157"/>
      <c r="H60" s="134"/>
    </row>
    <row r="61" spans="1:8" ht="15.75" thickBot="1" x14ac:dyDescent="0.3">
      <c r="A61" s="154"/>
      <c r="B61" s="8">
        <v>2.1</v>
      </c>
      <c r="C61" s="155"/>
      <c r="D61" s="131"/>
      <c r="E61" s="69">
        <v>5.2999999999999999E-2</v>
      </c>
      <c r="F61" s="152">
        <f>SUM(E61:E62)</f>
        <v>0.11599999999999999</v>
      </c>
      <c r="G61" s="157"/>
      <c r="H61" s="134"/>
    </row>
    <row r="62" spans="1:8" ht="15.75" thickBot="1" x14ac:dyDescent="0.3">
      <c r="A62" s="154"/>
      <c r="B62" s="8">
        <v>2.2000000000000002</v>
      </c>
      <c r="C62" s="155"/>
      <c r="D62" s="131"/>
      <c r="E62" s="69">
        <v>6.3E-2</v>
      </c>
      <c r="F62" s="152"/>
      <c r="G62" s="157"/>
      <c r="H62" s="134"/>
    </row>
    <row r="63" spans="1:8" ht="15.75" thickBot="1" x14ac:dyDescent="0.3">
      <c r="A63" s="154"/>
      <c r="B63" s="8">
        <v>3.1</v>
      </c>
      <c r="C63" s="155"/>
      <c r="D63" s="131"/>
      <c r="E63" s="69">
        <v>6.3E-2</v>
      </c>
      <c r="F63" s="153">
        <f>SUM(E63:E64)</f>
        <v>0.14300000000000002</v>
      </c>
      <c r="G63" s="157"/>
      <c r="H63" s="134"/>
    </row>
    <row r="64" spans="1:8" ht="15.75" thickBot="1" x14ac:dyDescent="0.3">
      <c r="A64" s="154"/>
      <c r="B64" s="10">
        <v>3.2</v>
      </c>
      <c r="C64" s="155"/>
      <c r="D64" s="131"/>
      <c r="E64" s="70">
        <v>0.08</v>
      </c>
      <c r="F64" s="153"/>
      <c r="G64" s="157"/>
      <c r="H64" s="134"/>
    </row>
    <row r="65" spans="1:8" ht="15.75" thickBot="1" x14ac:dyDescent="0.3">
      <c r="A65" s="154"/>
      <c r="B65" s="5">
        <v>4.0999999999999996</v>
      </c>
      <c r="C65" s="155"/>
      <c r="D65" s="131" t="s">
        <v>9</v>
      </c>
      <c r="E65" s="71">
        <v>0.105</v>
      </c>
      <c r="F65" s="158">
        <f>SUM(E65:E66)</f>
        <v>0.19800000000000001</v>
      </c>
      <c r="G65" s="133">
        <f>AVERAGE(F65:F70)</f>
        <v>0.21266666666666667</v>
      </c>
      <c r="H65" s="134">
        <f>STDEVA(F65:F70)</f>
        <v>1.3316656236958782E-2</v>
      </c>
    </row>
    <row r="66" spans="1:8" ht="15.75" thickBot="1" x14ac:dyDescent="0.3">
      <c r="A66" s="154"/>
      <c r="B66" s="8">
        <v>4.2</v>
      </c>
      <c r="C66" s="155"/>
      <c r="D66" s="131"/>
      <c r="E66" s="69">
        <v>9.2999999999999999E-2</v>
      </c>
      <c r="F66" s="158"/>
      <c r="G66" s="133"/>
      <c r="H66" s="134"/>
    </row>
    <row r="67" spans="1:8" ht="15.75" thickBot="1" x14ac:dyDescent="0.3">
      <c r="A67" s="154"/>
      <c r="B67" s="8">
        <v>5.0999999999999996</v>
      </c>
      <c r="C67" s="155"/>
      <c r="D67" s="131"/>
      <c r="E67" s="69">
        <v>0.11</v>
      </c>
      <c r="F67" s="152">
        <f>SUM(E67:E68)</f>
        <v>0.224</v>
      </c>
      <c r="G67" s="133"/>
      <c r="H67" s="134"/>
    </row>
    <row r="68" spans="1:8" ht="15.75" thickBot="1" x14ac:dyDescent="0.3">
      <c r="A68" s="154"/>
      <c r="B68" s="8">
        <v>5.2</v>
      </c>
      <c r="C68" s="155"/>
      <c r="D68" s="131"/>
      <c r="E68" s="69">
        <v>0.114</v>
      </c>
      <c r="F68" s="152"/>
      <c r="G68" s="133"/>
      <c r="H68" s="134"/>
    </row>
    <row r="69" spans="1:8" ht="15.75" thickBot="1" x14ac:dyDescent="0.3">
      <c r="A69" s="154"/>
      <c r="B69" s="8">
        <v>6.1</v>
      </c>
      <c r="C69" s="155"/>
      <c r="D69" s="131"/>
      <c r="E69" s="69">
        <v>9.8000000000000004E-2</v>
      </c>
      <c r="F69" s="153">
        <f>SUM(E69:E70)</f>
        <v>0.216</v>
      </c>
      <c r="G69" s="133"/>
      <c r="H69" s="134"/>
    </row>
    <row r="70" spans="1:8" ht="15.75" thickBot="1" x14ac:dyDescent="0.3">
      <c r="A70" s="154"/>
      <c r="B70" s="10">
        <v>6.2</v>
      </c>
      <c r="C70" s="155"/>
      <c r="D70" s="131"/>
      <c r="E70" s="72">
        <v>0.11799999999999999</v>
      </c>
      <c r="F70" s="153"/>
      <c r="G70" s="133"/>
      <c r="H70" s="134"/>
    </row>
    <row r="71" spans="1:8" ht="15.75" thickBot="1" x14ac:dyDescent="0.3">
      <c r="A71" s="154" t="s">
        <v>15</v>
      </c>
      <c r="B71" s="14">
        <v>1</v>
      </c>
      <c r="C71" s="155" t="s">
        <v>9</v>
      </c>
      <c r="D71" s="131" t="s">
        <v>8</v>
      </c>
      <c r="E71" s="71">
        <v>0.20699999999999999</v>
      </c>
      <c r="F71" s="132">
        <f>AVERAGE(E71:E73)</f>
        <v>0.21799999999999997</v>
      </c>
      <c r="G71" s="133">
        <f>SUM(F71:F73)</f>
        <v>0.21799999999999997</v>
      </c>
      <c r="H71" s="134">
        <f>STDEVA(E71:E73)</f>
        <v>2.8160255680657977E-2</v>
      </c>
    </row>
    <row r="72" spans="1:8" ht="15.75" thickBot="1" x14ac:dyDescent="0.3">
      <c r="A72" s="154"/>
      <c r="B72" s="16">
        <v>2</v>
      </c>
      <c r="C72" s="155"/>
      <c r="D72" s="131"/>
      <c r="E72" s="69">
        <v>0.25</v>
      </c>
      <c r="F72" s="132"/>
      <c r="G72" s="133"/>
      <c r="H72" s="134"/>
    </row>
    <row r="73" spans="1:8" ht="15.75" thickBot="1" x14ac:dyDescent="0.3">
      <c r="A73" s="154"/>
      <c r="B73" s="16">
        <v>3</v>
      </c>
      <c r="C73" s="155"/>
      <c r="D73" s="131"/>
      <c r="E73" s="72">
        <v>0.19700000000000001</v>
      </c>
      <c r="F73" s="132"/>
      <c r="G73" s="133"/>
      <c r="H73" s="134"/>
    </row>
    <row r="74" spans="1:8" ht="15.75" thickBot="1" x14ac:dyDescent="0.3">
      <c r="A74" s="154"/>
      <c r="B74" s="16">
        <v>4</v>
      </c>
      <c r="C74" s="155"/>
      <c r="D74" s="131" t="s">
        <v>9</v>
      </c>
      <c r="E74" s="73">
        <v>0.151</v>
      </c>
      <c r="F74" s="132">
        <f>AVERAGE(E74:E76)</f>
        <v>0.16433333333333336</v>
      </c>
      <c r="G74" s="133">
        <f>SUM(F74:F76)</f>
        <v>0.16433333333333336</v>
      </c>
      <c r="H74" s="134">
        <f>STDEVA(E74:E76)</f>
        <v>3.3080709383768198E-2</v>
      </c>
    </row>
    <row r="75" spans="1:8" ht="15.75" thickBot="1" x14ac:dyDescent="0.3">
      <c r="A75" s="154"/>
      <c r="B75" s="16">
        <v>5</v>
      </c>
      <c r="C75" s="155"/>
      <c r="D75" s="131"/>
      <c r="E75" s="69">
        <v>0.14000000000000001</v>
      </c>
      <c r="F75" s="132"/>
      <c r="G75" s="133"/>
      <c r="H75" s="134"/>
    </row>
    <row r="76" spans="1:8" ht="15.75" thickBot="1" x14ac:dyDescent="0.3">
      <c r="A76" s="154"/>
      <c r="B76" s="21">
        <v>6</v>
      </c>
      <c r="C76" s="155"/>
      <c r="D76" s="131"/>
      <c r="E76" s="74">
        <v>0.20200000000000001</v>
      </c>
      <c r="F76" s="132"/>
      <c r="G76" s="133"/>
      <c r="H76" s="134"/>
    </row>
    <row r="77" spans="1:8" ht="15.75" thickBot="1" x14ac:dyDescent="0.3">
      <c r="A77" s="135" t="s">
        <v>35</v>
      </c>
      <c r="B77" s="58">
        <v>1</v>
      </c>
      <c r="C77" s="137" t="s">
        <v>36</v>
      </c>
      <c r="D77" s="141" t="s">
        <v>8</v>
      </c>
      <c r="E77" s="59">
        <v>0.105</v>
      </c>
      <c r="F77" s="144">
        <f>AVERAGE(E77:E79)</f>
        <v>0.11599999999999999</v>
      </c>
      <c r="G77" s="147">
        <f>SUM(F77:F79)</f>
        <v>0.11599999999999999</v>
      </c>
      <c r="H77" s="149">
        <f>STDEVA(E77:E79)</f>
        <v>1.1532562594670798E-2</v>
      </c>
    </row>
    <row r="78" spans="1:8" ht="15.75" thickBot="1" x14ac:dyDescent="0.3">
      <c r="A78" s="136"/>
      <c r="B78" s="60">
        <v>2</v>
      </c>
      <c r="C78" s="138"/>
      <c r="D78" s="142"/>
      <c r="E78" s="53">
        <v>0.115</v>
      </c>
      <c r="F78" s="145"/>
      <c r="G78" s="133"/>
      <c r="H78" s="150"/>
    </row>
    <row r="79" spans="1:8" ht="15.75" thickBot="1" x14ac:dyDescent="0.3">
      <c r="A79" s="136"/>
      <c r="B79" s="60">
        <v>3</v>
      </c>
      <c r="C79" s="138"/>
      <c r="D79" s="143"/>
      <c r="E79" s="61">
        <v>0.128</v>
      </c>
      <c r="F79" s="146"/>
      <c r="G79" s="148"/>
      <c r="H79" s="151"/>
    </row>
    <row r="80" spans="1:8" x14ac:dyDescent="0.25">
      <c r="A80" s="136"/>
      <c r="B80" s="60">
        <v>4.0999999999999996</v>
      </c>
      <c r="C80" s="138"/>
      <c r="D80" s="122" t="s">
        <v>9</v>
      </c>
      <c r="E80" s="53">
        <v>0.23400000000000001</v>
      </c>
      <c r="F80" s="125">
        <f>SUM(E80:E82)</f>
        <v>0.74399999999999999</v>
      </c>
      <c r="G80" s="126">
        <f>AVERAGE(F80:F88)</f>
        <v>0.70000000000000007</v>
      </c>
      <c r="H80" s="128">
        <f>STDEVA(F80:F88)</f>
        <v>4.1327956639543632E-2</v>
      </c>
    </row>
    <row r="81" spans="1:8" x14ac:dyDescent="0.25">
      <c r="A81" s="136"/>
      <c r="B81" s="60">
        <v>4.2</v>
      </c>
      <c r="C81" s="138"/>
      <c r="D81" s="122"/>
      <c r="E81" s="53">
        <v>0.25700000000000001</v>
      </c>
      <c r="F81" s="122"/>
      <c r="G81" s="126"/>
      <c r="H81" s="128"/>
    </row>
    <row r="82" spans="1:8" ht="15.75" thickBot="1" x14ac:dyDescent="0.3">
      <c r="A82" s="136"/>
      <c r="B82" s="60">
        <v>4.3</v>
      </c>
      <c r="C82" s="138"/>
      <c r="D82" s="122"/>
      <c r="E82" s="53">
        <v>0.253</v>
      </c>
      <c r="F82" s="122"/>
      <c r="G82" s="126"/>
      <c r="H82" s="128"/>
    </row>
    <row r="83" spans="1:8" x14ac:dyDescent="0.25">
      <c r="A83" s="123"/>
      <c r="B83" s="62">
        <v>5.0999999999999996</v>
      </c>
      <c r="C83" s="139"/>
      <c r="D83" s="123"/>
      <c r="E83" s="53">
        <v>0.22900000000000001</v>
      </c>
      <c r="F83" s="122">
        <f>SUM(E83:E85)</f>
        <v>0.69399999999999995</v>
      </c>
      <c r="G83" s="126"/>
      <c r="H83" s="128"/>
    </row>
    <row r="84" spans="1:8" x14ac:dyDescent="0.25">
      <c r="A84" s="123"/>
      <c r="B84" s="63">
        <v>5.2</v>
      </c>
      <c r="C84" s="139"/>
      <c r="D84" s="123"/>
      <c r="E84" s="53">
        <v>0.223</v>
      </c>
      <c r="F84" s="122"/>
      <c r="G84" s="126"/>
      <c r="H84" s="128"/>
    </row>
    <row r="85" spans="1:8" x14ac:dyDescent="0.25">
      <c r="A85" s="123"/>
      <c r="B85" s="64">
        <v>5.3</v>
      </c>
      <c r="C85" s="139"/>
      <c r="D85" s="123"/>
      <c r="E85" s="53">
        <v>0.24199999999999999</v>
      </c>
      <c r="F85" s="122"/>
      <c r="G85" s="126"/>
      <c r="H85" s="128"/>
    </row>
    <row r="86" spans="1:8" x14ac:dyDescent="0.25">
      <c r="A86" s="123"/>
      <c r="B86" s="64">
        <v>6.1</v>
      </c>
      <c r="C86" s="139"/>
      <c r="D86" s="123"/>
      <c r="E86" s="53">
        <v>0.221</v>
      </c>
      <c r="F86" s="122">
        <f>SUM(E86:E88)</f>
        <v>0.66200000000000003</v>
      </c>
      <c r="G86" s="126"/>
      <c r="H86" s="128"/>
    </row>
    <row r="87" spans="1:8" x14ac:dyDescent="0.25">
      <c r="A87" s="123"/>
      <c r="B87" s="64">
        <v>6.2</v>
      </c>
      <c r="C87" s="139"/>
      <c r="D87" s="123"/>
      <c r="E87" s="53">
        <v>0.215</v>
      </c>
      <c r="F87" s="122"/>
      <c r="G87" s="126"/>
      <c r="H87" s="128"/>
    </row>
    <row r="88" spans="1:8" ht="15.75" thickBot="1" x14ac:dyDescent="0.3">
      <c r="A88" s="124"/>
      <c r="B88" s="65">
        <v>6.3</v>
      </c>
      <c r="C88" s="140"/>
      <c r="D88" s="124"/>
      <c r="E88" s="61">
        <v>0.22600000000000001</v>
      </c>
      <c r="F88" s="130"/>
      <c r="G88" s="127"/>
      <c r="H88" s="129"/>
    </row>
  </sheetData>
  <mergeCells count="108">
    <mergeCell ref="A14:A25"/>
    <mergeCell ref="C14:C25"/>
    <mergeCell ref="D14:D19"/>
    <mergeCell ref="F14:F15"/>
    <mergeCell ref="G14:G19"/>
    <mergeCell ref="H14:H19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6:F17"/>
    <mergeCell ref="F18:F19"/>
    <mergeCell ref="D20:D25"/>
    <mergeCell ref="F20:F21"/>
    <mergeCell ref="G20:G25"/>
    <mergeCell ref="H20:H25"/>
    <mergeCell ref="F22:F23"/>
    <mergeCell ref="F24:F25"/>
    <mergeCell ref="G8:G13"/>
    <mergeCell ref="H8:H13"/>
    <mergeCell ref="F10:F11"/>
    <mergeCell ref="F12:F13"/>
    <mergeCell ref="G35:G40"/>
    <mergeCell ref="H35:H40"/>
    <mergeCell ref="F37:F38"/>
    <mergeCell ref="F39:F40"/>
    <mergeCell ref="A41:A52"/>
    <mergeCell ref="C41:C52"/>
    <mergeCell ref="D41:D46"/>
    <mergeCell ref="F41:F42"/>
    <mergeCell ref="G41:G46"/>
    <mergeCell ref="H41:H46"/>
    <mergeCell ref="A26:A40"/>
    <mergeCell ref="C26:C40"/>
    <mergeCell ref="D26:D34"/>
    <mergeCell ref="F26:F28"/>
    <mergeCell ref="G26:G34"/>
    <mergeCell ref="H26:H34"/>
    <mergeCell ref="F29:F31"/>
    <mergeCell ref="F32:F34"/>
    <mergeCell ref="D35:D40"/>
    <mergeCell ref="F35:F36"/>
    <mergeCell ref="G47:G52"/>
    <mergeCell ref="H47:H52"/>
    <mergeCell ref="B49:B50"/>
    <mergeCell ref="E49:E50"/>
    <mergeCell ref="F49:F50"/>
    <mergeCell ref="B51:B52"/>
    <mergeCell ref="E51:E52"/>
    <mergeCell ref="F51:F52"/>
    <mergeCell ref="F43:F44"/>
    <mergeCell ref="F45:F46"/>
    <mergeCell ref="B47:B48"/>
    <mergeCell ref="D47:D52"/>
    <mergeCell ref="E47:E48"/>
    <mergeCell ref="F47:F48"/>
    <mergeCell ref="D65:D70"/>
    <mergeCell ref="F65:F66"/>
    <mergeCell ref="A53:A58"/>
    <mergeCell ref="C53:C58"/>
    <mergeCell ref="D53:D55"/>
    <mergeCell ref="F53:F55"/>
    <mergeCell ref="G53:G55"/>
    <mergeCell ref="H53:H55"/>
    <mergeCell ref="D56:D58"/>
    <mergeCell ref="F56:F58"/>
    <mergeCell ref="G56:G58"/>
    <mergeCell ref="H56:H58"/>
    <mergeCell ref="A77:A88"/>
    <mergeCell ref="C77:C88"/>
    <mergeCell ref="D77:D79"/>
    <mergeCell ref="F77:F79"/>
    <mergeCell ref="G77:G79"/>
    <mergeCell ref="H77:H79"/>
    <mergeCell ref="G65:G70"/>
    <mergeCell ref="H65:H70"/>
    <mergeCell ref="F67:F68"/>
    <mergeCell ref="F69:F70"/>
    <mergeCell ref="A71:A76"/>
    <mergeCell ref="C71:C76"/>
    <mergeCell ref="D71:D73"/>
    <mergeCell ref="F71:F73"/>
    <mergeCell ref="G71:G73"/>
    <mergeCell ref="H71:H73"/>
    <mergeCell ref="A59:A70"/>
    <mergeCell ref="C59:C70"/>
    <mergeCell ref="D59:D64"/>
    <mergeCell ref="F59:F60"/>
    <mergeCell ref="G59:G64"/>
    <mergeCell ref="H59:H64"/>
    <mergeCell ref="F61:F62"/>
    <mergeCell ref="F63:F64"/>
    <mergeCell ref="D80:D88"/>
    <mergeCell ref="F80:F82"/>
    <mergeCell ref="G80:G88"/>
    <mergeCell ref="H80:H88"/>
    <mergeCell ref="F83:F85"/>
    <mergeCell ref="F86:F88"/>
    <mergeCell ref="D74:D76"/>
    <mergeCell ref="F74:F76"/>
    <mergeCell ref="G74:G76"/>
    <mergeCell ref="H74:H7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F4B-5DD5-4541-B948-E8153DEA7728}">
  <dimension ref="A1:M49"/>
  <sheetViews>
    <sheetView workbookViewId="0">
      <selection activeCell="B5" sqref="B5:B7"/>
    </sheetView>
  </sheetViews>
  <sheetFormatPr defaultRowHeight="15" x14ac:dyDescent="0.25"/>
  <cols>
    <col min="2" max="3" width="18.140625" customWidth="1"/>
    <col min="4" max="4" width="17.7109375" customWidth="1"/>
    <col min="5" max="7" width="10" customWidth="1"/>
    <col min="8" max="10" width="11.42578125" customWidth="1"/>
    <col min="11" max="11" width="12.5703125" customWidth="1"/>
  </cols>
  <sheetData>
    <row r="1" spans="1:13" ht="15.75" thickBot="1" x14ac:dyDescent="0.3">
      <c r="B1" t="s">
        <v>44</v>
      </c>
      <c r="C1" t="s">
        <v>67</v>
      </c>
      <c r="D1" t="s">
        <v>70</v>
      </c>
      <c r="E1" t="s">
        <v>41</v>
      </c>
      <c r="F1" t="s">
        <v>68</v>
      </c>
      <c r="G1" t="s">
        <v>69</v>
      </c>
      <c r="H1" t="s">
        <v>45</v>
      </c>
      <c r="I1" t="s">
        <v>71</v>
      </c>
      <c r="J1" t="s">
        <v>72</v>
      </c>
      <c r="K1" t="s">
        <v>46</v>
      </c>
      <c r="L1" t="s">
        <v>73</v>
      </c>
      <c r="M1" t="s">
        <v>74</v>
      </c>
    </row>
    <row r="2" spans="1:13" x14ac:dyDescent="0.25">
      <c r="A2" s="82" t="s">
        <v>19</v>
      </c>
      <c r="B2">
        <v>0.21400000000000002</v>
      </c>
      <c r="C2">
        <f>AVERAGE(B2:B4)</f>
        <v>0.22066666666666668</v>
      </c>
      <c r="D2">
        <f>STDEVA(B2:B4)</f>
        <v>2.2744962812309297E-2</v>
      </c>
      <c r="E2">
        <v>0.96300000000000008</v>
      </c>
      <c r="F2">
        <f>AVERAGE(E2:E4)</f>
        <v>0.96096666666666675</v>
      </c>
      <c r="G2">
        <f>STDEVA(E2:E4)</f>
        <v>1.9131213587572894E-2</v>
      </c>
      <c r="H2">
        <v>1.2662</v>
      </c>
      <c r="I2">
        <f>AVERAGE(H2:H4)</f>
        <v>1.2782333333333333</v>
      </c>
      <c r="J2">
        <f>STDEVA(H2:H4)</f>
        <v>3.2089302475020128E-2</v>
      </c>
      <c r="K2">
        <v>2.4432</v>
      </c>
      <c r="L2">
        <f>AVERAGE(K2:K4)</f>
        <v>2.4598666666666666</v>
      </c>
      <c r="M2">
        <f>STDEVA(K2:K4)</f>
        <v>1.7967285085213593E-2</v>
      </c>
    </row>
    <row r="3" spans="1:13" x14ac:dyDescent="0.25">
      <c r="A3" s="87"/>
      <c r="B3">
        <v>0.246</v>
      </c>
      <c r="E3">
        <v>0.97900000000000009</v>
      </c>
      <c r="H3">
        <v>1.2539</v>
      </c>
      <c r="K3">
        <v>2.4789000000000003</v>
      </c>
    </row>
    <row r="4" spans="1:13" x14ac:dyDescent="0.25">
      <c r="A4" s="87"/>
      <c r="B4">
        <v>0.20200000000000001</v>
      </c>
      <c r="E4">
        <v>0.94090000000000007</v>
      </c>
      <c r="H4">
        <v>1.3146</v>
      </c>
      <c r="K4">
        <v>2.4575</v>
      </c>
    </row>
    <row r="5" spans="1:13" x14ac:dyDescent="0.25">
      <c r="A5" s="87"/>
      <c r="B5">
        <v>0.32</v>
      </c>
      <c r="C5">
        <f>AVERAGE(B5:B7)</f>
        <v>0.34400000000000003</v>
      </c>
      <c r="D5">
        <f>STDEVA(B5:B7)</f>
        <v>2.0999999999999987E-2</v>
      </c>
      <c r="E5">
        <v>0.95479999999999998</v>
      </c>
      <c r="F5">
        <f>AVERAGE(E5:E7)</f>
        <v>0.94853333333333334</v>
      </c>
      <c r="G5">
        <f>STDEVA(E5:E7)</f>
        <v>6.153318887668173E-3</v>
      </c>
      <c r="H5">
        <v>0.64680000000000004</v>
      </c>
      <c r="I5">
        <f>AVERAGE(H5:H7)</f>
        <v>0.63190000000000002</v>
      </c>
      <c r="J5">
        <f>STDEVA(H5:H7)</f>
        <v>1.295492184461185E-2</v>
      </c>
      <c r="K5">
        <v>1.9216</v>
      </c>
      <c r="L5">
        <f>AVERAGE(K5:K7)</f>
        <v>1.9244333333333332</v>
      </c>
      <c r="M5">
        <f>STDEVA(K5:K7)</f>
        <v>2.7537852736429697E-3</v>
      </c>
    </row>
    <row r="6" spans="1:13" x14ac:dyDescent="0.25">
      <c r="A6" s="87"/>
      <c r="B6">
        <v>0.35899999999999999</v>
      </c>
      <c r="E6">
        <v>0.94249999999999989</v>
      </c>
      <c r="H6">
        <v>0.62559999999999993</v>
      </c>
      <c r="K6">
        <v>1.9270999999999998</v>
      </c>
    </row>
    <row r="7" spans="1:13" ht="15.75" thickBot="1" x14ac:dyDescent="0.3">
      <c r="A7" s="89"/>
      <c r="B7">
        <v>0.35299999999999998</v>
      </c>
      <c r="E7">
        <v>0.94829999999999992</v>
      </c>
      <c r="H7">
        <v>0.62329999999999997</v>
      </c>
      <c r="K7">
        <v>1.9245999999999999</v>
      </c>
    </row>
    <row r="8" spans="1:13" x14ac:dyDescent="0.25">
      <c r="A8" s="87" t="s">
        <v>20</v>
      </c>
      <c r="B8">
        <v>0.20200000000000001</v>
      </c>
      <c r="C8">
        <f>AVERAGE(B8:B10)</f>
        <v>0.23533333333333337</v>
      </c>
      <c r="D8">
        <f>STDEVA(B8:B10)</f>
        <v>3.6909799963333947E-2</v>
      </c>
      <c r="E8">
        <v>0.92300000000000004</v>
      </c>
      <c r="F8">
        <f>AVERAGE(E8:E10)</f>
        <v>0.92523333333333335</v>
      </c>
      <c r="G8">
        <f>STDEVA(E8:E10)</f>
        <v>2.542308662089111E-3</v>
      </c>
      <c r="H8">
        <v>1.4668000000000001</v>
      </c>
      <c r="I8">
        <f>AVERAGE(H8:H10)</f>
        <v>1.4494999999999998</v>
      </c>
      <c r="J8">
        <f>STDEVA(H8:H10)</f>
        <v>1.4996332885075687E-2</v>
      </c>
      <c r="K8">
        <v>2.5918000000000001</v>
      </c>
      <c r="L8">
        <f>AVERAGE(K8:K10)</f>
        <v>2.6100666666666665</v>
      </c>
      <c r="M8">
        <f>STDEVA(K8:K10)</f>
        <v>2.8744622685527136E-2</v>
      </c>
    </row>
    <row r="9" spans="1:13" x14ac:dyDescent="0.25">
      <c r="A9" s="87"/>
      <c r="B9">
        <v>0.22900000000000001</v>
      </c>
      <c r="E9">
        <v>0.92470000000000008</v>
      </c>
      <c r="H9">
        <v>1.4415</v>
      </c>
      <c r="K9">
        <v>2.5952000000000002</v>
      </c>
    </row>
    <row r="10" spans="1:13" x14ac:dyDescent="0.25">
      <c r="A10" s="87"/>
      <c r="B10">
        <v>0.27500000000000002</v>
      </c>
      <c r="E10">
        <v>0.92800000000000005</v>
      </c>
      <c r="H10">
        <v>1.4401999999999999</v>
      </c>
      <c r="K10">
        <v>2.6431999999999998</v>
      </c>
    </row>
    <row r="11" spans="1:13" x14ac:dyDescent="0.25">
      <c r="A11" s="87"/>
      <c r="B11">
        <v>0.33</v>
      </c>
      <c r="C11">
        <f>AVERAGE(B11:B13)</f>
        <v>0.35766666666666663</v>
      </c>
      <c r="D11">
        <f>STDEVA(B11:B13)</f>
        <v>3.1533051443419391E-2</v>
      </c>
      <c r="E11">
        <v>0.95899999999999996</v>
      </c>
      <c r="F11">
        <f>AVERAGE(E11:E13)</f>
        <v>0.96566666666666656</v>
      </c>
      <c r="G11">
        <f>STDEVA(E11:E13)</f>
        <v>6.803920438492277E-3</v>
      </c>
      <c r="H11">
        <v>0.72409999999999997</v>
      </c>
      <c r="I11">
        <f>AVERAGE(H11:H13)</f>
        <v>0.71476666666666666</v>
      </c>
      <c r="J11">
        <f>STDEVA(H11:H13)</f>
        <v>8.5541412972508675E-3</v>
      </c>
      <c r="K11">
        <v>2.0131000000000001</v>
      </c>
      <c r="L11">
        <f>AVERAGE(K11:K13)</f>
        <v>2.0381</v>
      </c>
      <c r="M11">
        <f>STDEVA(K11:K13)</f>
        <v>2.9271829461104727E-2</v>
      </c>
    </row>
    <row r="12" spans="1:13" x14ac:dyDescent="0.25">
      <c r="A12" s="87"/>
      <c r="B12">
        <v>0.39200000000000002</v>
      </c>
      <c r="E12">
        <v>0.96540000000000004</v>
      </c>
      <c r="H12">
        <v>0.71289999999999998</v>
      </c>
      <c r="K12">
        <v>2.0703</v>
      </c>
    </row>
    <row r="13" spans="1:13" ht="15.75" thickBot="1" x14ac:dyDescent="0.3">
      <c r="A13" s="89"/>
      <c r="B13">
        <v>0.35099999999999998</v>
      </c>
      <c r="E13">
        <v>0.97259999999999991</v>
      </c>
      <c r="H13">
        <v>0.70730000000000004</v>
      </c>
      <c r="K13">
        <v>2.0308999999999999</v>
      </c>
    </row>
    <row r="14" spans="1:13" x14ac:dyDescent="0.25">
      <c r="A14" t="s">
        <v>21</v>
      </c>
      <c r="B14">
        <v>0.36</v>
      </c>
      <c r="C14">
        <f>AVERAGE(B14:B16)</f>
        <v>0.34733333333333333</v>
      </c>
      <c r="D14">
        <f>STDEVA(B14:B16)</f>
        <v>4.0513372277969327E-2</v>
      </c>
      <c r="E14">
        <v>0.8216</v>
      </c>
      <c r="F14">
        <f>AVERAGE(E14:E16)</f>
        <v>0.8211666666666666</v>
      </c>
      <c r="G14">
        <f>STDEVA(E14:E16)</f>
        <v>1.7897858344878123E-3</v>
      </c>
      <c r="H14">
        <v>1.2389000000000001</v>
      </c>
      <c r="I14">
        <f>AVERAGE(H14:H16)</f>
        <v>1.1005333333333334</v>
      </c>
      <c r="J14">
        <f>STDEVA(H14:H16)</f>
        <v>0.12921580140730987</v>
      </c>
      <c r="K14">
        <v>2.4205000000000001</v>
      </c>
      <c r="L14">
        <f>AVERAGE(K14:K16)</f>
        <v>2.2690333333333332</v>
      </c>
      <c r="M14">
        <f>STDEVA(K14:K16)</f>
        <v>0.15857308514793214</v>
      </c>
    </row>
    <row r="15" spans="1:13" x14ac:dyDescent="0.25">
      <c r="B15">
        <v>0.38</v>
      </c>
      <c r="E15">
        <v>0.82269999999999999</v>
      </c>
      <c r="H15">
        <v>1.0796999999999999</v>
      </c>
      <c r="K15">
        <v>2.2824</v>
      </c>
    </row>
    <row r="16" spans="1:13" x14ac:dyDescent="0.25">
      <c r="B16">
        <v>0.30199999999999999</v>
      </c>
      <c r="E16">
        <v>0.81920000000000004</v>
      </c>
      <c r="H16">
        <v>0.9830000000000001</v>
      </c>
      <c r="K16">
        <v>2.1042000000000001</v>
      </c>
    </row>
    <row r="17" spans="1:13" x14ac:dyDescent="0.25">
      <c r="B17">
        <v>0.47</v>
      </c>
      <c r="C17">
        <f>AVERAGE(B17:B19)</f>
        <v>0.45233333333333331</v>
      </c>
      <c r="D17">
        <f>STDEVA(B17:B19)</f>
        <v>3.2347076117221644E-2</v>
      </c>
      <c r="E17">
        <v>0.3342</v>
      </c>
      <c r="F17">
        <f>AVERAGE(E17:E19)</f>
        <v>0.33416666666666667</v>
      </c>
      <c r="G17">
        <f>STDEVA(E17:E19)</f>
        <v>3.0501366089625095E-3</v>
      </c>
      <c r="H17">
        <v>0.77469999999999994</v>
      </c>
      <c r="I17">
        <f>AVERAGE(H17:H19)</f>
        <v>0.73819999999999997</v>
      </c>
      <c r="J17">
        <f>STDEVA(H17:H19)</f>
        <v>3.8256894803420691E-2</v>
      </c>
      <c r="K17">
        <v>1.5789</v>
      </c>
      <c r="L17">
        <f>AVERAGE(K17:K19)</f>
        <v>1.5246999999999999</v>
      </c>
      <c r="M17">
        <f>STDEVA(K17:K19)</f>
        <v>6.6424618930032306E-2</v>
      </c>
    </row>
    <row r="18" spans="1:13" x14ac:dyDescent="0.25">
      <c r="B18">
        <v>0.47199999999999998</v>
      </c>
      <c r="E18">
        <v>0.33110000000000001</v>
      </c>
      <c r="H18">
        <v>0.74150000000000005</v>
      </c>
      <c r="K18">
        <v>1.5446</v>
      </c>
    </row>
    <row r="19" spans="1:13" ht="15.75" thickBot="1" x14ac:dyDescent="0.3">
      <c r="B19">
        <v>0.41500000000000004</v>
      </c>
      <c r="E19">
        <v>0.3372</v>
      </c>
      <c r="H19">
        <v>0.69840000000000002</v>
      </c>
      <c r="K19">
        <v>1.4505999999999999</v>
      </c>
    </row>
    <row r="20" spans="1:13" x14ac:dyDescent="0.25">
      <c r="A20" s="82" t="s">
        <v>22</v>
      </c>
      <c r="B20">
        <v>0.49099999999999999</v>
      </c>
      <c r="C20">
        <f>AVERAGE(B20:B22)</f>
        <v>0.498</v>
      </c>
      <c r="D20">
        <f>STDEVA(B20:B22)</f>
        <v>7.549834435270757E-3</v>
      </c>
      <c r="E20">
        <v>0.63500000000000001</v>
      </c>
      <c r="F20">
        <f>AVERAGE(E20:E22)</f>
        <v>0.626</v>
      </c>
      <c r="G20">
        <f>STDEVA(E20:E22)</f>
        <v>1.3892443989449818E-2</v>
      </c>
      <c r="H20">
        <v>0.69809999999999994</v>
      </c>
      <c r="I20">
        <f>AVERAGE(H20:H22)</f>
        <v>0.67306666666666659</v>
      </c>
      <c r="J20">
        <f>STDEVA(H20:H22)</f>
        <v>2.1840863841279978E-2</v>
      </c>
      <c r="K20">
        <v>1.8240999999999998</v>
      </c>
      <c r="L20">
        <f>AVERAGE(K20:K22)</f>
        <v>1.7970666666666666</v>
      </c>
      <c r="M20">
        <f>STDEVA(K20:K22)</f>
        <v>2.993197844001181E-2</v>
      </c>
    </row>
    <row r="21" spans="1:13" x14ac:dyDescent="0.25">
      <c r="A21" s="87"/>
      <c r="B21">
        <v>0.497</v>
      </c>
      <c r="E21">
        <v>0.61</v>
      </c>
      <c r="H21">
        <v>0.65790000000000004</v>
      </c>
      <c r="K21">
        <v>1.7648999999999999</v>
      </c>
    </row>
    <row r="22" spans="1:13" x14ac:dyDescent="0.25">
      <c r="A22" s="87"/>
      <c r="B22">
        <v>0.50600000000000001</v>
      </c>
      <c r="E22">
        <v>0.63300000000000001</v>
      </c>
      <c r="H22">
        <v>0.66320000000000001</v>
      </c>
      <c r="K22">
        <v>1.8022</v>
      </c>
    </row>
    <row r="23" spans="1:13" x14ac:dyDescent="0.25">
      <c r="A23" s="87"/>
      <c r="B23">
        <v>0.504</v>
      </c>
      <c r="C23">
        <f>AVERAGE(B23:B25)</f>
        <v>0.5086666666666666</v>
      </c>
      <c r="D23">
        <f>STDEVA(B23:B25)</f>
        <v>7.234178138070241E-3</v>
      </c>
      <c r="E23">
        <v>0.23100000000000001</v>
      </c>
      <c r="F23">
        <f>AVERAGE(E23:E25)</f>
        <v>0.23616666666666666</v>
      </c>
      <c r="G23">
        <f>STDEVA(E23:E25)</f>
        <v>4.6457866215887733E-3</v>
      </c>
      <c r="H23">
        <v>1.0980000000000001</v>
      </c>
      <c r="I23">
        <f>AVERAGE(H23:H25)</f>
        <v>1.1356666666666666</v>
      </c>
      <c r="J23">
        <f>STDEVA(H23:H25)</f>
        <v>3.3471380810079054E-2</v>
      </c>
      <c r="K23">
        <v>1.8330000000000002</v>
      </c>
      <c r="L23">
        <f>AVERAGE(K23:K25)</f>
        <v>1.8805000000000003</v>
      </c>
      <c r="M23">
        <f>STDEVA(K23:K25)</f>
        <v>4.2921439864011847E-2</v>
      </c>
    </row>
    <row r="24" spans="1:13" x14ac:dyDescent="0.25">
      <c r="A24" s="87"/>
      <c r="B24">
        <v>0.51700000000000002</v>
      </c>
      <c r="E24">
        <v>0.23749999999999999</v>
      </c>
      <c r="H24">
        <v>1.1619999999999999</v>
      </c>
      <c r="K24">
        <v>1.9164999999999999</v>
      </c>
    </row>
    <row r="25" spans="1:13" ht="15.75" thickBot="1" x14ac:dyDescent="0.3">
      <c r="A25" s="89"/>
      <c r="B25">
        <v>0.505</v>
      </c>
      <c r="E25">
        <v>0.24</v>
      </c>
      <c r="H25">
        <v>1.147</v>
      </c>
      <c r="K25">
        <v>1.8919999999999999</v>
      </c>
    </row>
    <row r="26" spans="1:13" x14ac:dyDescent="0.25">
      <c r="A26" s="82" t="s">
        <v>23</v>
      </c>
      <c r="B26">
        <v>0.28600000000000003</v>
      </c>
      <c r="C26">
        <f>AVERAGE(B26:B28)</f>
        <v>0.313</v>
      </c>
      <c r="D26">
        <f>STDEVA(B26:B28)</f>
        <v>2.6057628441590736E-2</v>
      </c>
      <c r="E26">
        <v>0.1338</v>
      </c>
      <c r="F26">
        <f>AVERAGE(E26:E28)</f>
        <v>0.13626666666666667</v>
      </c>
      <c r="G26">
        <f>STDEVA(E26:E28)</f>
        <v>2.3586719427112698E-3</v>
      </c>
      <c r="H26">
        <v>0.82099999999999995</v>
      </c>
      <c r="I26">
        <f>AVERAGE(H26:H28)</f>
        <v>0.82409999999999994</v>
      </c>
      <c r="J26">
        <f>STDEVA(H26:H28)</f>
        <v>1.9634408572707221E-2</v>
      </c>
      <c r="K26">
        <v>1.2407999999999999</v>
      </c>
      <c r="L26">
        <f>AVERAGE(K26:K28)</f>
        <v>1.2733666666666668</v>
      </c>
      <c r="M26">
        <f>STDEVA(K26:K28)</f>
        <v>2.9589581499800521E-2</v>
      </c>
    </row>
    <row r="27" spans="1:13" x14ac:dyDescent="0.25">
      <c r="A27" s="87"/>
      <c r="B27">
        <v>0.315</v>
      </c>
      <c r="E27">
        <v>0.13850000000000001</v>
      </c>
      <c r="H27">
        <v>0.84509999999999996</v>
      </c>
      <c r="K27">
        <v>1.2986</v>
      </c>
    </row>
    <row r="28" spans="1:13" x14ac:dyDescent="0.25">
      <c r="A28" s="87"/>
      <c r="B28">
        <v>0.33799999999999997</v>
      </c>
      <c r="E28">
        <v>0.13650000000000001</v>
      </c>
      <c r="H28">
        <v>0.80620000000000003</v>
      </c>
      <c r="K28">
        <v>1.2807000000000002</v>
      </c>
    </row>
    <row r="29" spans="1:13" x14ac:dyDescent="0.25">
      <c r="A29" s="87"/>
      <c r="B29">
        <v>0.31</v>
      </c>
      <c r="C29">
        <f>AVERAGE(B29:B31)</f>
        <v>0.29099999999999998</v>
      </c>
      <c r="D29">
        <f>STDEVA(B29:B31)</f>
        <v>1.7349351572897465E-2</v>
      </c>
      <c r="E29">
        <v>0.75239999999999996</v>
      </c>
      <c r="F29">
        <f>AVERAGE(E29:E31)</f>
        <v>0.74563333333333348</v>
      </c>
      <c r="G29">
        <f>STDEVA(E29:E31)</f>
        <v>6.1158264636378308E-3</v>
      </c>
      <c r="H29">
        <v>0.76439999999999997</v>
      </c>
      <c r="I29">
        <f>AVERAGE(H29:H31)</f>
        <v>0.74563333333333348</v>
      </c>
      <c r="J29">
        <f>STDEVA(H29:H31)</f>
        <v>1.6798908694713854E-2</v>
      </c>
      <c r="K29">
        <v>1.8268</v>
      </c>
      <c r="L29">
        <f>AVERAGE(K29:K31)</f>
        <v>1.7822666666666667</v>
      </c>
      <c r="M29">
        <f>STDEVA(K29:K31)</f>
        <v>3.8683502082067639E-2</v>
      </c>
    </row>
    <row r="30" spans="1:13" x14ac:dyDescent="0.25">
      <c r="A30" s="87"/>
      <c r="B30">
        <v>0.27600000000000002</v>
      </c>
      <c r="E30">
        <v>0.74050000000000005</v>
      </c>
      <c r="H30">
        <v>0.74050000000000005</v>
      </c>
      <c r="K30">
        <v>1.7570000000000001</v>
      </c>
    </row>
    <row r="31" spans="1:13" ht="15.75" thickBot="1" x14ac:dyDescent="0.3">
      <c r="A31" s="89"/>
      <c r="B31">
        <v>0.28699999999999998</v>
      </c>
      <c r="E31">
        <v>0.74399999999999999</v>
      </c>
      <c r="H31">
        <v>0.73199999999999998</v>
      </c>
      <c r="K31">
        <v>1.7629999999999999</v>
      </c>
    </row>
    <row r="32" spans="1:13" x14ac:dyDescent="0.25">
      <c r="A32" s="82" t="s">
        <v>24</v>
      </c>
      <c r="B32">
        <v>0.23399999999999999</v>
      </c>
      <c r="C32">
        <f>AVERAGE(B32:B34)</f>
        <v>0.24866666666666667</v>
      </c>
      <c r="D32">
        <f>STDEVA(B32:B34)</f>
        <v>1.7473789896108226E-2</v>
      </c>
      <c r="E32">
        <v>0.57720000000000005</v>
      </c>
      <c r="F32">
        <f>AVERAGE(E32:E34)</f>
        <v>0.58143333333333336</v>
      </c>
      <c r="G32">
        <f>STDEVA(E32:E34)</f>
        <v>4.5829393770083146E-3</v>
      </c>
      <c r="H32">
        <v>0.9294</v>
      </c>
      <c r="I32">
        <f>AVERAGE(H32:H34)</f>
        <v>0.94919999999999993</v>
      </c>
      <c r="J32">
        <f>STDEVA(H32:H34)</f>
        <v>2.5891890622355064E-2</v>
      </c>
      <c r="K32">
        <v>1.7406000000000001</v>
      </c>
      <c r="L32">
        <f>AVERAGE(K32:K34)</f>
        <v>1.7793000000000001</v>
      </c>
      <c r="M32">
        <f>STDEVA(K32:K34)</f>
        <v>3.501842372237781E-2</v>
      </c>
    </row>
    <row r="33" spans="1:13" x14ac:dyDescent="0.25">
      <c r="A33" s="87"/>
      <c r="B33">
        <v>0.24399999999999999</v>
      </c>
      <c r="E33">
        <v>0.58630000000000004</v>
      </c>
      <c r="H33">
        <v>0.97849999999999993</v>
      </c>
      <c r="K33">
        <v>1.8088</v>
      </c>
    </row>
    <row r="34" spans="1:13" x14ac:dyDescent="0.25">
      <c r="A34" s="87"/>
      <c r="B34">
        <v>0.26800000000000002</v>
      </c>
      <c r="E34">
        <v>0.58079999999999998</v>
      </c>
      <c r="H34">
        <v>0.93969999999999998</v>
      </c>
      <c r="K34">
        <v>1.7885</v>
      </c>
    </row>
    <row r="35" spans="1:13" x14ac:dyDescent="0.25">
      <c r="A35" s="87"/>
      <c r="B35">
        <v>0.55299999999999994</v>
      </c>
      <c r="C35">
        <f>AVERAGE(B35:B37)</f>
        <v>0.56266666666666665</v>
      </c>
      <c r="D35">
        <f>STDEVA(B35:B37)</f>
        <v>2.1221058723195987E-2</v>
      </c>
      <c r="E35">
        <v>0.58699999999999997</v>
      </c>
      <c r="F35">
        <f>AVERAGE(E35:E37)</f>
        <v>0.59053333333333324</v>
      </c>
      <c r="G35">
        <f>STDEVA(E35:E37)</f>
        <v>5.6083271421461548E-3</v>
      </c>
      <c r="H35">
        <v>0.9</v>
      </c>
      <c r="I35">
        <f>AVERAGE(H35:H37)</f>
        <v>0.84093333333333342</v>
      </c>
      <c r="J35">
        <f>STDEVA(H35:H37)</f>
        <v>5.2541919772057591E-2</v>
      </c>
      <c r="K35">
        <v>0.84099999999999997</v>
      </c>
      <c r="L35">
        <f>AVERAGE(K35:K37)</f>
        <v>0.84093333333333342</v>
      </c>
      <c r="M35">
        <f>STDEVA(K35:K37)</f>
        <v>1.7500095237836157E-2</v>
      </c>
    </row>
    <row r="36" spans="1:13" x14ac:dyDescent="0.25">
      <c r="A36" s="87"/>
      <c r="B36">
        <v>0.58699999999999997</v>
      </c>
      <c r="E36">
        <v>0.59699999999999998</v>
      </c>
      <c r="H36">
        <v>0.7994</v>
      </c>
      <c r="K36">
        <v>0.85840000000000005</v>
      </c>
    </row>
    <row r="37" spans="1:13" ht="15.75" thickBot="1" x14ac:dyDescent="0.3">
      <c r="A37" s="89"/>
      <c r="B37">
        <v>0.54800000000000004</v>
      </c>
      <c r="E37">
        <v>0.58760000000000001</v>
      </c>
      <c r="H37">
        <v>0.82339999999999991</v>
      </c>
      <c r="K37">
        <v>0.82339999999999991</v>
      </c>
    </row>
    <row r="38" spans="1:13" x14ac:dyDescent="0.25">
      <c r="A38" s="82" t="s">
        <v>25</v>
      </c>
      <c r="B38">
        <v>0.308</v>
      </c>
      <c r="C38">
        <f>AVERAGE(B38:B40)</f>
        <v>0.33100000000000002</v>
      </c>
      <c r="D38">
        <f>STDEVA(B38:B40)</f>
        <v>2.0952326839756952E-2</v>
      </c>
      <c r="E38">
        <v>0.1741</v>
      </c>
      <c r="F38">
        <f>AVERAGE(E38:E40)</f>
        <v>0.17643333333333333</v>
      </c>
      <c r="G38">
        <f>STDEVA(E38:E40)</f>
        <v>2.6407069760451055E-3</v>
      </c>
      <c r="H38">
        <v>0.84299999999999997</v>
      </c>
      <c r="I38">
        <f>AVERAGE(H38:H40)</f>
        <v>0.83230000000000004</v>
      </c>
      <c r="J38">
        <f>STDEVA(H38:H40)</f>
        <v>1.2016239012270055E-2</v>
      </c>
      <c r="K38">
        <v>0.84299999999999997</v>
      </c>
      <c r="L38">
        <f>AVERAGE(K38:K40)</f>
        <v>0.82799999999999996</v>
      </c>
      <c r="M38">
        <f>STDEVA(K38:K40)</f>
        <v>1.4437451298619128E-2</v>
      </c>
    </row>
    <row r="39" spans="1:13" x14ac:dyDescent="0.25">
      <c r="A39" s="87"/>
      <c r="B39">
        <v>0.34899999999999998</v>
      </c>
      <c r="E39">
        <v>0.17929999999999999</v>
      </c>
      <c r="H39">
        <v>0.83460000000000001</v>
      </c>
      <c r="K39">
        <v>0.82679999999999998</v>
      </c>
    </row>
    <row r="40" spans="1:13" x14ac:dyDescent="0.25">
      <c r="A40" s="87"/>
      <c r="B40">
        <v>0.33599999999999997</v>
      </c>
      <c r="E40">
        <v>0.1759</v>
      </c>
      <c r="H40">
        <v>0.81929999999999992</v>
      </c>
      <c r="K40">
        <v>0.81420000000000003</v>
      </c>
    </row>
    <row r="41" spans="1:13" x14ac:dyDescent="0.25">
      <c r="A41" s="87"/>
      <c r="B41">
        <v>0.377</v>
      </c>
      <c r="C41">
        <f>AVERAGE(B41:B43)</f>
        <v>0.39900000000000002</v>
      </c>
      <c r="D41">
        <f>STDEVA(B41:B43)</f>
        <v>3.8974350539810153E-2</v>
      </c>
      <c r="E41">
        <v>0.32650000000000001</v>
      </c>
      <c r="F41">
        <f>AVERAGE(E41:E43)</f>
        <v>0.32519999999999999</v>
      </c>
      <c r="G41">
        <f>STDEVA(E41:E43)</f>
        <v>2.4269322199023083E-3</v>
      </c>
      <c r="H41">
        <v>0.75950000000000006</v>
      </c>
      <c r="I41">
        <f>AVERAGE(H41:H43)</f>
        <v>0.79186666666666661</v>
      </c>
      <c r="J41">
        <f>STDEVA(H41:H43)</f>
        <v>3.0203697345413338E-2</v>
      </c>
      <c r="K41">
        <v>1.4630000000000001</v>
      </c>
      <c r="L41">
        <f>AVERAGE(K41:K43)</f>
        <v>1.5160666666666665</v>
      </c>
      <c r="M41">
        <f>STDEVA(K41:K43)</f>
        <v>6.6021309691139243E-2</v>
      </c>
    </row>
    <row r="42" spans="1:13" x14ac:dyDescent="0.25">
      <c r="A42" s="87"/>
      <c r="B42">
        <v>0.376</v>
      </c>
      <c r="E42">
        <v>0.32240000000000002</v>
      </c>
      <c r="H42">
        <v>0.79679999999999995</v>
      </c>
      <c r="K42">
        <v>1.4952000000000001</v>
      </c>
    </row>
    <row r="43" spans="1:13" ht="15.75" thickBot="1" x14ac:dyDescent="0.3">
      <c r="A43" s="89"/>
      <c r="B43">
        <v>0.44400000000000001</v>
      </c>
      <c r="E43">
        <v>0.32669999999999999</v>
      </c>
      <c r="H43">
        <v>0.81929999999999992</v>
      </c>
      <c r="K43">
        <v>1.5899999999999999</v>
      </c>
    </row>
    <row r="44" spans="1:13" x14ac:dyDescent="0.25">
      <c r="A44" s="82" t="s">
        <v>31</v>
      </c>
      <c r="B44">
        <v>0.105</v>
      </c>
      <c r="C44">
        <f>AVERAGE(B44:B46)</f>
        <v>0.11599999999999999</v>
      </c>
      <c r="D44">
        <f>STDEVA(B44:B46)</f>
        <v>1.1532562594670798E-2</v>
      </c>
      <c r="E44">
        <v>0.80879999999999996</v>
      </c>
      <c r="F44">
        <f>AVERAGE(E44:E46)</f>
        <v>0.81009999999999993</v>
      </c>
      <c r="G44">
        <f>STDEVA(E44:E46)</f>
        <v>9.5168272023821148E-3</v>
      </c>
      <c r="H44">
        <v>1.653</v>
      </c>
      <c r="I44">
        <f>AVERAGE(H44:H46)</f>
        <v>1.5531333333333333</v>
      </c>
      <c r="J44">
        <f>STDEVA(H44:H46)</f>
        <v>8.7710736704997183E-2</v>
      </c>
      <c r="K44">
        <v>2.5667999999999997</v>
      </c>
      <c r="L44">
        <f>AVERAGE(K44:K46)</f>
        <v>2.4792333333333332</v>
      </c>
      <c r="M44">
        <f>STDEVA(K44:K46)</f>
        <v>7.5846973132309772E-2</v>
      </c>
    </row>
    <row r="45" spans="1:13" x14ac:dyDescent="0.25">
      <c r="A45" s="87"/>
      <c r="B45">
        <v>0.115</v>
      </c>
      <c r="E45">
        <v>0.8012999999999999</v>
      </c>
      <c r="H45">
        <v>1.5178</v>
      </c>
      <c r="K45">
        <v>2.4340999999999999</v>
      </c>
    </row>
    <row r="46" spans="1:13" x14ac:dyDescent="0.25">
      <c r="A46" s="87"/>
      <c r="B46">
        <v>0.128</v>
      </c>
      <c r="E46">
        <v>0.82019999999999993</v>
      </c>
      <c r="H46">
        <v>1.4885999999999999</v>
      </c>
      <c r="K46">
        <v>2.4367999999999999</v>
      </c>
    </row>
    <row r="47" spans="1:13" x14ac:dyDescent="0.25">
      <c r="A47" s="87"/>
      <c r="B47">
        <v>0.74399999999999999</v>
      </c>
      <c r="C47">
        <f>AVERAGE(B47:B49)</f>
        <v>0.70000000000000007</v>
      </c>
      <c r="D47">
        <f>STDEVA(B47:B49)</f>
        <v>4.1327956639543632E-2</v>
      </c>
      <c r="E47">
        <v>0.54109999999999991</v>
      </c>
      <c r="F47">
        <f>AVERAGE(E47:E49)</f>
        <v>0.53783333333333339</v>
      </c>
      <c r="G47">
        <f>STDEVA(E47:E49)</f>
        <v>4.1235098318462924E-3</v>
      </c>
      <c r="H47">
        <v>0.90349999999999997</v>
      </c>
      <c r="I47">
        <f>AVERAGE(H47:H49)</f>
        <v>0.92903333333333338</v>
      </c>
      <c r="J47">
        <f>STDEVA(H47:H49)</f>
        <v>2.6065366548992441E-2</v>
      </c>
      <c r="K47">
        <v>2.1886000000000001</v>
      </c>
      <c r="L47">
        <f>AVERAGE(K47:K49)</f>
        <v>2.1668666666666665</v>
      </c>
      <c r="M47">
        <f>STDEVA(K47:K49)</f>
        <v>3.2748944003331372E-2</v>
      </c>
    </row>
    <row r="48" spans="1:13" x14ac:dyDescent="0.25">
      <c r="A48" s="87"/>
      <c r="B48">
        <v>0.69399999999999995</v>
      </c>
      <c r="E48">
        <v>0.53320000000000001</v>
      </c>
      <c r="H48">
        <v>0.9556</v>
      </c>
      <c r="K48">
        <v>2.1827999999999999</v>
      </c>
    </row>
    <row r="49" spans="1:11" ht="15.75" thickBot="1" x14ac:dyDescent="0.3">
      <c r="A49" s="89"/>
      <c r="B49">
        <v>0.66200000000000003</v>
      </c>
      <c r="E49">
        <v>0.53920000000000001</v>
      </c>
      <c r="H49">
        <v>0.92800000000000005</v>
      </c>
      <c r="K49">
        <v>2.1292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86DF-424B-4CD7-9295-178C067E1DA2}">
  <dimension ref="A1:Y58"/>
  <sheetViews>
    <sheetView zoomScale="60" zoomScaleNormal="60" workbookViewId="0">
      <selection activeCell="M49" sqref="M49"/>
    </sheetView>
  </sheetViews>
  <sheetFormatPr defaultRowHeight="15" x14ac:dyDescent="0.25"/>
  <cols>
    <col min="1" max="1" width="10.5703125" customWidth="1"/>
    <col min="2" max="2" width="13.42578125" customWidth="1"/>
    <col min="3" max="3" width="22.7109375" customWidth="1"/>
    <col min="4" max="5" width="9.42578125" bestFit="1" customWidth="1"/>
    <col min="6" max="7" width="9.42578125" customWidth="1"/>
    <col min="8" max="10" width="9.42578125" bestFit="1" customWidth="1"/>
  </cols>
  <sheetData>
    <row r="1" spans="1:25" ht="45" x14ac:dyDescent="0.25">
      <c r="B1" t="s">
        <v>75</v>
      </c>
      <c r="C1" s="105" t="s">
        <v>76</v>
      </c>
      <c r="D1" s="105" t="s">
        <v>70</v>
      </c>
      <c r="E1" s="105" t="s">
        <v>77</v>
      </c>
      <c r="F1" s="105" t="s">
        <v>69</v>
      </c>
      <c r="G1" s="105" t="s">
        <v>78</v>
      </c>
      <c r="H1" s="105" t="s">
        <v>72</v>
      </c>
      <c r="I1" s="105" t="s">
        <v>79</v>
      </c>
      <c r="J1" s="105" t="s">
        <v>74</v>
      </c>
      <c r="K1" s="105" t="s">
        <v>111</v>
      </c>
      <c r="L1" s="105" t="s">
        <v>112</v>
      </c>
      <c r="M1" s="105" t="s">
        <v>113</v>
      </c>
      <c r="N1" s="105" t="s">
        <v>114</v>
      </c>
      <c r="O1" s="105" t="s">
        <v>115</v>
      </c>
      <c r="P1" s="105" t="s">
        <v>116</v>
      </c>
    </row>
    <row r="2" spans="1:25" x14ac:dyDescent="0.25">
      <c r="A2" t="s">
        <v>48</v>
      </c>
      <c r="B2" s="78">
        <v>1</v>
      </c>
      <c r="C2" s="56">
        <f>0.220666666666667*X2/Y2</f>
        <v>5.5166666666666755</v>
      </c>
      <c r="D2" s="55">
        <f>0.0227449628123093*X2/Y2</f>
        <v>0.56862407030773254</v>
      </c>
      <c r="E2" s="56">
        <f>(0.960966666666667*X2)/Y2</f>
        <v>24.024166666666673</v>
      </c>
      <c r="F2" s="55">
        <f>0.0191312135875729*X2/Y2</f>
        <v>0.47828033968932254</v>
      </c>
      <c r="G2" s="56">
        <f>1.27823333333333*X2/Y2</f>
        <v>31.955833333333249</v>
      </c>
      <c r="H2" s="55">
        <f>0.0320893024750201*X2/Y2</f>
        <v>0.80223256187550251</v>
      </c>
      <c r="I2" s="56">
        <v>2.4598666666666666</v>
      </c>
      <c r="J2" s="55">
        <v>1.7967285085213593E-2</v>
      </c>
      <c r="K2">
        <v>26</v>
      </c>
      <c r="L2">
        <v>14</v>
      </c>
      <c r="M2">
        <f>K2*75/100</f>
        <v>19.5</v>
      </c>
      <c r="N2">
        <f>L2*75/100</f>
        <v>10.5</v>
      </c>
      <c r="O2">
        <f>M2*50/100</f>
        <v>9.75</v>
      </c>
      <c r="P2">
        <f>N2*50/100</f>
        <v>5.25</v>
      </c>
      <c r="X2">
        <v>100</v>
      </c>
      <c r="Y2">
        <v>4</v>
      </c>
    </row>
    <row r="3" spans="1:25" x14ac:dyDescent="0.25">
      <c r="A3" t="s">
        <v>49</v>
      </c>
      <c r="B3" s="78">
        <v>2</v>
      </c>
      <c r="C3" s="56">
        <f>0.344*X2/Y2</f>
        <v>8.6</v>
      </c>
      <c r="D3" s="55">
        <f>0.021*X2/Y2</f>
        <v>0.52500000000000002</v>
      </c>
      <c r="E3" s="56">
        <f>0.948533333333333*X2/Y2</f>
        <v>23.713333333333324</v>
      </c>
      <c r="F3" s="55">
        <f>0.00615331888766817*X2/Y2</f>
        <v>0.15383297219170425</v>
      </c>
      <c r="G3" s="56">
        <f>0.6319*X2/Y2</f>
        <v>15.797500000000001</v>
      </c>
      <c r="H3" s="55">
        <f>0.0129549218446119*X2/Y2</f>
        <v>0.32387304611529749</v>
      </c>
      <c r="I3" s="56">
        <v>1.9244333333333332</v>
      </c>
      <c r="J3" s="55">
        <v>2.7537852736429697E-3</v>
      </c>
    </row>
    <row r="4" spans="1:25" x14ac:dyDescent="0.25">
      <c r="A4" t="s">
        <v>50</v>
      </c>
      <c r="B4" s="78">
        <v>3</v>
      </c>
      <c r="C4" s="56">
        <f>0.235333333333333*X2/Y2</f>
        <v>5.8833333333333249</v>
      </c>
      <c r="D4" s="55">
        <f>0.0369097999633339*X2/Y2</f>
        <v>0.92274499908334751</v>
      </c>
      <c r="E4" s="56">
        <f>0.925233333333333*X2/Y2</f>
        <v>23.130833333333324</v>
      </c>
      <c r="F4" s="55">
        <f>0.00254230866208911*X2/Y2</f>
        <v>6.355771655222775E-2</v>
      </c>
      <c r="G4" s="56">
        <f>1.4495*X2/Y2</f>
        <v>36.237499999999997</v>
      </c>
      <c r="H4" s="55">
        <f>0.0149963328850757*X2/Y2</f>
        <v>0.37490832212689251</v>
      </c>
      <c r="I4" s="56">
        <v>2.6100666666666665</v>
      </c>
      <c r="J4" s="55">
        <v>2.8744622685527136E-2</v>
      </c>
    </row>
    <row r="5" spans="1:25" x14ac:dyDescent="0.25">
      <c r="A5" t="s">
        <v>51</v>
      </c>
      <c r="B5" s="78">
        <v>4</v>
      </c>
      <c r="C5" s="56">
        <f>0.357666666666667*X2/Y2</f>
        <v>8.9416666666666753</v>
      </c>
      <c r="D5" s="55">
        <f>0.0315330514434194*X2/Y2</f>
        <v>0.78832628608548494</v>
      </c>
      <c r="E5" s="56">
        <f>0.965666666666667*X2/Y2</f>
        <v>24.141666666666676</v>
      </c>
      <c r="F5" s="55">
        <f>0.00680392043849228*X2/Y2</f>
        <v>0.17009801096230698</v>
      </c>
      <c r="G5" s="56">
        <f>0.714766666666667*X2/Y2</f>
        <v>17.869166666666676</v>
      </c>
      <c r="H5" s="55">
        <f>0.00855414129725087*X2/Y2</f>
        <v>0.21385353243127173</v>
      </c>
      <c r="I5" s="56">
        <v>2.0381</v>
      </c>
      <c r="J5" s="55">
        <v>2.9271829461104727E-2</v>
      </c>
    </row>
    <row r="6" spans="1:25" x14ac:dyDescent="0.25">
      <c r="A6" t="s">
        <v>52</v>
      </c>
      <c r="B6" s="78">
        <v>5</v>
      </c>
      <c r="C6" s="56">
        <f>0.347333333333333*X2/Y2</f>
        <v>8.6833333333333247</v>
      </c>
      <c r="D6" s="55">
        <f>0.0405133722779693*X2/Y2</f>
        <v>1.0128343069492325</v>
      </c>
      <c r="E6" s="56">
        <f>0.821166666666667*X2/Y2</f>
        <v>20.529166666666676</v>
      </c>
      <c r="F6" s="55">
        <f>0.00178978583448781*X2/Y2</f>
        <v>4.4744645862195245E-2</v>
      </c>
      <c r="G6" s="56">
        <f>1.10053333333333*X2/Y2</f>
        <v>27.51333333333325</v>
      </c>
      <c r="H6" s="55">
        <f>0.12921580140731*X2/Y2</f>
        <v>3.2303950351827502</v>
      </c>
      <c r="I6" s="56">
        <v>2.2690333333333332</v>
      </c>
      <c r="J6" s="55">
        <v>0.15857308514793214</v>
      </c>
    </row>
    <row r="7" spans="1:25" x14ac:dyDescent="0.25">
      <c r="A7" t="s">
        <v>53</v>
      </c>
      <c r="B7" s="78">
        <v>6</v>
      </c>
      <c r="C7" s="56">
        <f>0.452333333333333*X2/Y2</f>
        <v>11.308333333333325</v>
      </c>
      <c r="D7" s="55">
        <f>0.0323470761172216*X2/Y2</f>
        <v>0.80867690293054006</v>
      </c>
      <c r="E7" s="56">
        <f>0.334166666666667*X2/Y2</f>
        <v>8.354166666666675</v>
      </c>
      <c r="F7" s="55">
        <f>0.00305013660896251*X2/Y2</f>
        <v>7.6253415224062746E-2</v>
      </c>
      <c r="G7" s="56">
        <f>0.7382*X2/Y2</f>
        <v>18.454999999999998</v>
      </c>
      <c r="H7" s="55">
        <f>0.0382568948034207*X2/Y2</f>
        <v>0.95642237008551745</v>
      </c>
      <c r="I7" s="56">
        <v>1.5246999999999999</v>
      </c>
      <c r="J7" s="55">
        <v>6.6424618930032306E-2</v>
      </c>
    </row>
    <row r="8" spans="1:25" ht="13.5" customHeight="1" x14ac:dyDescent="0.25">
      <c r="A8" t="s">
        <v>54</v>
      </c>
      <c r="B8" s="78">
        <v>7</v>
      </c>
      <c r="C8" s="56">
        <f>0.498*X2/Y2</f>
        <v>12.45</v>
      </c>
      <c r="D8" s="55">
        <f>0.00754983443527076*X2/Y2</f>
        <v>0.18874586088176898</v>
      </c>
      <c r="E8" s="56">
        <f>0.626*X2/Y2</f>
        <v>15.65</v>
      </c>
      <c r="F8" s="55">
        <f>0.0138924439894498*X2/Y2</f>
        <v>0.34731109973624502</v>
      </c>
      <c r="G8" s="56">
        <f>0.673066666666667*X2/Y2</f>
        <v>16.826666666666675</v>
      </c>
      <c r="H8" s="55">
        <f>0.02184086384128*X2/Y2</f>
        <v>0.54602159603199996</v>
      </c>
      <c r="I8" s="56">
        <v>1.7970666666666666</v>
      </c>
      <c r="J8" s="55">
        <v>2.993197844001181E-2</v>
      </c>
    </row>
    <row r="9" spans="1:25" x14ac:dyDescent="0.25">
      <c r="A9" t="s">
        <v>55</v>
      </c>
      <c r="B9" s="78">
        <v>8</v>
      </c>
      <c r="C9" s="56">
        <f>0.508666666666667*X2/Y2</f>
        <v>12.716666666666676</v>
      </c>
      <c r="D9" s="55">
        <f>0.00723417813807024*X2/Y2</f>
        <v>0.18085445345175599</v>
      </c>
      <c r="E9" s="56">
        <f>0.236166666666667*X2/Y2</f>
        <v>5.9041666666666748</v>
      </c>
      <c r="F9" s="55">
        <f>0.00464578662158877*X2/Y2</f>
        <v>0.11614466553971925</v>
      </c>
      <c r="G9" s="56">
        <f>1.13566666666667*X2/Y2</f>
        <v>28.391666666666747</v>
      </c>
      <c r="H9" s="55">
        <f>0.0334713808100791*X2/Y2</f>
        <v>0.83678452025197758</v>
      </c>
      <c r="I9" s="56">
        <v>1.8805000000000003</v>
      </c>
      <c r="J9" s="55">
        <v>4.2921439864011847E-2</v>
      </c>
    </row>
    <row r="10" spans="1:25" x14ac:dyDescent="0.25">
      <c r="A10" t="s">
        <v>56</v>
      </c>
      <c r="B10" s="78">
        <v>9</v>
      </c>
      <c r="C10" s="56">
        <f>0.313*X2/Y2</f>
        <v>7.8250000000000002</v>
      </c>
      <c r="D10" s="55">
        <f>0.0260576284415907*X2/Y2</f>
        <v>0.65144071103976753</v>
      </c>
      <c r="E10" s="56">
        <f>0.136266666666667*X2/Y2</f>
        <v>3.4066666666666752</v>
      </c>
      <c r="F10" s="55">
        <f>0.00235867194271127*X2/Y2</f>
        <v>5.8966798567781746E-2</v>
      </c>
      <c r="G10" s="56">
        <f>0.8241*X2/Y2</f>
        <v>20.602500000000003</v>
      </c>
      <c r="H10" s="55">
        <f>0.0196344085727072*X2/Y2</f>
        <v>0.49086021431768001</v>
      </c>
      <c r="I10" s="56">
        <v>1.2733666666666668</v>
      </c>
      <c r="J10" s="55">
        <v>2.9589581499800521E-2</v>
      </c>
    </row>
    <row r="11" spans="1:25" x14ac:dyDescent="0.25">
      <c r="A11" t="s">
        <v>57</v>
      </c>
      <c r="B11" s="78">
        <v>10</v>
      </c>
      <c r="C11" s="56">
        <f>0.291*X2/Y2</f>
        <v>7.2749999999999995</v>
      </c>
      <c r="D11" s="55">
        <f>0.0173493515728975*X2/Y2</f>
        <v>0.4337337893224375</v>
      </c>
      <c r="E11" s="56">
        <f>0.745633333333333*X2/Y2</f>
        <v>18.640833333333326</v>
      </c>
      <c r="F11" s="55">
        <f>0.00611582646363783*X2/Y2</f>
        <v>0.15289566159094575</v>
      </c>
      <c r="G11" s="56">
        <f>0.745633333333333*X2/Y2</f>
        <v>18.640833333333326</v>
      </c>
      <c r="H11" s="55">
        <f>0.0167989086947139*X2/Y2</f>
        <v>0.41997271736784747</v>
      </c>
      <c r="I11" s="56">
        <v>1.7822666666666667</v>
      </c>
      <c r="J11" s="55">
        <v>3.8683502082067639E-2</v>
      </c>
    </row>
    <row r="12" spans="1:25" x14ac:dyDescent="0.25">
      <c r="A12" t="s">
        <v>58</v>
      </c>
      <c r="B12" s="78">
        <v>11</v>
      </c>
      <c r="C12" s="56">
        <f>0.248666666666667*X2/Y2</f>
        <v>6.2166666666666748</v>
      </c>
      <c r="D12" s="55">
        <f>0.0174737898961082*X2/Y2</f>
        <v>0.43684474740270501</v>
      </c>
      <c r="E12" s="56">
        <f>0.581433333333333*X2/Y2</f>
        <v>14.535833333333326</v>
      </c>
      <c r="F12" s="55">
        <f>0.00458293937700831*X2/Y2</f>
        <v>0.11457348442520776</v>
      </c>
      <c r="G12" s="56">
        <f>0.9492*X2/Y2</f>
        <v>23.73</v>
      </c>
      <c r="H12" s="55">
        <f>0.0258918906223551*X2/Y2</f>
        <v>0.64729726555887745</v>
      </c>
      <c r="I12" s="56">
        <v>1.7793000000000001</v>
      </c>
      <c r="J12" s="55">
        <v>3.501842372237781E-2</v>
      </c>
    </row>
    <row r="13" spans="1:25" x14ac:dyDescent="0.25">
      <c r="A13" t="s">
        <v>59</v>
      </c>
      <c r="B13" s="78">
        <v>12</v>
      </c>
      <c r="C13" s="56">
        <f>0.562666666666667*X2/Y2</f>
        <v>14.066666666666675</v>
      </c>
      <c r="D13" s="55">
        <f>0.021221058723196*X2/Y2</f>
        <v>0.5305264680799</v>
      </c>
      <c r="E13" s="56">
        <f>0.590533333333333*X2/Y2</f>
        <v>14.763333333333325</v>
      </c>
      <c r="F13" s="55">
        <f>0.00560832714214615*X2/Y2</f>
        <v>0.14020817855365375</v>
      </c>
      <c r="G13" s="56">
        <f>0.840933333333333*X2/Y2</f>
        <v>21.023333333333323</v>
      </c>
      <c r="H13" s="55">
        <f>0.0525419197720576*X2/Y2</f>
        <v>1.3135479943014399</v>
      </c>
      <c r="I13" s="56">
        <v>0.84093333333333342</v>
      </c>
      <c r="J13" s="55">
        <v>1.7500095237836157E-2</v>
      </c>
    </row>
    <row r="14" spans="1:25" x14ac:dyDescent="0.25">
      <c r="A14" t="s">
        <v>60</v>
      </c>
      <c r="B14" s="78">
        <v>13</v>
      </c>
      <c r="C14" s="56">
        <f>0.331*X2/Y2</f>
        <v>8.2750000000000004</v>
      </c>
      <c r="D14" s="55">
        <f>0.020952326839757*X2/Y2</f>
        <v>0.52380817099392496</v>
      </c>
      <c r="E14" s="56">
        <f>0.176433333333333*X2/Y2</f>
        <v>4.4108333333333247</v>
      </c>
      <c r="F14" s="55">
        <f>0.00264070697604511*X2/Y2</f>
        <v>6.6017674401127741E-2</v>
      </c>
      <c r="G14" s="56">
        <f>0.8323*X2/Y2</f>
        <v>20.807500000000001</v>
      </c>
      <c r="H14" s="55">
        <f>0.0120162390122701*X2/Y2</f>
        <v>0.3004059753067525</v>
      </c>
      <c r="I14" s="56">
        <v>0.82799999999999996</v>
      </c>
      <c r="J14" s="55">
        <v>1.4437451298619128E-2</v>
      </c>
    </row>
    <row r="15" spans="1:25" x14ac:dyDescent="0.25">
      <c r="A15" t="s">
        <v>61</v>
      </c>
      <c r="B15" s="78">
        <v>14</v>
      </c>
      <c r="C15" s="56">
        <f>0.399*X2/Y2</f>
        <v>9.9750000000000014</v>
      </c>
      <c r="D15" s="55">
        <f>0.0389743505398102*X2/Y2</f>
        <v>0.97435876349525508</v>
      </c>
      <c r="E15" s="56">
        <f>0.3252*X2/Y2</f>
        <v>8.129999999999999</v>
      </c>
      <c r="F15" s="55">
        <f>0.00242693221990231*X2/Y2</f>
        <v>6.0673305497557749E-2</v>
      </c>
      <c r="G15" s="56">
        <v>0.79186666666666661</v>
      </c>
      <c r="H15" s="55">
        <f>0.0302036973454133*X2/Y2</f>
        <v>0.75509243363533252</v>
      </c>
      <c r="I15" s="56">
        <v>1.5160666666666665</v>
      </c>
      <c r="J15" s="55">
        <v>6.6021309691139243E-2</v>
      </c>
    </row>
    <row r="16" spans="1:25" x14ac:dyDescent="0.25">
      <c r="A16" t="s">
        <v>62</v>
      </c>
      <c r="B16" s="78">
        <v>15</v>
      </c>
      <c r="C16" s="56">
        <f>0.116*X2/Y2</f>
        <v>2.9000000000000004</v>
      </c>
      <c r="D16" s="55">
        <f>0.0115325625946708*X2/Y2</f>
        <v>0.28831406486677003</v>
      </c>
      <c r="E16" s="56">
        <f>0.8101*X2/Y2</f>
        <v>20.252500000000001</v>
      </c>
      <c r="F16" s="55">
        <f>0.00951682720238211*X2/Y2</f>
        <v>0.23792068005955275</v>
      </c>
      <c r="G16" s="56">
        <f>1.55313333333333*X2/Y2</f>
        <v>38.828333333333248</v>
      </c>
      <c r="H16" s="55">
        <f>0.0877107367049972*X2/Y2</f>
        <v>2.1927684176249298</v>
      </c>
      <c r="I16" s="56">
        <v>2.4792333333333332</v>
      </c>
      <c r="J16" s="55">
        <v>7.5846973132309772E-2</v>
      </c>
    </row>
    <row r="17" spans="1:10" x14ac:dyDescent="0.25">
      <c r="A17" t="s">
        <v>63</v>
      </c>
      <c r="B17" s="78">
        <v>16</v>
      </c>
      <c r="C17" s="56">
        <f>0.7*X2/Y2</f>
        <v>17.5</v>
      </c>
      <c r="D17" s="55">
        <f>0.0413279566395436*X2/Y2</f>
        <v>1.0331989159885899</v>
      </c>
      <c r="E17" s="56">
        <f>0.537833333333333*X2/Y2</f>
        <v>13.445833333333326</v>
      </c>
      <c r="F17" s="55">
        <f>0.00412350983184629*X2/Y2</f>
        <v>0.10308774579615725</v>
      </c>
      <c r="G17" s="56">
        <f>0.929033333333333*X2/Y2</f>
        <v>23.225833333333327</v>
      </c>
      <c r="H17" s="55">
        <f>0.0260653665489924*X2/Y2</f>
        <v>0.65163416372480998</v>
      </c>
      <c r="I17" s="56">
        <v>2.1668666666666665</v>
      </c>
      <c r="J17" s="55">
        <v>3.2748944003331372E-2</v>
      </c>
    </row>
    <row r="19" spans="1:10" x14ac:dyDescent="0.25">
      <c r="C19">
        <f>C9/C17</f>
        <v>0.72666666666666713</v>
      </c>
    </row>
    <row r="24" spans="1:10" ht="15.75" thickBot="1" x14ac:dyDescent="0.3"/>
    <row r="25" spans="1:10" ht="16.5" thickBot="1" x14ac:dyDescent="0.3">
      <c r="A25" s="106" t="s">
        <v>75</v>
      </c>
      <c r="B25" s="110" t="s">
        <v>75</v>
      </c>
      <c r="C25" s="110" t="s">
        <v>81</v>
      </c>
      <c r="D25" s="111" t="s">
        <v>82</v>
      </c>
    </row>
    <row r="26" spans="1:10" ht="16.5" x14ac:dyDescent="0.3">
      <c r="A26" s="107" t="s">
        <v>48</v>
      </c>
      <c r="B26" s="117">
        <v>1</v>
      </c>
      <c r="C26" s="115" t="s">
        <v>80</v>
      </c>
      <c r="D26" s="112" t="s">
        <v>85</v>
      </c>
    </row>
    <row r="27" spans="1:10" x14ac:dyDescent="0.25">
      <c r="A27" s="108" t="s">
        <v>49</v>
      </c>
      <c r="B27" s="118">
        <v>2</v>
      </c>
      <c r="C27" s="116" t="s">
        <v>80</v>
      </c>
      <c r="D27" s="113" t="s">
        <v>84</v>
      </c>
    </row>
    <row r="28" spans="1:10" ht="16.5" x14ac:dyDescent="0.3">
      <c r="A28" s="108" t="s">
        <v>50</v>
      </c>
      <c r="B28" s="118">
        <v>3</v>
      </c>
      <c r="C28" s="116" t="s">
        <v>83</v>
      </c>
      <c r="D28" s="113" t="s">
        <v>85</v>
      </c>
    </row>
    <row r="29" spans="1:10" x14ac:dyDescent="0.25">
      <c r="A29" s="108" t="s">
        <v>51</v>
      </c>
      <c r="B29" s="118">
        <v>4</v>
      </c>
      <c r="C29" s="116" t="s">
        <v>83</v>
      </c>
      <c r="D29" s="113" t="s">
        <v>84</v>
      </c>
    </row>
    <row r="30" spans="1:10" ht="16.5" x14ac:dyDescent="0.3">
      <c r="A30" s="108" t="s">
        <v>52</v>
      </c>
      <c r="B30" s="118">
        <v>5</v>
      </c>
      <c r="C30" s="116" t="s">
        <v>83</v>
      </c>
      <c r="D30" s="113" t="s">
        <v>85</v>
      </c>
    </row>
    <row r="31" spans="1:10" x14ac:dyDescent="0.25">
      <c r="A31" s="108" t="s">
        <v>53</v>
      </c>
      <c r="B31" s="118">
        <v>6</v>
      </c>
      <c r="C31" s="116" t="s">
        <v>83</v>
      </c>
      <c r="D31" s="113" t="s">
        <v>84</v>
      </c>
    </row>
    <row r="32" spans="1:10" ht="16.5" x14ac:dyDescent="0.3">
      <c r="A32" s="108" t="s">
        <v>54</v>
      </c>
      <c r="B32" s="118">
        <v>7</v>
      </c>
      <c r="C32" s="116" t="s">
        <v>87</v>
      </c>
      <c r="D32" s="113" t="s">
        <v>85</v>
      </c>
    </row>
    <row r="33" spans="1:4" ht="16.5" x14ac:dyDescent="0.3">
      <c r="A33" s="108" t="s">
        <v>55</v>
      </c>
      <c r="B33" s="118">
        <v>8</v>
      </c>
      <c r="C33" s="116" t="s">
        <v>87</v>
      </c>
      <c r="D33" s="113" t="s">
        <v>84</v>
      </c>
    </row>
    <row r="34" spans="1:4" ht="16.5" x14ac:dyDescent="0.3">
      <c r="A34" s="108" t="s">
        <v>56</v>
      </c>
      <c r="B34" s="118">
        <v>9</v>
      </c>
      <c r="C34" s="116" t="s">
        <v>86</v>
      </c>
      <c r="D34" s="113" t="s">
        <v>85</v>
      </c>
    </row>
    <row r="35" spans="1:4" x14ac:dyDescent="0.25">
      <c r="A35" s="108" t="s">
        <v>57</v>
      </c>
      <c r="B35" s="118">
        <v>10</v>
      </c>
      <c r="C35" s="116" t="s">
        <v>86</v>
      </c>
      <c r="D35" s="113" t="s">
        <v>84</v>
      </c>
    </row>
    <row r="36" spans="1:4" ht="16.5" x14ac:dyDescent="0.3">
      <c r="A36" s="108" t="s">
        <v>58</v>
      </c>
      <c r="B36" s="118">
        <v>11</v>
      </c>
      <c r="C36" s="116" t="s">
        <v>88</v>
      </c>
      <c r="D36" s="113" t="s">
        <v>85</v>
      </c>
    </row>
    <row r="37" spans="1:4" ht="16.5" x14ac:dyDescent="0.3">
      <c r="A37" s="108" t="s">
        <v>59</v>
      </c>
      <c r="B37" s="118">
        <v>12</v>
      </c>
      <c r="C37" s="116" t="s">
        <v>88</v>
      </c>
      <c r="D37" s="113" t="s">
        <v>84</v>
      </c>
    </row>
    <row r="38" spans="1:4" ht="16.5" x14ac:dyDescent="0.3">
      <c r="A38" s="108" t="s">
        <v>60</v>
      </c>
      <c r="B38" s="118">
        <v>13</v>
      </c>
      <c r="C38" s="116" t="s">
        <v>89</v>
      </c>
      <c r="D38" s="113" t="s">
        <v>85</v>
      </c>
    </row>
    <row r="39" spans="1:4" x14ac:dyDescent="0.25">
      <c r="A39" s="108" t="s">
        <v>61</v>
      </c>
      <c r="B39" s="118">
        <v>14</v>
      </c>
      <c r="C39" s="116" t="s">
        <v>89</v>
      </c>
      <c r="D39" s="113" t="s">
        <v>84</v>
      </c>
    </row>
    <row r="40" spans="1:4" ht="16.5" x14ac:dyDescent="0.3">
      <c r="A40" s="108" t="s">
        <v>62</v>
      </c>
      <c r="B40" s="118">
        <v>15</v>
      </c>
      <c r="C40" s="116" t="s">
        <v>90</v>
      </c>
      <c r="D40" s="113" t="s">
        <v>85</v>
      </c>
    </row>
    <row r="41" spans="1:4" ht="15.75" thickBot="1" x14ac:dyDescent="0.3">
      <c r="A41" s="109" t="s">
        <v>63</v>
      </c>
      <c r="B41" s="119">
        <v>16</v>
      </c>
      <c r="C41" s="116" t="s">
        <v>90</v>
      </c>
      <c r="D41" s="114" t="s">
        <v>84</v>
      </c>
    </row>
    <row r="43" spans="1:4" ht="18" x14ac:dyDescent="0.35">
      <c r="B43" t="s">
        <v>91</v>
      </c>
    </row>
    <row r="44" spans="1:4" x14ac:dyDescent="0.25">
      <c r="B44" t="s">
        <v>93</v>
      </c>
    </row>
    <row r="45" spans="1:4" ht="18" x14ac:dyDescent="0.35">
      <c r="B45" t="s">
        <v>92</v>
      </c>
    </row>
    <row r="46" spans="1:4" x14ac:dyDescent="0.25">
      <c r="B46" t="s">
        <v>94</v>
      </c>
    </row>
    <row r="47" spans="1:4" x14ac:dyDescent="0.25">
      <c r="B47" t="s">
        <v>96</v>
      </c>
    </row>
    <row r="48" spans="1:4" x14ac:dyDescent="0.25">
      <c r="B48" t="s">
        <v>95</v>
      </c>
    </row>
    <row r="49" spans="2:2" ht="18" x14ac:dyDescent="0.35">
      <c r="B49" t="s">
        <v>97</v>
      </c>
    </row>
    <row r="50" spans="2:2" ht="18" x14ac:dyDescent="0.35">
      <c r="B50" t="s">
        <v>99</v>
      </c>
    </row>
    <row r="51" spans="2:2" ht="18" x14ac:dyDescent="0.35">
      <c r="B51" t="s">
        <v>98</v>
      </c>
    </row>
    <row r="52" spans="2:2" x14ac:dyDescent="0.25">
      <c r="B52" t="s">
        <v>100</v>
      </c>
    </row>
    <row r="53" spans="2:2" ht="18" x14ac:dyDescent="0.35">
      <c r="B53" t="s">
        <v>101</v>
      </c>
    </row>
    <row r="54" spans="2:2" ht="18" x14ac:dyDescent="0.35">
      <c r="B54" t="s">
        <v>102</v>
      </c>
    </row>
    <row r="55" spans="2:2" ht="18" x14ac:dyDescent="0.35">
      <c r="B55" t="s">
        <v>103</v>
      </c>
    </row>
    <row r="56" spans="2:2" x14ac:dyDescent="0.25">
      <c r="B56" t="s">
        <v>104</v>
      </c>
    </row>
    <row r="57" spans="2:2" ht="18" x14ac:dyDescent="0.35">
      <c r="B57" t="s">
        <v>105</v>
      </c>
    </row>
    <row r="58" spans="2:2" x14ac:dyDescent="0.25">
      <c r="B58" t="s">
        <v>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3092-5E6B-48B1-8B95-DBE0DC09451C}">
  <dimension ref="A1:I49"/>
  <sheetViews>
    <sheetView workbookViewId="0">
      <selection activeCell="C2" sqref="C2:C4"/>
    </sheetView>
  </sheetViews>
  <sheetFormatPr defaultRowHeight="15" x14ac:dyDescent="0.25"/>
  <cols>
    <col min="2" max="2" width="14.5703125" customWidth="1"/>
    <col min="4" max="4" width="10.42578125" customWidth="1"/>
    <col min="5" max="5" width="11.5703125" customWidth="1"/>
    <col min="6" max="6" width="10.140625" customWidth="1"/>
    <col min="7" max="7" width="14.140625" customWidth="1"/>
  </cols>
  <sheetData>
    <row r="1" spans="1:9" x14ac:dyDescent="0.25">
      <c r="B1" s="120" t="s">
        <v>107</v>
      </c>
      <c r="C1" s="120" t="s">
        <v>41</v>
      </c>
      <c r="D1" s="120" t="s">
        <v>45</v>
      </c>
      <c r="E1" s="120" t="s">
        <v>108</v>
      </c>
      <c r="F1" s="120" t="s">
        <v>109</v>
      </c>
      <c r="G1" s="120" t="s">
        <v>110</v>
      </c>
    </row>
    <row r="2" spans="1:9" x14ac:dyDescent="0.25">
      <c r="A2">
        <v>1</v>
      </c>
      <c r="B2">
        <v>0.21400000000000002</v>
      </c>
      <c r="C2">
        <v>0.96300000000000008</v>
      </c>
      <c r="D2">
        <v>1.2662</v>
      </c>
      <c r="E2" s="78">
        <f>B2*$H$2/$I$2</f>
        <v>5.3500000000000005</v>
      </c>
      <c r="F2" s="78">
        <f>C2*$H$2/$I$2</f>
        <v>24.075000000000003</v>
      </c>
      <c r="G2" s="78">
        <f>D2*$H$2/$I$2</f>
        <v>31.655000000000001</v>
      </c>
      <c r="H2">
        <v>100</v>
      </c>
      <c r="I2">
        <v>4</v>
      </c>
    </row>
    <row r="3" spans="1:9" x14ac:dyDescent="0.25">
      <c r="A3">
        <v>1</v>
      </c>
      <c r="B3">
        <v>0.246</v>
      </c>
      <c r="C3">
        <v>0.97900000000000009</v>
      </c>
      <c r="D3">
        <v>1.2539</v>
      </c>
      <c r="E3" s="78">
        <f t="shared" ref="E3:E48" si="0">B3*$H$2/$I$2</f>
        <v>6.15</v>
      </c>
      <c r="F3" s="78">
        <f t="shared" ref="F3:F49" si="1">C3*$H$2/$I$2</f>
        <v>24.475000000000001</v>
      </c>
      <c r="G3" s="78">
        <f t="shared" ref="G3:G49" si="2">D3*$H$2/$I$2</f>
        <v>31.3475</v>
      </c>
    </row>
    <row r="4" spans="1:9" x14ac:dyDescent="0.25">
      <c r="A4">
        <v>1</v>
      </c>
      <c r="B4">
        <v>0.20200000000000001</v>
      </c>
      <c r="C4">
        <v>0.94090000000000007</v>
      </c>
      <c r="D4">
        <v>1.3146</v>
      </c>
      <c r="E4" s="78">
        <f t="shared" si="0"/>
        <v>5.0500000000000007</v>
      </c>
      <c r="F4" s="78">
        <f t="shared" si="1"/>
        <v>23.522500000000001</v>
      </c>
      <c r="G4" s="78">
        <f t="shared" si="2"/>
        <v>32.865000000000002</v>
      </c>
    </row>
    <row r="5" spans="1:9" x14ac:dyDescent="0.25">
      <c r="A5">
        <v>2</v>
      </c>
      <c r="B5">
        <v>0.32</v>
      </c>
      <c r="C5">
        <v>0.95479999999999998</v>
      </c>
      <c r="D5">
        <v>0.64680000000000004</v>
      </c>
      <c r="E5" s="78">
        <f t="shared" si="0"/>
        <v>8</v>
      </c>
      <c r="F5" s="78">
        <f t="shared" si="1"/>
        <v>23.87</v>
      </c>
      <c r="G5" s="78">
        <f t="shared" si="2"/>
        <v>16.170000000000002</v>
      </c>
    </row>
    <row r="6" spans="1:9" x14ac:dyDescent="0.25">
      <c r="A6">
        <v>2</v>
      </c>
      <c r="B6">
        <v>0.35899999999999999</v>
      </c>
      <c r="C6">
        <v>0.94249999999999989</v>
      </c>
      <c r="D6">
        <v>0.62559999999999993</v>
      </c>
      <c r="E6" s="78">
        <f t="shared" si="0"/>
        <v>8.9749999999999996</v>
      </c>
      <c r="F6" s="78">
        <f t="shared" si="1"/>
        <v>23.562499999999996</v>
      </c>
      <c r="G6" s="78">
        <f t="shared" si="2"/>
        <v>15.639999999999999</v>
      </c>
    </row>
    <row r="7" spans="1:9" x14ac:dyDescent="0.25">
      <c r="A7">
        <v>2</v>
      </c>
      <c r="B7">
        <v>0.35299999999999998</v>
      </c>
      <c r="C7">
        <v>0.94829999999999992</v>
      </c>
      <c r="D7">
        <v>0.62329999999999997</v>
      </c>
      <c r="E7" s="78">
        <f t="shared" si="0"/>
        <v>8.8249999999999993</v>
      </c>
      <c r="F7" s="78">
        <f t="shared" si="1"/>
        <v>23.7075</v>
      </c>
      <c r="G7" s="78">
        <f t="shared" si="2"/>
        <v>15.5825</v>
      </c>
    </row>
    <row r="8" spans="1:9" x14ac:dyDescent="0.25">
      <c r="A8">
        <v>3</v>
      </c>
      <c r="B8">
        <v>0.20200000000000001</v>
      </c>
      <c r="C8">
        <v>0.92300000000000004</v>
      </c>
      <c r="D8">
        <v>1.4668000000000001</v>
      </c>
      <c r="E8" s="78">
        <f t="shared" si="0"/>
        <v>5.0500000000000007</v>
      </c>
      <c r="F8" s="78">
        <f t="shared" si="1"/>
        <v>23.075000000000003</v>
      </c>
      <c r="G8" s="78">
        <f t="shared" si="2"/>
        <v>36.67</v>
      </c>
    </row>
    <row r="9" spans="1:9" x14ac:dyDescent="0.25">
      <c r="A9">
        <v>3</v>
      </c>
      <c r="B9">
        <v>0.22900000000000001</v>
      </c>
      <c r="C9">
        <v>0.92470000000000008</v>
      </c>
      <c r="D9">
        <v>1.4415</v>
      </c>
      <c r="E9" s="78">
        <f t="shared" si="0"/>
        <v>5.7250000000000005</v>
      </c>
      <c r="F9" s="78">
        <f t="shared" si="1"/>
        <v>23.117500000000003</v>
      </c>
      <c r="G9" s="78">
        <f t="shared" si="2"/>
        <v>36.037500000000001</v>
      </c>
    </row>
    <row r="10" spans="1:9" x14ac:dyDescent="0.25">
      <c r="A10">
        <v>3</v>
      </c>
      <c r="B10">
        <v>0.27500000000000002</v>
      </c>
      <c r="C10">
        <v>0.92800000000000005</v>
      </c>
      <c r="D10">
        <v>1.4401999999999999</v>
      </c>
      <c r="E10" s="78">
        <f t="shared" si="0"/>
        <v>6.8750000000000009</v>
      </c>
      <c r="F10" s="78">
        <f t="shared" si="1"/>
        <v>23.200000000000003</v>
      </c>
      <c r="G10" s="78">
        <f t="shared" si="2"/>
        <v>36.004999999999995</v>
      </c>
    </row>
    <row r="11" spans="1:9" x14ac:dyDescent="0.25">
      <c r="A11">
        <v>4</v>
      </c>
      <c r="B11">
        <v>0.33</v>
      </c>
      <c r="C11">
        <v>0.95899999999999996</v>
      </c>
      <c r="D11">
        <v>0.72409999999999997</v>
      </c>
      <c r="E11" s="78">
        <f t="shared" si="0"/>
        <v>8.25</v>
      </c>
      <c r="F11" s="78">
        <f t="shared" si="1"/>
        <v>23.974999999999998</v>
      </c>
      <c r="G11" s="78">
        <f t="shared" si="2"/>
        <v>18.102499999999999</v>
      </c>
    </row>
    <row r="12" spans="1:9" x14ac:dyDescent="0.25">
      <c r="A12">
        <v>4</v>
      </c>
      <c r="B12">
        <v>0.39200000000000002</v>
      </c>
      <c r="C12">
        <v>0.96540000000000004</v>
      </c>
      <c r="D12">
        <v>0.71289999999999998</v>
      </c>
      <c r="E12" s="78">
        <f t="shared" si="0"/>
        <v>9.8000000000000007</v>
      </c>
      <c r="F12" s="78">
        <f t="shared" si="1"/>
        <v>24.135000000000002</v>
      </c>
      <c r="G12" s="78">
        <f t="shared" si="2"/>
        <v>17.822499999999998</v>
      </c>
    </row>
    <row r="13" spans="1:9" x14ac:dyDescent="0.25">
      <c r="A13">
        <v>4</v>
      </c>
      <c r="B13">
        <v>0.35099999999999998</v>
      </c>
      <c r="C13">
        <v>0.97259999999999991</v>
      </c>
      <c r="D13">
        <v>0.70730000000000004</v>
      </c>
      <c r="E13" s="78">
        <f t="shared" si="0"/>
        <v>8.7749999999999986</v>
      </c>
      <c r="F13" s="78">
        <f t="shared" si="1"/>
        <v>24.314999999999998</v>
      </c>
      <c r="G13" s="78">
        <f t="shared" si="2"/>
        <v>17.682500000000001</v>
      </c>
    </row>
    <row r="14" spans="1:9" x14ac:dyDescent="0.25">
      <c r="A14">
        <v>5</v>
      </c>
      <c r="B14">
        <v>0.36</v>
      </c>
      <c r="C14">
        <v>0.8216</v>
      </c>
      <c r="D14">
        <v>1.2389000000000001</v>
      </c>
      <c r="E14" s="78">
        <f t="shared" si="0"/>
        <v>9</v>
      </c>
      <c r="F14" s="78">
        <f t="shared" si="1"/>
        <v>20.54</v>
      </c>
      <c r="G14" s="78">
        <f t="shared" si="2"/>
        <v>30.972500000000004</v>
      </c>
    </row>
    <row r="15" spans="1:9" x14ac:dyDescent="0.25">
      <c r="A15">
        <v>5</v>
      </c>
      <c r="B15">
        <v>0.38</v>
      </c>
      <c r="C15">
        <v>0.82269999999999999</v>
      </c>
      <c r="D15">
        <v>1.0796999999999999</v>
      </c>
      <c r="E15" s="78">
        <f t="shared" si="0"/>
        <v>9.5</v>
      </c>
      <c r="F15" s="78">
        <f t="shared" si="1"/>
        <v>20.567499999999999</v>
      </c>
      <c r="G15" s="78">
        <f t="shared" si="2"/>
        <v>26.992499999999996</v>
      </c>
    </row>
    <row r="16" spans="1:9" x14ac:dyDescent="0.25">
      <c r="A16">
        <v>5</v>
      </c>
      <c r="B16">
        <v>0.30199999999999999</v>
      </c>
      <c r="C16">
        <v>0.81920000000000004</v>
      </c>
      <c r="D16">
        <v>0.9830000000000001</v>
      </c>
      <c r="E16" s="78">
        <f t="shared" si="0"/>
        <v>7.55</v>
      </c>
      <c r="F16" s="78">
        <f t="shared" si="1"/>
        <v>20.48</v>
      </c>
      <c r="G16" s="78">
        <f t="shared" si="2"/>
        <v>24.575000000000003</v>
      </c>
    </row>
    <row r="17" spans="1:7" x14ac:dyDescent="0.25">
      <c r="A17">
        <v>6</v>
      </c>
      <c r="B17">
        <v>0.47</v>
      </c>
      <c r="C17">
        <v>0.3342</v>
      </c>
      <c r="D17">
        <v>0.77469999999999994</v>
      </c>
      <c r="E17" s="78">
        <f t="shared" si="0"/>
        <v>11.75</v>
      </c>
      <c r="F17" s="78">
        <f t="shared" si="1"/>
        <v>8.3550000000000004</v>
      </c>
      <c r="G17" s="78">
        <f t="shared" si="2"/>
        <v>19.3675</v>
      </c>
    </row>
    <row r="18" spans="1:7" x14ac:dyDescent="0.25">
      <c r="A18">
        <v>6</v>
      </c>
      <c r="B18">
        <v>0.47199999999999998</v>
      </c>
      <c r="C18">
        <v>0.33110000000000001</v>
      </c>
      <c r="D18">
        <v>0.74150000000000005</v>
      </c>
      <c r="E18" s="78">
        <f t="shared" si="0"/>
        <v>11.799999999999999</v>
      </c>
      <c r="F18" s="78">
        <f t="shared" si="1"/>
        <v>8.2774999999999999</v>
      </c>
      <c r="G18" s="78">
        <f t="shared" si="2"/>
        <v>18.537500000000001</v>
      </c>
    </row>
    <row r="19" spans="1:7" x14ac:dyDescent="0.25">
      <c r="A19">
        <v>6</v>
      </c>
      <c r="B19">
        <v>0.41500000000000004</v>
      </c>
      <c r="C19">
        <v>0.3372</v>
      </c>
      <c r="D19">
        <v>0.69840000000000002</v>
      </c>
      <c r="E19" s="78">
        <f t="shared" si="0"/>
        <v>10.375</v>
      </c>
      <c r="F19" s="78">
        <f t="shared" si="1"/>
        <v>8.43</v>
      </c>
      <c r="G19" s="78">
        <f t="shared" si="2"/>
        <v>17.46</v>
      </c>
    </row>
    <row r="20" spans="1:7" x14ac:dyDescent="0.25">
      <c r="A20">
        <v>7</v>
      </c>
      <c r="B20">
        <v>0.49099999999999999</v>
      </c>
      <c r="C20">
        <v>0.63500000000000001</v>
      </c>
      <c r="D20">
        <v>0.69809999999999994</v>
      </c>
      <c r="E20" s="78">
        <f t="shared" si="0"/>
        <v>12.275</v>
      </c>
      <c r="F20" s="78">
        <f t="shared" si="1"/>
        <v>15.875</v>
      </c>
      <c r="G20" s="78">
        <f t="shared" si="2"/>
        <v>17.452499999999997</v>
      </c>
    </row>
    <row r="21" spans="1:7" x14ac:dyDescent="0.25">
      <c r="A21">
        <v>7</v>
      </c>
      <c r="B21">
        <v>0.497</v>
      </c>
      <c r="C21">
        <v>0.61</v>
      </c>
      <c r="D21">
        <v>0.65790000000000004</v>
      </c>
      <c r="E21" s="78">
        <f t="shared" si="0"/>
        <v>12.425000000000001</v>
      </c>
      <c r="F21" s="78">
        <f t="shared" si="1"/>
        <v>15.25</v>
      </c>
      <c r="G21" s="78">
        <f t="shared" si="2"/>
        <v>16.447500000000002</v>
      </c>
    </row>
    <row r="22" spans="1:7" x14ac:dyDescent="0.25">
      <c r="A22">
        <v>7</v>
      </c>
      <c r="B22">
        <v>0.50600000000000001</v>
      </c>
      <c r="C22">
        <v>0.63300000000000001</v>
      </c>
      <c r="D22">
        <v>0.66320000000000001</v>
      </c>
      <c r="E22" s="78">
        <f t="shared" si="0"/>
        <v>12.65</v>
      </c>
      <c r="F22" s="78">
        <f t="shared" si="1"/>
        <v>15.824999999999999</v>
      </c>
      <c r="G22" s="78">
        <f t="shared" si="2"/>
        <v>16.580000000000002</v>
      </c>
    </row>
    <row r="23" spans="1:7" x14ac:dyDescent="0.25">
      <c r="A23">
        <v>8</v>
      </c>
      <c r="B23">
        <v>0.504</v>
      </c>
      <c r="C23">
        <v>0.23100000000000001</v>
      </c>
      <c r="D23">
        <v>1.0980000000000001</v>
      </c>
      <c r="E23" s="78">
        <f t="shared" si="0"/>
        <v>12.6</v>
      </c>
      <c r="F23" s="78">
        <f t="shared" si="1"/>
        <v>5.7750000000000004</v>
      </c>
      <c r="G23" s="78">
        <f t="shared" si="2"/>
        <v>27.450000000000003</v>
      </c>
    </row>
    <row r="24" spans="1:7" x14ac:dyDescent="0.25">
      <c r="A24">
        <v>8</v>
      </c>
      <c r="B24">
        <v>0.51700000000000002</v>
      </c>
      <c r="C24">
        <v>0.23749999999999999</v>
      </c>
      <c r="D24">
        <v>1.1619999999999999</v>
      </c>
      <c r="E24" s="78">
        <f t="shared" si="0"/>
        <v>12.925000000000001</v>
      </c>
      <c r="F24" s="78">
        <f t="shared" si="1"/>
        <v>5.9375</v>
      </c>
      <c r="G24" s="78">
        <f t="shared" si="2"/>
        <v>29.049999999999997</v>
      </c>
    </row>
    <row r="25" spans="1:7" x14ac:dyDescent="0.25">
      <c r="A25">
        <v>8</v>
      </c>
      <c r="B25">
        <v>0.505</v>
      </c>
      <c r="C25">
        <v>0.24</v>
      </c>
      <c r="D25">
        <v>1.147</v>
      </c>
      <c r="E25" s="78">
        <f t="shared" si="0"/>
        <v>12.625</v>
      </c>
      <c r="F25" s="78">
        <f t="shared" si="1"/>
        <v>6</v>
      </c>
      <c r="G25" s="78">
        <f t="shared" si="2"/>
        <v>28.675000000000001</v>
      </c>
    </row>
    <row r="26" spans="1:7" x14ac:dyDescent="0.25">
      <c r="A26">
        <v>9</v>
      </c>
      <c r="B26">
        <v>0.28600000000000003</v>
      </c>
      <c r="C26">
        <v>0.1338</v>
      </c>
      <c r="D26">
        <v>0.82099999999999995</v>
      </c>
      <c r="E26" s="78">
        <f t="shared" si="0"/>
        <v>7.15</v>
      </c>
      <c r="F26" s="78">
        <f t="shared" si="1"/>
        <v>3.3450000000000002</v>
      </c>
      <c r="G26" s="78">
        <f t="shared" si="2"/>
        <v>20.524999999999999</v>
      </c>
    </row>
    <row r="27" spans="1:7" x14ac:dyDescent="0.25">
      <c r="A27">
        <v>9</v>
      </c>
      <c r="B27">
        <v>0.315</v>
      </c>
      <c r="C27">
        <v>0.13850000000000001</v>
      </c>
      <c r="D27">
        <v>0.84509999999999996</v>
      </c>
      <c r="E27" s="78">
        <f t="shared" si="0"/>
        <v>7.875</v>
      </c>
      <c r="F27" s="78">
        <f t="shared" si="1"/>
        <v>3.4625000000000004</v>
      </c>
      <c r="G27" s="78">
        <f t="shared" si="2"/>
        <v>21.127499999999998</v>
      </c>
    </row>
    <row r="28" spans="1:7" x14ac:dyDescent="0.25">
      <c r="A28">
        <v>9</v>
      </c>
      <c r="B28">
        <v>0.33799999999999997</v>
      </c>
      <c r="C28">
        <v>0.13650000000000001</v>
      </c>
      <c r="D28">
        <v>0.80620000000000003</v>
      </c>
      <c r="E28" s="78">
        <f t="shared" si="0"/>
        <v>8.4499999999999993</v>
      </c>
      <c r="F28" s="78">
        <f t="shared" si="1"/>
        <v>3.4125000000000001</v>
      </c>
      <c r="G28" s="78">
        <f t="shared" si="2"/>
        <v>20.155000000000001</v>
      </c>
    </row>
    <row r="29" spans="1:7" x14ac:dyDescent="0.25">
      <c r="A29">
        <v>10</v>
      </c>
      <c r="B29">
        <v>0.31</v>
      </c>
      <c r="C29">
        <v>0.75239999999999996</v>
      </c>
      <c r="D29">
        <v>0.76439999999999997</v>
      </c>
      <c r="E29" s="78">
        <f t="shared" si="0"/>
        <v>7.75</v>
      </c>
      <c r="F29" s="78">
        <f t="shared" si="1"/>
        <v>18.809999999999999</v>
      </c>
      <c r="G29" s="78">
        <f t="shared" si="2"/>
        <v>19.11</v>
      </c>
    </row>
    <row r="30" spans="1:7" x14ac:dyDescent="0.25">
      <c r="A30">
        <v>10</v>
      </c>
      <c r="B30">
        <v>0.27600000000000002</v>
      </c>
      <c r="C30">
        <v>0.74050000000000005</v>
      </c>
      <c r="D30">
        <v>0.74050000000000005</v>
      </c>
      <c r="E30" s="78">
        <f t="shared" si="0"/>
        <v>6.9</v>
      </c>
      <c r="F30" s="78">
        <f t="shared" si="1"/>
        <v>18.512500000000003</v>
      </c>
      <c r="G30" s="78">
        <f t="shared" si="2"/>
        <v>18.512500000000003</v>
      </c>
    </row>
    <row r="31" spans="1:7" x14ac:dyDescent="0.25">
      <c r="A31">
        <v>10</v>
      </c>
      <c r="B31">
        <v>0.28699999999999998</v>
      </c>
      <c r="C31">
        <v>0.74399999999999999</v>
      </c>
      <c r="D31">
        <v>0.73199999999999998</v>
      </c>
      <c r="E31" s="78">
        <f t="shared" si="0"/>
        <v>7.1749999999999998</v>
      </c>
      <c r="F31" s="78">
        <f t="shared" si="1"/>
        <v>18.600000000000001</v>
      </c>
      <c r="G31" s="78">
        <f t="shared" si="2"/>
        <v>18.3</v>
      </c>
    </row>
    <row r="32" spans="1:7" x14ac:dyDescent="0.25">
      <c r="A32">
        <v>11</v>
      </c>
      <c r="B32">
        <v>0.23399999999999999</v>
      </c>
      <c r="C32">
        <v>0.57720000000000005</v>
      </c>
      <c r="D32">
        <v>0.9294</v>
      </c>
      <c r="E32" s="78">
        <f t="shared" si="0"/>
        <v>5.85</v>
      </c>
      <c r="F32" s="78">
        <f t="shared" si="1"/>
        <v>14.430000000000001</v>
      </c>
      <c r="G32" s="78">
        <f t="shared" si="2"/>
        <v>23.234999999999999</v>
      </c>
    </row>
    <row r="33" spans="1:7" x14ac:dyDescent="0.25">
      <c r="A33">
        <v>11</v>
      </c>
      <c r="B33">
        <v>0.24399999999999999</v>
      </c>
      <c r="C33">
        <v>0.58630000000000004</v>
      </c>
      <c r="D33">
        <v>0.97849999999999993</v>
      </c>
      <c r="E33" s="78">
        <f t="shared" si="0"/>
        <v>6.1</v>
      </c>
      <c r="F33" s="78">
        <f t="shared" si="1"/>
        <v>14.657500000000001</v>
      </c>
      <c r="G33" s="78">
        <f t="shared" si="2"/>
        <v>24.462499999999999</v>
      </c>
    </row>
    <row r="34" spans="1:7" x14ac:dyDescent="0.25">
      <c r="A34">
        <v>11</v>
      </c>
      <c r="B34">
        <v>0.26800000000000002</v>
      </c>
      <c r="C34">
        <v>0.58079999999999998</v>
      </c>
      <c r="D34">
        <v>0.93969999999999998</v>
      </c>
      <c r="E34" s="78">
        <f t="shared" si="0"/>
        <v>6.7</v>
      </c>
      <c r="F34" s="78">
        <f t="shared" si="1"/>
        <v>14.52</v>
      </c>
      <c r="G34" s="78">
        <f t="shared" si="2"/>
        <v>23.4925</v>
      </c>
    </row>
    <row r="35" spans="1:7" x14ac:dyDescent="0.25">
      <c r="A35">
        <v>12</v>
      </c>
      <c r="B35">
        <v>0.55299999999999994</v>
      </c>
      <c r="C35">
        <v>0.58699999999999997</v>
      </c>
      <c r="D35">
        <v>0.9</v>
      </c>
      <c r="E35" s="78">
        <f t="shared" si="0"/>
        <v>13.824999999999999</v>
      </c>
      <c r="F35" s="78">
        <f t="shared" si="1"/>
        <v>14.674999999999999</v>
      </c>
      <c r="G35" s="78">
        <f t="shared" si="2"/>
        <v>22.5</v>
      </c>
    </row>
    <row r="36" spans="1:7" x14ac:dyDescent="0.25">
      <c r="A36">
        <v>12</v>
      </c>
      <c r="B36">
        <v>0.58699999999999997</v>
      </c>
      <c r="C36">
        <v>0.59699999999999998</v>
      </c>
      <c r="D36">
        <v>0.7994</v>
      </c>
      <c r="E36" s="78">
        <f t="shared" si="0"/>
        <v>14.674999999999999</v>
      </c>
      <c r="F36" s="78">
        <f t="shared" si="1"/>
        <v>14.924999999999999</v>
      </c>
      <c r="G36" s="78">
        <f t="shared" si="2"/>
        <v>19.984999999999999</v>
      </c>
    </row>
    <row r="37" spans="1:7" x14ac:dyDescent="0.25">
      <c r="A37">
        <v>12</v>
      </c>
      <c r="B37">
        <v>0.54800000000000004</v>
      </c>
      <c r="C37">
        <v>0.58760000000000001</v>
      </c>
      <c r="D37">
        <v>0.82339999999999991</v>
      </c>
      <c r="E37" s="78">
        <f t="shared" si="0"/>
        <v>13.700000000000001</v>
      </c>
      <c r="F37" s="78">
        <f t="shared" si="1"/>
        <v>14.69</v>
      </c>
      <c r="G37" s="78">
        <f t="shared" si="2"/>
        <v>20.584999999999997</v>
      </c>
    </row>
    <row r="38" spans="1:7" x14ac:dyDescent="0.25">
      <c r="A38">
        <v>13</v>
      </c>
      <c r="B38">
        <v>0.308</v>
      </c>
      <c r="C38">
        <v>0.1741</v>
      </c>
      <c r="D38">
        <v>0.84299999999999997</v>
      </c>
      <c r="E38" s="78">
        <f t="shared" si="0"/>
        <v>7.7</v>
      </c>
      <c r="F38" s="78">
        <f t="shared" si="1"/>
        <v>4.3525</v>
      </c>
      <c r="G38" s="78">
        <f t="shared" si="2"/>
        <v>21.074999999999999</v>
      </c>
    </row>
    <row r="39" spans="1:7" x14ac:dyDescent="0.25">
      <c r="A39">
        <v>13</v>
      </c>
      <c r="B39">
        <v>0.34899999999999998</v>
      </c>
      <c r="C39">
        <v>0.17929999999999999</v>
      </c>
      <c r="D39">
        <v>0.83460000000000001</v>
      </c>
      <c r="E39" s="78">
        <f t="shared" si="0"/>
        <v>8.7249999999999996</v>
      </c>
      <c r="F39" s="78">
        <f t="shared" si="1"/>
        <v>4.4824999999999999</v>
      </c>
      <c r="G39" s="78">
        <f t="shared" si="2"/>
        <v>20.865000000000002</v>
      </c>
    </row>
    <row r="40" spans="1:7" x14ac:dyDescent="0.25">
      <c r="A40">
        <v>13</v>
      </c>
      <c r="B40">
        <v>0.33599999999999997</v>
      </c>
      <c r="C40">
        <v>0.1759</v>
      </c>
      <c r="D40">
        <v>0.81929999999999992</v>
      </c>
      <c r="E40" s="78">
        <f t="shared" si="0"/>
        <v>8.3999999999999986</v>
      </c>
      <c r="F40" s="78">
        <f t="shared" si="1"/>
        <v>4.3975</v>
      </c>
      <c r="G40" s="78">
        <f t="shared" si="2"/>
        <v>20.482499999999998</v>
      </c>
    </row>
    <row r="41" spans="1:7" x14ac:dyDescent="0.25">
      <c r="A41">
        <v>14</v>
      </c>
      <c r="B41">
        <v>0.377</v>
      </c>
      <c r="C41">
        <v>0.32650000000000001</v>
      </c>
      <c r="D41">
        <v>0.75950000000000006</v>
      </c>
      <c r="E41" s="78">
        <f t="shared" si="0"/>
        <v>9.4250000000000007</v>
      </c>
      <c r="F41" s="78">
        <f t="shared" si="1"/>
        <v>8.1624999999999996</v>
      </c>
      <c r="G41" s="78">
        <f t="shared" si="2"/>
        <v>18.987500000000001</v>
      </c>
    </row>
    <row r="42" spans="1:7" x14ac:dyDescent="0.25">
      <c r="A42">
        <v>14</v>
      </c>
      <c r="B42">
        <v>0.376</v>
      </c>
      <c r="C42">
        <v>0.32240000000000002</v>
      </c>
      <c r="D42">
        <v>0.79679999999999995</v>
      </c>
      <c r="E42" s="78">
        <f t="shared" si="0"/>
        <v>9.4</v>
      </c>
      <c r="F42" s="78">
        <f t="shared" si="1"/>
        <v>8.06</v>
      </c>
      <c r="G42" s="78">
        <f t="shared" si="2"/>
        <v>19.919999999999998</v>
      </c>
    </row>
    <row r="43" spans="1:7" x14ac:dyDescent="0.25">
      <c r="A43">
        <v>14</v>
      </c>
      <c r="B43">
        <v>0.44400000000000001</v>
      </c>
      <c r="C43">
        <v>0.32669999999999999</v>
      </c>
      <c r="D43">
        <v>0.81929999999999992</v>
      </c>
      <c r="E43" s="78">
        <f t="shared" si="0"/>
        <v>11.1</v>
      </c>
      <c r="F43" s="78">
        <f t="shared" si="1"/>
        <v>8.1675000000000004</v>
      </c>
      <c r="G43" s="78">
        <f t="shared" si="2"/>
        <v>20.482499999999998</v>
      </c>
    </row>
    <row r="44" spans="1:7" x14ac:dyDescent="0.25">
      <c r="A44">
        <v>15</v>
      </c>
      <c r="B44">
        <v>0.105</v>
      </c>
      <c r="C44">
        <v>0.80879999999999996</v>
      </c>
      <c r="D44">
        <v>1.653</v>
      </c>
      <c r="E44" s="78">
        <f t="shared" si="0"/>
        <v>2.625</v>
      </c>
      <c r="F44" s="78">
        <f t="shared" si="1"/>
        <v>20.22</v>
      </c>
      <c r="G44" s="78">
        <f t="shared" si="2"/>
        <v>41.325000000000003</v>
      </c>
    </row>
    <row r="45" spans="1:7" x14ac:dyDescent="0.25">
      <c r="A45">
        <v>15</v>
      </c>
      <c r="B45">
        <v>0.115</v>
      </c>
      <c r="C45">
        <v>0.8012999999999999</v>
      </c>
      <c r="D45">
        <v>1.5178</v>
      </c>
      <c r="E45" s="78">
        <f t="shared" si="0"/>
        <v>2.875</v>
      </c>
      <c r="F45" s="78">
        <f t="shared" si="1"/>
        <v>20.032499999999999</v>
      </c>
      <c r="G45" s="78">
        <f t="shared" si="2"/>
        <v>37.945</v>
      </c>
    </row>
    <row r="46" spans="1:7" x14ac:dyDescent="0.25">
      <c r="A46">
        <v>15</v>
      </c>
      <c r="B46">
        <v>0.128</v>
      </c>
      <c r="C46">
        <v>0.82019999999999993</v>
      </c>
      <c r="D46">
        <v>1.4885999999999999</v>
      </c>
      <c r="E46" s="78">
        <f t="shared" si="0"/>
        <v>3.2</v>
      </c>
      <c r="F46" s="78">
        <f t="shared" si="1"/>
        <v>20.504999999999999</v>
      </c>
      <c r="G46" s="78">
        <f t="shared" si="2"/>
        <v>37.214999999999996</v>
      </c>
    </row>
    <row r="47" spans="1:7" x14ac:dyDescent="0.25">
      <c r="A47">
        <v>16</v>
      </c>
      <c r="B47">
        <v>0.74399999999999999</v>
      </c>
      <c r="C47">
        <v>0.54109999999999991</v>
      </c>
      <c r="D47">
        <v>0.90349999999999997</v>
      </c>
      <c r="E47" s="78">
        <f t="shared" si="0"/>
        <v>18.600000000000001</v>
      </c>
      <c r="F47" s="78">
        <f t="shared" si="1"/>
        <v>13.527499999999998</v>
      </c>
      <c r="G47" s="78">
        <f t="shared" si="2"/>
        <v>22.587499999999999</v>
      </c>
    </row>
    <row r="48" spans="1:7" x14ac:dyDescent="0.25">
      <c r="A48">
        <v>16</v>
      </c>
      <c r="B48">
        <v>0.69399999999999995</v>
      </c>
      <c r="C48">
        <v>0.53320000000000001</v>
      </c>
      <c r="D48">
        <v>0.9556</v>
      </c>
      <c r="E48" s="78">
        <f t="shared" si="0"/>
        <v>17.349999999999998</v>
      </c>
      <c r="F48" s="78">
        <f t="shared" si="1"/>
        <v>13.33</v>
      </c>
      <c r="G48" s="78">
        <f t="shared" si="2"/>
        <v>23.89</v>
      </c>
    </row>
    <row r="49" spans="1:7" x14ac:dyDescent="0.25">
      <c r="A49">
        <v>16</v>
      </c>
      <c r="B49">
        <v>0.66200000000000003</v>
      </c>
      <c r="C49">
        <v>0.53920000000000001</v>
      </c>
      <c r="D49">
        <v>0.92800000000000005</v>
      </c>
      <c r="E49" s="78">
        <f>B49*$H$2/$I$2</f>
        <v>16.55</v>
      </c>
      <c r="F49" s="78">
        <f t="shared" si="1"/>
        <v>13.48</v>
      </c>
      <c r="G49" s="78">
        <f t="shared" si="2"/>
        <v>23.200000000000003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workbookViewId="0"/>
  </sheetViews>
  <sheetFormatPr defaultRowHeight="15" x14ac:dyDescent="0.25"/>
  <cols>
    <col min="1" max="1" width="3.42578125" customWidth="1"/>
    <col min="2" max="2" width="4.42578125" customWidth="1"/>
    <col min="3" max="3" width="4.140625" customWidth="1"/>
    <col min="4" max="4" width="4.5703125" customWidth="1"/>
    <col min="5" max="5" width="7.85546875" customWidth="1"/>
    <col min="6" max="6" width="6.42578125" customWidth="1"/>
    <col min="7" max="7" width="7.28515625" customWidth="1"/>
    <col min="8" max="8" width="5.85546875" customWidth="1"/>
    <col min="9" max="9" width="3.42578125" customWidth="1"/>
    <col min="10" max="10" width="4.5703125" customWidth="1"/>
    <col min="11" max="11" width="4.42578125" customWidth="1"/>
    <col min="12" max="12" width="4.28515625" customWidth="1"/>
    <col min="13" max="13" width="7.28515625" customWidth="1"/>
    <col min="14" max="14" width="6.7109375" customWidth="1"/>
    <col min="15" max="16" width="6.140625" customWidth="1"/>
    <col min="17" max="17" width="9.140625" customWidth="1"/>
  </cols>
  <sheetData>
    <row r="1" spans="1:16" ht="84.75" thickBot="1" x14ac:dyDescent="0.3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3.7" customHeight="1" thickBot="1" x14ac:dyDescent="0.3">
      <c r="A2" s="167" t="s">
        <v>6</v>
      </c>
      <c r="B2" s="29">
        <v>1.1000000000000001</v>
      </c>
      <c r="C2" s="168" t="s">
        <v>7</v>
      </c>
      <c r="D2" s="162" t="s">
        <v>8</v>
      </c>
      <c r="E2" s="30">
        <v>0.10100000000000001</v>
      </c>
      <c r="F2" s="179">
        <f>SUM(E2:E3)</f>
        <v>0.21400000000000002</v>
      </c>
      <c r="G2" s="164">
        <f>AVERAGE(F2:F7)</f>
        <v>0.22066666666666668</v>
      </c>
      <c r="H2" s="165">
        <f>STDEVA(F2:F7)</f>
        <v>2.2744962812309297E-2</v>
      </c>
      <c r="I2" s="167" t="s">
        <v>12</v>
      </c>
      <c r="J2" s="29">
        <v>1.1000000000000001</v>
      </c>
      <c r="K2" s="168" t="s">
        <v>8</v>
      </c>
      <c r="L2" s="162" t="s">
        <v>8</v>
      </c>
      <c r="M2" s="30">
        <v>0.123</v>
      </c>
      <c r="N2" s="179">
        <f>SUM(M2:M3)</f>
        <v>0.23599999999999999</v>
      </c>
      <c r="O2" s="164">
        <f>AVERAGE(N2:N7)</f>
        <v>0.2233333333333333</v>
      </c>
      <c r="P2" s="165">
        <f>STDEVA(N2:N7)</f>
        <v>1.9399312702601933E-2</v>
      </c>
    </row>
    <row r="3" spans="1:16" ht="13.7" customHeight="1" thickBot="1" x14ac:dyDescent="0.3">
      <c r="A3" s="167"/>
      <c r="B3" s="29">
        <v>1.2</v>
      </c>
      <c r="C3" s="168"/>
      <c r="D3" s="162"/>
      <c r="E3" s="31">
        <v>0.113</v>
      </c>
      <c r="F3" s="179"/>
      <c r="G3" s="164"/>
      <c r="H3" s="165"/>
      <c r="I3" s="167"/>
      <c r="J3" s="29">
        <v>1.2</v>
      </c>
      <c r="K3" s="168"/>
      <c r="L3" s="162"/>
      <c r="M3" s="31">
        <v>0.113</v>
      </c>
      <c r="N3" s="179"/>
      <c r="O3" s="164"/>
      <c r="P3" s="165"/>
    </row>
    <row r="4" spans="1:16" ht="13.7" customHeight="1" thickBot="1" x14ac:dyDescent="0.3">
      <c r="A4" s="167"/>
      <c r="B4" s="29">
        <v>2.1</v>
      </c>
      <c r="C4" s="168"/>
      <c r="D4" s="162"/>
      <c r="E4" s="31">
        <v>0.126</v>
      </c>
      <c r="F4" s="173">
        <f>SUM(E4:E5)</f>
        <v>0.246</v>
      </c>
      <c r="G4" s="164"/>
      <c r="H4" s="165"/>
      <c r="I4" s="167"/>
      <c r="J4" s="29">
        <v>2.1</v>
      </c>
      <c r="K4" s="168"/>
      <c r="L4" s="162"/>
      <c r="M4" s="31">
        <v>0.121</v>
      </c>
      <c r="N4" s="173">
        <f>SUM(M4:M5)</f>
        <v>0.23299999999999998</v>
      </c>
      <c r="O4" s="164"/>
      <c r="P4" s="165"/>
    </row>
    <row r="5" spans="1:16" ht="13.7" customHeight="1" thickBot="1" x14ac:dyDescent="0.3">
      <c r="A5" s="167"/>
      <c r="B5" s="29">
        <v>2.2000000000000002</v>
      </c>
      <c r="C5" s="168"/>
      <c r="D5" s="162"/>
      <c r="E5" s="31">
        <v>0.12</v>
      </c>
      <c r="F5" s="173"/>
      <c r="G5" s="164"/>
      <c r="H5" s="165"/>
      <c r="I5" s="167"/>
      <c r="J5" s="29">
        <v>2.2000000000000002</v>
      </c>
      <c r="K5" s="168"/>
      <c r="L5" s="162"/>
      <c r="M5" s="31">
        <v>0.112</v>
      </c>
      <c r="N5" s="173"/>
      <c r="O5" s="164"/>
      <c r="P5" s="165"/>
    </row>
    <row r="6" spans="1:16" ht="13.7" customHeight="1" thickBot="1" x14ac:dyDescent="0.3">
      <c r="A6" s="167"/>
      <c r="B6" s="29">
        <v>3.1</v>
      </c>
      <c r="C6" s="168"/>
      <c r="D6" s="162"/>
      <c r="E6" s="31">
        <v>0.1</v>
      </c>
      <c r="F6" s="166">
        <f>SUM(E6:E7)</f>
        <v>0.20200000000000001</v>
      </c>
      <c r="G6" s="164"/>
      <c r="H6" s="165"/>
      <c r="I6" s="167"/>
      <c r="J6" s="29">
        <v>3.1</v>
      </c>
      <c r="K6" s="168"/>
      <c r="L6" s="162"/>
      <c r="M6" s="31">
        <v>0.1</v>
      </c>
      <c r="N6" s="166">
        <f>SUM(M6:M7)</f>
        <v>0.20100000000000001</v>
      </c>
      <c r="O6" s="164"/>
      <c r="P6" s="165"/>
    </row>
    <row r="7" spans="1:16" ht="13.7" customHeight="1" thickBot="1" x14ac:dyDescent="0.3">
      <c r="A7" s="167"/>
      <c r="B7" s="32">
        <v>3.2</v>
      </c>
      <c r="C7" s="168"/>
      <c r="D7" s="162"/>
      <c r="E7" s="33">
        <v>0.10199999999999999</v>
      </c>
      <c r="F7" s="166"/>
      <c r="G7" s="164"/>
      <c r="H7" s="165"/>
      <c r="I7" s="167"/>
      <c r="J7" s="32">
        <v>3.2</v>
      </c>
      <c r="K7" s="168"/>
      <c r="L7" s="162"/>
      <c r="M7" s="33">
        <v>0.10100000000000001</v>
      </c>
      <c r="N7" s="166"/>
      <c r="O7" s="164"/>
      <c r="P7" s="165"/>
    </row>
    <row r="8" spans="1:16" ht="13.7" customHeight="1" thickBot="1" x14ac:dyDescent="0.3">
      <c r="A8" s="167"/>
      <c r="B8" s="34">
        <v>4.0999999999999996</v>
      </c>
      <c r="C8" s="168"/>
      <c r="D8" s="162" t="s">
        <v>9</v>
      </c>
      <c r="E8" s="35">
        <v>0.32</v>
      </c>
      <c r="F8" s="171">
        <f>SUM(E8:E9)</f>
        <v>0.32</v>
      </c>
      <c r="G8" s="164">
        <f>AVERAGE(F8:F13)</f>
        <v>0.34400000000000003</v>
      </c>
      <c r="H8" s="165">
        <f>STDEVA(F8:F13)</f>
        <v>2.0999999999999987E-2</v>
      </c>
      <c r="I8" s="167"/>
      <c r="J8" s="180">
        <v>4</v>
      </c>
      <c r="K8" s="168"/>
      <c r="L8" s="162" t="s">
        <v>9</v>
      </c>
      <c r="M8" s="181">
        <v>0.16600000000000001</v>
      </c>
      <c r="N8" s="171">
        <f>SUM(M8:M9)</f>
        <v>0.16600000000000001</v>
      </c>
      <c r="O8" s="164">
        <f>AVERAGE(N8:N13)</f>
        <v>0.17100000000000001</v>
      </c>
      <c r="P8" s="165">
        <f>STDEVA(N8:N13)</f>
        <v>1.2288205727444502E-2</v>
      </c>
    </row>
    <row r="9" spans="1:16" ht="13.7" customHeight="1" thickBot="1" x14ac:dyDescent="0.3">
      <c r="A9" s="167"/>
      <c r="B9" s="29">
        <v>4.2</v>
      </c>
      <c r="C9" s="168"/>
      <c r="D9" s="162"/>
      <c r="E9" s="31"/>
      <c r="F9" s="171"/>
      <c r="G9" s="164"/>
      <c r="H9" s="165"/>
      <c r="I9" s="167"/>
      <c r="J9" s="180"/>
      <c r="K9" s="168"/>
      <c r="L9" s="162"/>
      <c r="M9" s="181"/>
      <c r="N9" s="171"/>
      <c r="O9" s="164"/>
      <c r="P9" s="165"/>
    </row>
    <row r="10" spans="1:16" ht="13.7" customHeight="1" thickBot="1" x14ac:dyDescent="0.3">
      <c r="A10" s="167"/>
      <c r="B10" s="29">
        <v>5.0999999999999996</v>
      </c>
      <c r="C10" s="168"/>
      <c r="D10" s="162"/>
      <c r="E10" s="31">
        <v>0.152</v>
      </c>
      <c r="F10" s="173">
        <f>SUM(E10:E11)</f>
        <v>0.35899999999999999</v>
      </c>
      <c r="G10" s="164"/>
      <c r="H10" s="165"/>
      <c r="I10" s="167"/>
      <c r="J10" s="180">
        <v>5</v>
      </c>
      <c r="K10" s="168"/>
      <c r="L10" s="162"/>
      <c r="M10" s="181">
        <v>0.16200000000000001</v>
      </c>
      <c r="N10" s="173">
        <f>SUM(M10:M11)</f>
        <v>0.16200000000000001</v>
      </c>
      <c r="O10" s="164"/>
      <c r="P10" s="165"/>
    </row>
    <row r="11" spans="1:16" ht="13.7" customHeight="1" thickBot="1" x14ac:dyDescent="0.3">
      <c r="A11" s="167"/>
      <c r="B11" s="29">
        <v>5.2</v>
      </c>
      <c r="C11" s="168"/>
      <c r="D11" s="162"/>
      <c r="E11" s="31">
        <v>0.20699999999999999</v>
      </c>
      <c r="F11" s="173"/>
      <c r="G11" s="164"/>
      <c r="H11" s="165"/>
      <c r="I11" s="167"/>
      <c r="J11" s="180"/>
      <c r="K11" s="168"/>
      <c r="L11" s="162"/>
      <c r="M11" s="181"/>
      <c r="N11" s="173"/>
      <c r="O11" s="164"/>
      <c r="P11" s="165"/>
    </row>
    <row r="12" spans="1:16" ht="13.7" customHeight="1" thickBot="1" x14ac:dyDescent="0.3">
      <c r="A12" s="167"/>
      <c r="B12" s="29">
        <v>6.1</v>
      </c>
      <c r="C12" s="168"/>
      <c r="D12" s="162"/>
      <c r="E12" s="31">
        <v>0.18</v>
      </c>
      <c r="F12" s="166">
        <f>SUM(E12:E13)</f>
        <v>0.35299999999999998</v>
      </c>
      <c r="G12" s="164"/>
      <c r="H12" s="165"/>
      <c r="I12" s="167"/>
      <c r="J12" s="180">
        <v>6</v>
      </c>
      <c r="K12" s="168"/>
      <c r="L12" s="162"/>
      <c r="M12" s="181">
        <v>0.185</v>
      </c>
      <c r="N12" s="166">
        <f>SUM(M12:M13)</f>
        <v>0.185</v>
      </c>
      <c r="O12" s="164"/>
      <c r="P12" s="165"/>
    </row>
    <row r="13" spans="1:16" ht="13.7" customHeight="1" thickBot="1" x14ac:dyDescent="0.3">
      <c r="A13" s="167"/>
      <c r="B13" s="32">
        <v>6.2</v>
      </c>
      <c r="C13" s="168"/>
      <c r="D13" s="162"/>
      <c r="E13" s="36">
        <v>0.17299999999999999</v>
      </c>
      <c r="F13" s="166"/>
      <c r="G13" s="164"/>
      <c r="H13" s="165"/>
      <c r="I13" s="167"/>
      <c r="J13" s="180"/>
      <c r="K13" s="168"/>
      <c r="L13" s="162"/>
      <c r="M13" s="181"/>
      <c r="N13" s="166"/>
      <c r="O13" s="164"/>
      <c r="P13" s="165"/>
    </row>
    <row r="14" spans="1:16" ht="13.7" customHeight="1" thickBot="1" x14ac:dyDescent="0.3">
      <c r="A14" s="167" t="s">
        <v>10</v>
      </c>
      <c r="B14" s="34">
        <v>1.1000000000000001</v>
      </c>
      <c r="C14" s="168" t="s">
        <v>7</v>
      </c>
      <c r="D14" s="162" t="s">
        <v>8</v>
      </c>
      <c r="E14" s="35">
        <v>9.5000000000000001E-2</v>
      </c>
      <c r="F14" s="179">
        <f>SUM(E14:E15)</f>
        <v>0.20200000000000001</v>
      </c>
      <c r="G14" s="164">
        <f>AVERAGE(F14:F19)</f>
        <v>0.23533333333333337</v>
      </c>
      <c r="H14" s="165">
        <f>STDEVA(F14:F19)</f>
        <v>3.6909799963333947E-2</v>
      </c>
      <c r="I14" s="167" t="s">
        <v>13</v>
      </c>
      <c r="J14" s="37">
        <v>1</v>
      </c>
      <c r="K14" s="168" t="s">
        <v>9</v>
      </c>
      <c r="L14" s="162" t="s">
        <v>8</v>
      </c>
      <c r="M14" s="38">
        <v>0.10100000000000001</v>
      </c>
      <c r="N14" s="163">
        <f>AVERAGE(M14:M16)</f>
        <v>0.11333333333333334</v>
      </c>
      <c r="O14" s="178">
        <f>SUM(N14:N16)</f>
        <v>0.11333333333333334</v>
      </c>
      <c r="P14" s="165">
        <f>STDEVA(M14:M16)</f>
        <v>1.2503332889007365E-2</v>
      </c>
    </row>
    <row r="15" spans="1:16" ht="13.7" customHeight="1" thickBot="1" x14ac:dyDescent="0.3">
      <c r="A15" s="167"/>
      <c r="B15" s="29">
        <v>1.2</v>
      </c>
      <c r="C15" s="168"/>
      <c r="D15" s="162"/>
      <c r="E15" s="31">
        <v>0.107</v>
      </c>
      <c r="F15" s="179"/>
      <c r="G15" s="164"/>
      <c r="H15" s="165"/>
      <c r="I15" s="167"/>
      <c r="J15" s="39">
        <v>2</v>
      </c>
      <c r="K15" s="168"/>
      <c r="L15" s="162"/>
      <c r="M15" s="40">
        <v>0.113</v>
      </c>
      <c r="N15" s="163"/>
      <c r="O15" s="178"/>
      <c r="P15" s="165"/>
    </row>
    <row r="16" spans="1:16" ht="13.7" customHeight="1" thickBot="1" x14ac:dyDescent="0.3">
      <c r="A16" s="167"/>
      <c r="B16" s="29">
        <v>2.1</v>
      </c>
      <c r="C16" s="168"/>
      <c r="D16" s="162"/>
      <c r="E16" s="31">
        <v>0.115</v>
      </c>
      <c r="F16" s="173">
        <f>SUM(E16:E17)</f>
        <v>0.22900000000000001</v>
      </c>
      <c r="G16" s="164"/>
      <c r="H16" s="165"/>
      <c r="I16" s="167"/>
      <c r="J16" s="39">
        <v>3</v>
      </c>
      <c r="K16" s="168"/>
      <c r="L16" s="162"/>
      <c r="M16" s="41">
        <v>0.126</v>
      </c>
      <c r="N16" s="163"/>
      <c r="O16" s="178"/>
      <c r="P16" s="165"/>
    </row>
    <row r="17" spans="1:25" ht="13.7" customHeight="1" thickBot="1" x14ac:dyDescent="0.3">
      <c r="A17" s="167"/>
      <c r="B17" s="29">
        <v>2.2000000000000002</v>
      </c>
      <c r="C17" s="168"/>
      <c r="D17" s="162"/>
      <c r="E17" s="31">
        <v>0.114</v>
      </c>
      <c r="F17" s="173"/>
      <c r="G17" s="164"/>
      <c r="H17" s="165"/>
      <c r="I17" s="167"/>
      <c r="J17" s="39">
        <v>4</v>
      </c>
      <c r="K17" s="168"/>
      <c r="L17" s="162" t="s">
        <v>9</v>
      </c>
      <c r="M17" s="42">
        <v>0.12</v>
      </c>
      <c r="N17" s="163">
        <f>AVERAGE(M17:M19)</f>
        <v>0.10733333333333334</v>
      </c>
      <c r="O17" s="178">
        <f>SUM(N17:N19)</f>
        <v>0.10733333333333334</v>
      </c>
      <c r="P17" s="165">
        <f>STDEVA(M17:M19)</f>
        <v>1.1015141094572202E-2</v>
      </c>
    </row>
    <row r="18" spans="1:25" ht="13.7" customHeight="1" thickBot="1" x14ac:dyDescent="0.3">
      <c r="A18" s="167"/>
      <c r="B18" s="29">
        <v>3.1</v>
      </c>
      <c r="C18" s="168"/>
      <c r="D18" s="162"/>
      <c r="E18" s="31">
        <v>0.13800000000000001</v>
      </c>
      <c r="F18" s="166">
        <f>SUM(E18:E19)</f>
        <v>0.27500000000000002</v>
      </c>
      <c r="G18" s="164"/>
      <c r="H18" s="165"/>
      <c r="I18" s="167"/>
      <c r="J18" s="39">
        <v>5</v>
      </c>
      <c r="K18" s="168"/>
      <c r="L18" s="162"/>
      <c r="M18" s="43">
        <v>0.1</v>
      </c>
      <c r="N18" s="163"/>
      <c r="O18" s="178"/>
      <c r="P18" s="165"/>
    </row>
    <row r="19" spans="1:25" ht="13.7" customHeight="1" thickBot="1" x14ac:dyDescent="0.3">
      <c r="A19" s="167"/>
      <c r="B19" s="32">
        <v>3.2</v>
      </c>
      <c r="C19" s="168"/>
      <c r="D19" s="162"/>
      <c r="E19" s="33">
        <v>0.13700000000000001</v>
      </c>
      <c r="F19" s="166"/>
      <c r="G19" s="164"/>
      <c r="H19" s="165"/>
      <c r="I19" s="167"/>
      <c r="J19" s="44">
        <v>6</v>
      </c>
      <c r="K19" s="168"/>
      <c r="L19" s="162"/>
      <c r="M19" s="45">
        <v>0.10199999999999999</v>
      </c>
      <c r="N19" s="163"/>
      <c r="O19" s="178"/>
      <c r="P19" s="165"/>
    </row>
    <row r="20" spans="1:25" ht="13.7" customHeight="1" thickBot="1" x14ac:dyDescent="0.3">
      <c r="A20" s="167"/>
      <c r="B20" s="34">
        <v>4.0999999999999996</v>
      </c>
      <c r="C20" s="168"/>
      <c r="D20" s="162" t="s">
        <v>9</v>
      </c>
      <c r="E20" s="35">
        <v>0.16500000000000001</v>
      </c>
      <c r="F20" s="171">
        <f>SUM(E20:E21)</f>
        <v>0.33</v>
      </c>
      <c r="G20" s="164">
        <f>AVERAGE(F20:F25)</f>
        <v>0.35766666666666663</v>
      </c>
      <c r="H20" s="165">
        <f>STDEVA(F20:F25)</f>
        <v>3.1533051443419391E-2</v>
      </c>
      <c r="I20" s="167" t="s">
        <v>14</v>
      </c>
      <c r="J20" s="46">
        <v>1.1000000000000001</v>
      </c>
      <c r="K20" s="168" t="s">
        <v>8</v>
      </c>
      <c r="L20" s="162" t="s">
        <v>8</v>
      </c>
      <c r="M20" s="47">
        <v>5.8999999999999997E-2</v>
      </c>
      <c r="N20" s="176">
        <f>SUM(M20:M21)</f>
        <v>0.12</v>
      </c>
      <c r="O20" s="164">
        <f>AVERAGE(N20:N25)</f>
        <v>0.12633333333333333</v>
      </c>
      <c r="P20" s="165">
        <f>STDEVA(N20:N25)</f>
        <v>1.4571661996262942E-2</v>
      </c>
    </row>
    <row r="21" spans="1:25" ht="13.7" customHeight="1" thickBot="1" x14ac:dyDescent="0.3">
      <c r="A21" s="167"/>
      <c r="B21" s="29">
        <v>4.2</v>
      </c>
      <c r="C21" s="168"/>
      <c r="D21" s="162"/>
      <c r="E21" s="31">
        <v>0.16500000000000001</v>
      </c>
      <c r="F21" s="171"/>
      <c r="G21" s="164"/>
      <c r="H21" s="165"/>
      <c r="I21" s="167"/>
      <c r="J21" s="48">
        <v>1.2</v>
      </c>
      <c r="K21" s="168"/>
      <c r="L21" s="162"/>
      <c r="M21" s="43">
        <v>6.0999999999999999E-2</v>
      </c>
      <c r="N21" s="176"/>
      <c r="O21" s="164"/>
      <c r="P21" s="165"/>
    </row>
    <row r="22" spans="1:25" ht="13.7" customHeight="1" thickBot="1" x14ac:dyDescent="0.3">
      <c r="A22" s="167"/>
      <c r="B22" s="29">
        <v>5.0999999999999996</v>
      </c>
      <c r="C22" s="168"/>
      <c r="D22" s="162"/>
      <c r="E22" s="31">
        <v>0.192</v>
      </c>
      <c r="F22" s="173">
        <f>SUM(E22:E23)</f>
        <v>0.39200000000000002</v>
      </c>
      <c r="G22" s="164"/>
      <c r="H22" s="165"/>
      <c r="I22" s="167"/>
      <c r="J22" s="48">
        <v>2.1</v>
      </c>
      <c r="K22" s="168"/>
      <c r="L22" s="162"/>
      <c r="M22" s="43">
        <v>5.2999999999999999E-2</v>
      </c>
      <c r="N22" s="174">
        <f>SUM(M22:M23)</f>
        <v>0.11599999999999999</v>
      </c>
      <c r="O22" s="164"/>
      <c r="P22" s="165"/>
    </row>
    <row r="23" spans="1:25" ht="13.7" customHeight="1" thickBot="1" x14ac:dyDescent="0.3">
      <c r="A23" s="167"/>
      <c r="B23" s="29">
        <v>5.2</v>
      </c>
      <c r="C23" s="168"/>
      <c r="D23" s="162"/>
      <c r="E23" s="31">
        <v>0.2</v>
      </c>
      <c r="F23" s="173"/>
      <c r="G23" s="164"/>
      <c r="H23" s="165"/>
      <c r="I23" s="167"/>
      <c r="J23" s="48">
        <v>2.2000000000000002</v>
      </c>
      <c r="K23" s="168"/>
      <c r="L23" s="162"/>
      <c r="M23" s="43">
        <v>6.3E-2</v>
      </c>
      <c r="N23" s="174"/>
      <c r="O23" s="164"/>
      <c r="P23" s="165"/>
    </row>
    <row r="24" spans="1:25" ht="13.7" customHeight="1" thickBot="1" x14ac:dyDescent="0.3">
      <c r="A24" s="167"/>
      <c r="B24" s="29">
        <v>6.1</v>
      </c>
      <c r="C24" s="168"/>
      <c r="D24" s="162"/>
      <c r="E24" s="31">
        <v>0.17499999999999999</v>
      </c>
      <c r="F24" s="166">
        <f>SUM(E24:E25)</f>
        <v>0.35099999999999998</v>
      </c>
      <c r="G24" s="164"/>
      <c r="H24" s="165"/>
      <c r="I24" s="167"/>
      <c r="J24" s="48">
        <v>3.1</v>
      </c>
      <c r="K24" s="168"/>
      <c r="L24" s="162"/>
      <c r="M24" s="43">
        <v>6.3E-2</v>
      </c>
      <c r="N24" s="175">
        <f>SUM(M24:M25)</f>
        <v>0.14300000000000002</v>
      </c>
      <c r="O24" s="164"/>
      <c r="P24" s="165"/>
    </row>
    <row r="25" spans="1:25" ht="13.7" customHeight="1" thickBot="1" x14ac:dyDescent="0.3">
      <c r="A25" s="167"/>
      <c r="B25" s="32">
        <v>6.2</v>
      </c>
      <c r="C25" s="168"/>
      <c r="D25" s="162"/>
      <c r="E25" s="36">
        <v>0.17599999999999999</v>
      </c>
      <c r="F25" s="166"/>
      <c r="G25" s="164"/>
      <c r="H25" s="165"/>
      <c r="I25" s="167"/>
      <c r="J25" s="48">
        <v>3.2</v>
      </c>
      <c r="K25" s="168"/>
      <c r="L25" s="162"/>
      <c r="M25" s="45">
        <v>0.08</v>
      </c>
      <c r="N25" s="175"/>
      <c r="O25" s="164"/>
      <c r="P25" s="165"/>
    </row>
    <row r="26" spans="1:25" ht="13.7" customHeight="1" thickBot="1" x14ac:dyDescent="0.3">
      <c r="A26" s="167" t="s">
        <v>11</v>
      </c>
      <c r="B26" s="34">
        <v>1.1000000000000001</v>
      </c>
      <c r="C26" s="168" t="s">
        <v>7</v>
      </c>
      <c r="D26" s="162" t="s">
        <v>8</v>
      </c>
      <c r="E26" s="35">
        <v>0.11600000000000001</v>
      </c>
      <c r="F26" s="170">
        <f>SUM(E26:E28)</f>
        <v>0.36</v>
      </c>
      <c r="G26" s="164">
        <f>AVERAGE(F26:F34)</f>
        <v>0.34733333333333333</v>
      </c>
      <c r="H26" s="165">
        <f>STDEVA(F26:F34)</f>
        <v>4.0513372277969327E-2</v>
      </c>
      <c r="I26" s="167"/>
      <c r="J26" s="34">
        <v>4.0999999999999996</v>
      </c>
      <c r="K26" s="168"/>
      <c r="L26" s="162" t="s">
        <v>9</v>
      </c>
      <c r="M26" s="35">
        <v>0.105</v>
      </c>
      <c r="N26" s="171">
        <f>SUM(M26:M27)</f>
        <v>0.19800000000000001</v>
      </c>
      <c r="O26" s="164">
        <f>AVERAGE(N26:N31)</f>
        <v>0.21266666666666667</v>
      </c>
      <c r="P26" s="165">
        <f>STDEVA(N26:N31)</f>
        <v>1.3316656236958782E-2</v>
      </c>
    </row>
    <row r="27" spans="1:25" ht="13.7" customHeight="1" thickBot="1" x14ac:dyDescent="0.3">
      <c r="A27" s="167"/>
      <c r="B27" s="29">
        <v>1.2</v>
      </c>
      <c r="C27" s="168"/>
      <c r="D27" s="162"/>
      <c r="E27" s="30">
        <v>0.129</v>
      </c>
      <c r="F27" s="170"/>
      <c r="G27" s="164"/>
      <c r="H27" s="165"/>
      <c r="I27" s="167"/>
      <c r="J27" s="29">
        <v>4.2</v>
      </c>
      <c r="K27" s="168"/>
      <c r="L27" s="162"/>
      <c r="M27" s="31">
        <v>9.2999999999999999E-2</v>
      </c>
      <c r="N27" s="171"/>
      <c r="O27" s="164"/>
      <c r="P27" s="165"/>
    </row>
    <row r="28" spans="1:25" ht="13.7" customHeight="1" thickBot="1" x14ac:dyDescent="0.3">
      <c r="A28" s="167"/>
      <c r="B28" s="29">
        <v>1.3</v>
      </c>
      <c r="C28" s="168"/>
      <c r="D28" s="162"/>
      <c r="E28" s="31">
        <v>0.115</v>
      </c>
      <c r="F28" s="170"/>
      <c r="G28" s="164"/>
      <c r="H28" s="165"/>
      <c r="I28" s="167"/>
      <c r="J28" s="29">
        <v>5.0999999999999996</v>
      </c>
      <c r="K28" s="168"/>
      <c r="L28" s="162"/>
      <c r="M28" s="31">
        <v>0.11</v>
      </c>
      <c r="N28" s="173">
        <f>SUM(M28:M29)</f>
        <v>0.224</v>
      </c>
      <c r="O28" s="164"/>
      <c r="P28" s="165"/>
    </row>
    <row r="29" spans="1:25" ht="13.7" customHeight="1" thickBot="1" x14ac:dyDescent="0.3">
      <c r="A29" s="167"/>
      <c r="B29" s="29">
        <v>2.1</v>
      </c>
      <c r="C29" s="168"/>
      <c r="D29" s="162"/>
      <c r="E29" s="31">
        <v>0.125</v>
      </c>
      <c r="F29" s="171">
        <f>SUM(E29:E31)</f>
        <v>0.38</v>
      </c>
      <c r="G29" s="164"/>
      <c r="H29" s="165"/>
      <c r="I29" s="167"/>
      <c r="J29" s="29">
        <v>5.2</v>
      </c>
      <c r="K29" s="168"/>
      <c r="L29" s="162"/>
      <c r="M29" s="31">
        <v>0.114</v>
      </c>
      <c r="N29" s="173"/>
      <c r="O29" s="164"/>
      <c r="P29" s="165"/>
    </row>
    <row r="30" spans="1:25" ht="13.7" customHeight="1" thickBot="1" x14ac:dyDescent="0.3">
      <c r="A30" s="167"/>
      <c r="B30" s="29">
        <v>2.2000000000000002</v>
      </c>
      <c r="C30" s="168"/>
      <c r="D30" s="162"/>
      <c r="E30" s="31">
        <v>0.12</v>
      </c>
      <c r="F30" s="171"/>
      <c r="G30" s="164"/>
      <c r="H30" s="165"/>
      <c r="I30" s="167"/>
      <c r="J30" s="29">
        <v>6.1</v>
      </c>
      <c r="K30" s="168"/>
      <c r="L30" s="162"/>
      <c r="M30" s="31">
        <v>9.8000000000000004E-2</v>
      </c>
      <c r="N30" s="166">
        <f>SUM(M30:M31)</f>
        <v>0.216</v>
      </c>
      <c r="O30" s="164"/>
      <c r="P30" s="165"/>
    </row>
    <row r="31" spans="1:25" ht="13.7" customHeight="1" thickBot="1" x14ac:dyDescent="0.3">
      <c r="A31" s="167"/>
      <c r="B31" s="29">
        <v>2.2999999999999998</v>
      </c>
      <c r="C31" s="168"/>
      <c r="D31" s="162"/>
      <c r="E31" s="31">
        <v>0.13500000000000001</v>
      </c>
      <c r="F31" s="171"/>
      <c r="G31" s="164"/>
      <c r="H31" s="165"/>
      <c r="I31" s="167"/>
      <c r="J31" s="177">
        <v>6.2</v>
      </c>
      <c r="K31" s="168"/>
      <c r="L31" s="162"/>
      <c r="M31" s="166">
        <v>0.11799999999999999</v>
      </c>
      <c r="N31" s="166"/>
      <c r="O31" s="164"/>
      <c r="P31" s="165"/>
      <c r="R31" s="154" t="s">
        <v>15</v>
      </c>
      <c r="S31" s="14">
        <v>1</v>
      </c>
      <c r="T31" s="155" t="s">
        <v>9</v>
      </c>
      <c r="U31" s="169" t="s">
        <v>8</v>
      </c>
      <c r="V31" s="15">
        <v>0.20699999999999999</v>
      </c>
      <c r="W31" s="145">
        <f>AVERAGE(V31:V33)</f>
        <v>0.21799999999999997</v>
      </c>
      <c r="X31" s="133">
        <f>SUM(W31:W33)</f>
        <v>0.21799999999999997</v>
      </c>
      <c r="Y31" s="134">
        <f>STDEVA(V31:V33)</f>
        <v>2.8160255680657977E-2</v>
      </c>
    </row>
    <row r="32" spans="1:25" ht="13.7" customHeight="1" thickBot="1" x14ac:dyDescent="0.3">
      <c r="A32" s="167"/>
      <c r="B32" s="29">
        <v>3.1</v>
      </c>
      <c r="C32" s="168"/>
      <c r="D32" s="162"/>
      <c r="E32" s="31">
        <v>0.10199999999999999</v>
      </c>
      <c r="F32" s="166">
        <f>SUM(E32:E34)</f>
        <v>0.30199999999999999</v>
      </c>
      <c r="G32" s="164"/>
      <c r="H32" s="165"/>
      <c r="I32" s="167"/>
      <c r="J32" s="177"/>
      <c r="K32" s="168"/>
      <c r="L32" s="162"/>
      <c r="M32" s="166"/>
      <c r="N32" s="166"/>
      <c r="O32" s="164"/>
      <c r="P32" s="165"/>
      <c r="R32" s="154"/>
      <c r="S32" s="16">
        <v>2</v>
      </c>
      <c r="T32" s="155"/>
      <c r="U32" s="169"/>
      <c r="V32" s="17">
        <v>0.25</v>
      </c>
      <c r="W32" s="145"/>
      <c r="X32" s="133"/>
      <c r="Y32" s="134"/>
    </row>
    <row r="33" spans="1:25" ht="13.7" customHeight="1" thickBot="1" x14ac:dyDescent="0.3">
      <c r="A33" s="167"/>
      <c r="B33" s="29">
        <v>3.2</v>
      </c>
      <c r="C33" s="168"/>
      <c r="D33" s="162"/>
      <c r="E33" s="33">
        <v>9.7000000000000003E-2</v>
      </c>
      <c r="F33" s="166"/>
      <c r="G33" s="164"/>
      <c r="H33" s="165"/>
      <c r="I33" s="167"/>
      <c r="J33" s="177"/>
      <c r="K33" s="168"/>
      <c r="L33" s="162"/>
      <c r="M33" s="166"/>
      <c r="N33" s="166"/>
      <c r="O33" s="164"/>
      <c r="P33" s="165"/>
      <c r="R33" s="154"/>
      <c r="S33" s="16">
        <v>3</v>
      </c>
      <c r="T33" s="155"/>
      <c r="U33" s="169"/>
      <c r="V33" s="18">
        <v>0.19700000000000001</v>
      </c>
      <c r="W33" s="145"/>
      <c r="X33" s="133"/>
      <c r="Y33" s="134"/>
    </row>
    <row r="34" spans="1:25" ht="13.7" customHeight="1" thickBot="1" x14ac:dyDescent="0.3">
      <c r="A34" s="167"/>
      <c r="B34" s="32">
        <v>3.3</v>
      </c>
      <c r="C34" s="168"/>
      <c r="D34" s="162"/>
      <c r="E34" s="33">
        <v>0.10299999999999999</v>
      </c>
      <c r="F34" s="166"/>
      <c r="G34" s="164"/>
      <c r="H34" s="165"/>
      <c r="I34" s="167"/>
      <c r="J34" s="177"/>
      <c r="K34" s="168"/>
      <c r="L34" s="162"/>
      <c r="M34" s="166"/>
      <c r="N34" s="166"/>
      <c r="O34" s="164"/>
      <c r="P34" s="165"/>
      <c r="R34" s="154"/>
      <c r="S34" s="16">
        <v>4</v>
      </c>
      <c r="T34" s="155"/>
      <c r="U34" s="169" t="s">
        <v>9</v>
      </c>
      <c r="V34" s="19">
        <v>0.151</v>
      </c>
      <c r="W34" s="145">
        <f>AVERAGE(V34:V36)</f>
        <v>0.16433333333333336</v>
      </c>
      <c r="X34" s="133">
        <f>SUM(W34:W36)</f>
        <v>0.16433333333333336</v>
      </c>
      <c r="Y34" s="134">
        <f>STDEVA(V34:V36)</f>
        <v>3.3080709383768198E-2</v>
      </c>
    </row>
    <row r="35" spans="1:25" ht="13.7" customHeight="1" thickBot="1" x14ac:dyDescent="0.3">
      <c r="A35" s="167"/>
      <c r="B35" s="34">
        <v>4.0999999999999996</v>
      </c>
      <c r="C35" s="168"/>
      <c r="D35" s="162" t="s">
        <v>9</v>
      </c>
      <c r="E35" s="35">
        <v>0.26500000000000001</v>
      </c>
      <c r="F35" s="171">
        <f>SUM(E35:E36)</f>
        <v>0.47</v>
      </c>
      <c r="G35" s="172">
        <f>AVERAGE(F35:F40)</f>
        <v>0.45233333333333331</v>
      </c>
      <c r="H35" s="165">
        <f>STDEVA(F35:F40)</f>
        <v>3.2347076117221644E-2</v>
      </c>
      <c r="I35" s="167" t="s">
        <v>15</v>
      </c>
      <c r="J35" s="39">
        <v>1</v>
      </c>
      <c r="K35" s="168" t="s">
        <v>9</v>
      </c>
      <c r="L35" s="162" t="s">
        <v>8</v>
      </c>
      <c r="M35" s="49">
        <v>0.20699999999999999</v>
      </c>
      <c r="N35" s="163">
        <f>AVERAGE(M35:M37)</f>
        <v>0.21799999999999997</v>
      </c>
      <c r="O35" s="164">
        <f>SUM(N35:N37)</f>
        <v>0.21799999999999997</v>
      </c>
      <c r="P35" s="165">
        <f>STDEVA(M35:M37)</f>
        <v>2.8160255680657977E-2</v>
      </c>
      <c r="R35" s="154"/>
      <c r="S35" s="16">
        <v>5</v>
      </c>
      <c r="T35" s="155"/>
      <c r="U35" s="169"/>
      <c r="V35" s="20">
        <v>0.14000000000000001</v>
      </c>
      <c r="W35" s="145"/>
      <c r="X35" s="133"/>
      <c r="Y35" s="134"/>
    </row>
    <row r="36" spans="1:25" ht="13.7" customHeight="1" thickBot="1" x14ac:dyDescent="0.3">
      <c r="A36" s="167"/>
      <c r="B36" s="29">
        <v>4.2</v>
      </c>
      <c r="C36" s="168"/>
      <c r="D36" s="162"/>
      <c r="E36" s="31">
        <v>0.20499999999999999</v>
      </c>
      <c r="F36" s="171"/>
      <c r="G36" s="172"/>
      <c r="H36" s="165"/>
      <c r="I36" s="167"/>
      <c r="J36" s="39">
        <v>2</v>
      </c>
      <c r="K36" s="168"/>
      <c r="L36" s="162"/>
      <c r="M36" s="40">
        <v>0.25</v>
      </c>
      <c r="N36" s="163"/>
      <c r="O36" s="164"/>
      <c r="P36" s="165"/>
      <c r="R36" s="154"/>
      <c r="S36" s="21">
        <v>6</v>
      </c>
      <c r="T36" s="155"/>
      <c r="U36" s="169"/>
      <c r="V36" s="24">
        <v>0.20200000000000001</v>
      </c>
      <c r="W36" s="145"/>
      <c r="X36" s="133"/>
      <c r="Y36" s="134"/>
    </row>
    <row r="37" spans="1:25" ht="13.7" customHeight="1" thickBot="1" x14ac:dyDescent="0.3">
      <c r="A37" s="167"/>
      <c r="B37" s="29">
        <v>5.0999999999999996</v>
      </c>
      <c r="C37" s="168"/>
      <c r="D37" s="162"/>
      <c r="E37" s="31">
        <v>0.29699999999999999</v>
      </c>
      <c r="F37" s="173">
        <f>SUM(E37:E38)</f>
        <v>0.47199999999999998</v>
      </c>
      <c r="G37" s="172"/>
      <c r="H37" s="165"/>
      <c r="I37" s="167"/>
      <c r="J37" s="39">
        <v>3</v>
      </c>
      <c r="K37" s="168"/>
      <c r="L37" s="162"/>
      <c r="M37" s="41">
        <v>0.19700000000000001</v>
      </c>
      <c r="N37" s="163"/>
      <c r="O37" s="164"/>
      <c r="P37" s="165"/>
    </row>
    <row r="38" spans="1:25" ht="13.7" customHeight="1" thickBot="1" x14ac:dyDescent="0.3">
      <c r="A38" s="167"/>
      <c r="B38" s="29">
        <v>5.2</v>
      </c>
      <c r="C38" s="168"/>
      <c r="D38" s="162"/>
      <c r="E38" s="31">
        <v>0.17499999999999999</v>
      </c>
      <c r="F38" s="173"/>
      <c r="G38" s="172"/>
      <c r="H38" s="165"/>
      <c r="I38" s="167"/>
      <c r="J38" s="39">
        <v>4</v>
      </c>
      <c r="K38" s="168"/>
      <c r="L38" s="162" t="s">
        <v>9</v>
      </c>
      <c r="M38" s="42">
        <v>0.151</v>
      </c>
      <c r="N38" s="163">
        <f>AVERAGE(M38:M40)</f>
        <v>0.16433333333333336</v>
      </c>
      <c r="O38" s="164">
        <f>SUM(N38:N40)</f>
        <v>0.16433333333333336</v>
      </c>
      <c r="P38" s="165">
        <f>STDEVA(M38:M40)</f>
        <v>3.3080709383768198E-2</v>
      </c>
    </row>
    <row r="39" spans="1:25" ht="13.7" customHeight="1" thickBot="1" x14ac:dyDescent="0.3">
      <c r="A39" s="167"/>
      <c r="B39" s="29">
        <v>6.1</v>
      </c>
      <c r="C39" s="168"/>
      <c r="D39" s="162"/>
      <c r="E39" s="31">
        <v>0.214</v>
      </c>
      <c r="F39" s="166">
        <f>SUM(E39:E40)</f>
        <v>0.41500000000000004</v>
      </c>
      <c r="G39" s="172"/>
      <c r="H39" s="165"/>
      <c r="I39" s="167"/>
      <c r="J39" s="39">
        <v>5</v>
      </c>
      <c r="K39" s="168"/>
      <c r="L39" s="162"/>
      <c r="M39" s="43">
        <v>0.14000000000000001</v>
      </c>
      <c r="N39" s="163"/>
      <c r="O39" s="164"/>
      <c r="P39" s="165"/>
    </row>
    <row r="40" spans="1:25" ht="13.7" customHeight="1" thickBot="1" x14ac:dyDescent="0.3">
      <c r="A40" s="167"/>
      <c r="B40" s="32">
        <v>6.2</v>
      </c>
      <c r="C40" s="168"/>
      <c r="D40" s="162"/>
      <c r="E40" s="36">
        <v>0.20100000000000001</v>
      </c>
      <c r="F40" s="166"/>
      <c r="G40" s="172"/>
      <c r="H40" s="165"/>
      <c r="I40" s="167"/>
      <c r="J40" s="44">
        <v>6</v>
      </c>
      <c r="K40" s="168"/>
      <c r="L40" s="162"/>
      <c r="M40" s="50">
        <v>0.20200000000000001</v>
      </c>
      <c r="N40" s="163"/>
      <c r="O40" s="164"/>
      <c r="P40" s="165"/>
    </row>
  </sheetData>
  <mergeCells count="108"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O20:O25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F29:F31"/>
    <mergeCell ref="N30:N34"/>
    <mergeCell ref="J31:J34"/>
    <mergeCell ref="M31:M34"/>
    <mergeCell ref="F32:F34"/>
    <mergeCell ref="A26:A40"/>
    <mergeCell ref="C26:C40"/>
    <mergeCell ref="D26:D34"/>
    <mergeCell ref="F26:F28"/>
    <mergeCell ref="G26:G34"/>
    <mergeCell ref="H26:H34"/>
    <mergeCell ref="D35:D40"/>
    <mergeCell ref="F35:F36"/>
    <mergeCell ref="G35:G40"/>
    <mergeCell ref="H35:H40"/>
    <mergeCell ref="F37:F38"/>
    <mergeCell ref="R31:R36"/>
    <mergeCell ref="T31:T36"/>
    <mergeCell ref="U31:U33"/>
    <mergeCell ref="W31:W33"/>
    <mergeCell ref="X31:X33"/>
    <mergeCell ref="Y31:Y33"/>
    <mergeCell ref="U34:U36"/>
    <mergeCell ref="W34:W36"/>
    <mergeCell ref="X34:X36"/>
    <mergeCell ref="Y34:Y36"/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workbookViewId="0">
      <selection activeCell="S7" sqref="S7"/>
    </sheetView>
  </sheetViews>
  <sheetFormatPr defaultRowHeight="15" x14ac:dyDescent="0.25"/>
  <cols>
    <col min="1" max="1" width="3.7109375" customWidth="1"/>
    <col min="2" max="2" width="4" customWidth="1"/>
    <col min="3" max="3" width="4.140625" customWidth="1"/>
    <col min="4" max="4" width="4" customWidth="1"/>
    <col min="5" max="5" width="6.7109375" customWidth="1"/>
    <col min="6" max="6" width="5.85546875" customWidth="1"/>
    <col min="7" max="7" width="5.7109375" customWidth="1"/>
    <col min="8" max="8" width="6" customWidth="1"/>
    <col min="9" max="9" width="4.42578125" customWidth="1"/>
    <col min="10" max="10" width="6.140625" customWidth="1"/>
    <col min="11" max="12" width="4.5703125" customWidth="1"/>
    <col min="13" max="13" width="6" customWidth="1"/>
    <col min="14" max="14" width="6.5703125" customWidth="1"/>
    <col min="15" max="15" width="6.28515625" customWidth="1"/>
    <col min="16" max="16" width="6.140625" customWidth="1"/>
    <col min="17" max="17" width="9.140625" customWidth="1"/>
  </cols>
  <sheetData>
    <row r="1" spans="1:16" ht="84" customHeight="1" thickBot="1" x14ac:dyDescent="0.3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2.95" customHeight="1" thickBot="1" x14ac:dyDescent="0.3">
      <c r="A2" s="167" t="s">
        <v>6</v>
      </c>
      <c r="B2" s="29">
        <v>1.1000000000000001</v>
      </c>
      <c r="C2" s="168" t="s">
        <v>7</v>
      </c>
      <c r="D2" s="162" t="s">
        <v>8</v>
      </c>
      <c r="E2" s="30">
        <v>0.10100000000000001</v>
      </c>
      <c r="F2" s="179">
        <f>SUM(E2:E3)</f>
        <v>0.21400000000000002</v>
      </c>
      <c r="G2" s="164">
        <f>AVERAGE(F2:F7)</f>
        <v>0.22066666666666668</v>
      </c>
      <c r="H2" s="165">
        <f>STDEVA(F2:F7)</f>
        <v>2.2744962812309297E-2</v>
      </c>
      <c r="I2" s="167" t="s">
        <v>12</v>
      </c>
      <c r="J2" s="29">
        <v>1.1000000000000001</v>
      </c>
      <c r="K2" s="168" t="s">
        <v>8</v>
      </c>
      <c r="L2" s="162" t="s">
        <v>8</v>
      </c>
      <c r="M2" s="30">
        <v>0.123</v>
      </c>
      <c r="N2" s="179">
        <f>SUM(M2:M3)</f>
        <v>0.23599999999999999</v>
      </c>
      <c r="O2" s="164">
        <f>AVERAGE(N2:N7)</f>
        <v>0.2233333333333333</v>
      </c>
      <c r="P2" s="165">
        <f>STDEVA(N2:N7)</f>
        <v>1.9399312702601933E-2</v>
      </c>
    </row>
    <row r="3" spans="1:16" ht="12.95" customHeight="1" thickBot="1" x14ac:dyDescent="0.3">
      <c r="A3" s="167"/>
      <c r="B3" s="29">
        <v>1.2</v>
      </c>
      <c r="C3" s="168"/>
      <c r="D3" s="162"/>
      <c r="E3" s="31">
        <v>0.113</v>
      </c>
      <c r="F3" s="179"/>
      <c r="G3" s="164"/>
      <c r="H3" s="165"/>
      <c r="I3" s="167"/>
      <c r="J3" s="29">
        <v>1.2</v>
      </c>
      <c r="K3" s="168"/>
      <c r="L3" s="162"/>
      <c r="M3" s="31">
        <v>0.113</v>
      </c>
      <c r="N3" s="179"/>
      <c r="O3" s="164"/>
      <c r="P3" s="165"/>
    </row>
    <row r="4" spans="1:16" ht="12.95" customHeight="1" thickBot="1" x14ac:dyDescent="0.3">
      <c r="A4" s="167"/>
      <c r="B4" s="29">
        <v>2.1</v>
      </c>
      <c r="C4" s="168"/>
      <c r="D4" s="162"/>
      <c r="E4" s="31">
        <v>0.126</v>
      </c>
      <c r="F4" s="173">
        <f>SUM(E4:E5)</f>
        <v>0.246</v>
      </c>
      <c r="G4" s="164"/>
      <c r="H4" s="165"/>
      <c r="I4" s="167"/>
      <c r="J4" s="29">
        <v>2.1</v>
      </c>
      <c r="K4" s="168"/>
      <c r="L4" s="162"/>
      <c r="M4" s="31">
        <v>0.121</v>
      </c>
      <c r="N4" s="173">
        <f>SUM(M4:M5)</f>
        <v>0.23299999999999998</v>
      </c>
      <c r="O4" s="164"/>
      <c r="P4" s="165"/>
    </row>
    <row r="5" spans="1:16" ht="12.95" customHeight="1" thickBot="1" x14ac:dyDescent="0.3">
      <c r="A5" s="167"/>
      <c r="B5" s="29">
        <v>2.2000000000000002</v>
      </c>
      <c r="C5" s="168"/>
      <c r="D5" s="162"/>
      <c r="E5" s="31">
        <v>0.12</v>
      </c>
      <c r="F5" s="173"/>
      <c r="G5" s="164"/>
      <c r="H5" s="165"/>
      <c r="I5" s="167"/>
      <c r="J5" s="29">
        <v>2.2000000000000002</v>
      </c>
      <c r="K5" s="168"/>
      <c r="L5" s="162"/>
      <c r="M5" s="31">
        <v>0.112</v>
      </c>
      <c r="N5" s="173"/>
      <c r="O5" s="164"/>
      <c r="P5" s="165"/>
    </row>
    <row r="6" spans="1:16" ht="12.95" customHeight="1" thickBot="1" x14ac:dyDescent="0.3">
      <c r="A6" s="167"/>
      <c r="B6" s="29">
        <v>3.1</v>
      </c>
      <c r="C6" s="168"/>
      <c r="D6" s="162"/>
      <c r="E6" s="31">
        <v>0.1</v>
      </c>
      <c r="F6" s="166">
        <f>SUM(E6:E7)</f>
        <v>0.20200000000000001</v>
      </c>
      <c r="G6" s="164"/>
      <c r="H6" s="165"/>
      <c r="I6" s="167"/>
      <c r="J6" s="29">
        <v>3.1</v>
      </c>
      <c r="K6" s="168"/>
      <c r="L6" s="162"/>
      <c r="M6" s="31">
        <v>0.1</v>
      </c>
      <c r="N6" s="166">
        <f>SUM(M6:M7)</f>
        <v>0.20100000000000001</v>
      </c>
      <c r="O6" s="164"/>
      <c r="P6" s="165"/>
    </row>
    <row r="7" spans="1:16" ht="12.95" customHeight="1" thickBot="1" x14ac:dyDescent="0.3">
      <c r="A7" s="167"/>
      <c r="B7" s="32">
        <v>3.2</v>
      </c>
      <c r="C7" s="168"/>
      <c r="D7" s="162"/>
      <c r="E7" s="33">
        <v>0.10199999999999999</v>
      </c>
      <c r="F7" s="166"/>
      <c r="G7" s="164"/>
      <c r="H7" s="165"/>
      <c r="I7" s="167"/>
      <c r="J7" s="32">
        <v>3.2</v>
      </c>
      <c r="K7" s="168"/>
      <c r="L7" s="162"/>
      <c r="M7" s="33">
        <v>0.10100000000000001</v>
      </c>
      <c r="N7" s="166"/>
      <c r="O7" s="164"/>
      <c r="P7" s="165"/>
    </row>
    <row r="8" spans="1:16" ht="12.95" customHeight="1" thickBot="1" x14ac:dyDescent="0.3">
      <c r="A8" s="167"/>
      <c r="B8" s="34">
        <v>4.0999999999999996</v>
      </c>
      <c r="C8" s="168"/>
      <c r="D8" s="162" t="s">
        <v>9</v>
      </c>
      <c r="E8" s="35">
        <v>0.32</v>
      </c>
      <c r="F8" s="171">
        <f>SUM(E8:E9)</f>
        <v>0.32</v>
      </c>
      <c r="G8" s="164">
        <f>AVERAGE(F8:F13)</f>
        <v>0.34400000000000003</v>
      </c>
      <c r="H8" s="165">
        <f>STDEVA(F8:F13)</f>
        <v>2.0999999999999987E-2</v>
      </c>
      <c r="I8" s="167"/>
      <c r="J8" s="180">
        <v>4</v>
      </c>
      <c r="K8" s="168"/>
      <c r="L8" s="162" t="s">
        <v>9</v>
      </c>
      <c r="M8" s="181">
        <v>0.16600000000000001</v>
      </c>
      <c r="N8" s="171">
        <f>SUM(M8:M9)</f>
        <v>0.16600000000000001</v>
      </c>
      <c r="O8" s="164">
        <f>AVERAGE(N8:N13)</f>
        <v>0.17100000000000001</v>
      </c>
      <c r="P8" s="165">
        <f>STDEVA(N8:N13)</f>
        <v>1.2288205727444502E-2</v>
      </c>
    </row>
    <row r="9" spans="1:16" ht="12.95" customHeight="1" thickBot="1" x14ac:dyDescent="0.3">
      <c r="A9" s="167"/>
      <c r="B9" s="29">
        <v>4.2</v>
      </c>
      <c r="C9" s="168"/>
      <c r="D9" s="162"/>
      <c r="E9" s="31"/>
      <c r="F9" s="171"/>
      <c r="G9" s="164"/>
      <c r="H9" s="165"/>
      <c r="I9" s="167"/>
      <c r="J9" s="180"/>
      <c r="K9" s="168"/>
      <c r="L9" s="162"/>
      <c r="M9" s="181"/>
      <c r="N9" s="171"/>
      <c r="O9" s="164"/>
      <c r="P9" s="165"/>
    </row>
    <row r="10" spans="1:16" ht="12.95" customHeight="1" thickBot="1" x14ac:dyDescent="0.3">
      <c r="A10" s="167"/>
      <c r="B10" s="29">
        <v>5.0999999999999996</v>
      </c>
      <c r="C10" s="168"/>
      <c r="D10" s="162"/>
      <c r="E10" s="31">
        <v>0.152</v>
      </c>
      <c r="F10" s="173">
        <f>SUM(E10:E11)</f>
        <v>0.35899999999999999</v>
      </c>
      <c r="G10" s="164"/>
      <c r="H10" s="165"/>
      <c r="I10" s="167"/>
      <c r="J10" s="180">
        <v>5</v>
      </c>
      <c r="K10" s="168"/>
      <c r="L10" s="162"/>
      <c r="M10" s="181">
        <v>0.16200000000000001</v>
      </c>
      <c r="N10" s="173">
        <f>SUM(M10:M11)</f>
        <v>0.16200000000000001</v>
      </c>
      <c r="O10" s="164"/>
      <c r="P10" s="165"/>
    </row>
    <row r="11" spans="1:16" ht="12.95" customHeight="1" thickBot="1" x14ac:dyDescent="0.3">
      <c r="A11" s="167"/>
      <c r="B11" s="29">
        <v>5.2</v>
      </c>
      <c r="C11" s="168"/>
      <c r="D11" s="162"/>
      <c r="E11" s="31">
        <v>0.20699999999999999</v>
      </c>
      <c r="F11" s="173"/>
      <c r="G11" s="164"/>
      <c r="H11" s="165"/>
      <c r="I11" s="167"/>
      <c r="J11" s="180"/>
      <c r="K11" s="168"/>
      <c r="L11" s="162"/>
      <c r="M11" s="181"/>
      <c r="N11" s="173"/>
      <c r="O11" s="164"/>
      <c r="P11" s="165"/>
    </row>
    <row r="12" spans="1:16" ht="12.95" customHeight="1" thickBot="1" x14ac:dyDescent="0.3">
      <c r="A12" s="167"/>
      <c r="B12" s="29">
        <v>6.1</v>
      </c>
      <c r="C12" s="168"/>
      <c r="D12" s="162"/>
      <c r="E12" s="31">
        <v>0.18</v>
      </c>
      <c r="F12" s="166">
        <f>SUM(E12:E13)</f>
        <v>0.35299999999999998</v>
      </c>
      <c r="G12" s="164"/>
      <c r="H12" s="165"/>
      <c r="I12" s="167"/>
      <c r="J12" s="180">
        <v>6</v>
      </c>
      <c r="K12" s="168"/>
      <c r="L12" s="162"/>
      <c r="M12" s="181">
        <v>0.185</v>
      </c>
      <c r="N12" s="166">
        <f>SUM(M12:M13)</f>
        <v>0.185</v>
      </c>
      <c r="O12" s="164"/>
      <c r="P12" s="165"/>
    </row>
    <row r="13" spans="1:16" ht="12.95" customHeight="1" thickBot="1" x14ac:dyDescent="0.3">
      <c r="A13" s="167"/>
      <c r="B13" s="32">
        <v>6.2</v>
      </c>
      <c r="C13" s="168"/>
      <c r="D13" s="162"/>
      <c r="E13" s="36">
        <v>0.17299999999999999</v>
      </c>
      <c r="F13" s="166"/>
      <c r="G13" s="164"/>
      <c r="H13" s="165"/>
      <c r="I13" s="167"/>
      <c r="J13" s="180"/>
      <c r="K13" s="168"/>
      <c r="L13" s="162"/>
      <c r="M13" s="181"/>
      <c r="N13" s="166"/>
      <c r="O13" s="164"/>
      <c r="P13" s="165"/>
    </row>
    <row r="14" spans="1:16" ht="12.95" customHeight="1" thickBot="1" x14ac:dyDescent="0.3">
      <c r="A14" s="167" t="s">
        <v>10</v>
      </c>
      <c r="B14" s="34">
        <v>1.1000000000000001</v>
      </c>
      <c r="C14" s="168" t="s">
        <v>7</v>
      </c>
      <c r="D14" s="162" t="s">
        <v>8</v>
      </c>
      <c r="E14" s="35">
        <v>9.5000000000000001E-2</v>
      </c>
      <c r="F14" s="179">
        <f>SUM(E14:E15)</f>
        <v>0.20200000000000001</v>
      </c>
      <c r="G14" s="164">
        <f>AVERAGE(F14:F19)</f>
        <v>0.23533333333333337</v>
      </c>
      <c r="H14" s="165">
        <f>STDEVA(F14:F19)</f>
        <v>3.6909799963333947E-2</v>
      </c>
      <c r="I14" s="167" t="s">
        <v>13</v>
      </c>
      <c r="J14" s="37">
        <v>1</v>
      </c>
      <c r="K14" s="168" t="s">
        <v>9</v>
      </c>
      <c r="L14" s="162" t="s">
        <v>8</v>
      </c>
      <c r="M14" s="38">
        <v>0.10100000000000001</v>
      </c>
      <c r="N14" s="163">
        <f>AVERAGE(M14:M16)</f>
        <v>0.11333333333333334</v>
      </c>
      <c r="O14" s="178">
        <f>SUM(N14:N16)</f>
        <v>0.11333333333333334</v>
      </c>
      <c r="P14" s="165">
        <f>STDEVA(M14:M16)</f>
        <v>1.2503332889007365E-2</v>
      </c>
    </row>
    <row r="15" spans="1:16" ht="12.95" customHeight="1" thickBot="1" x14ac:dyDescent="0.3">
      <c r="A15" s="167"/>
      <c r="B15" s="29">
        <v>1.2</v>
      </c>
      <c r="C15" s="168"/>
      <c r="D15" s="162"/>
      <c r="E15" s="31">
        <v>0.107</v>
      </c>
      <c r="F15" s="179"/>
      <c r="G15" s="164"/>
      <c r="H15" s="165"/>
      <c r="I15" s="167"/>
      <c r="J15" s="39">
        <v>2</v>
      </c>
      <c r="K15" s="168"/>
      <c r="L15" s="162"/>
      <c r="M15" s="40">
        <v>0.113</v>
      </c>
      <c r="N15" s="163"/>
      <c r="O15" s="178"/>
      <c r="P15" s="165"/>
    </row>
    <row r="16" spans="1:16" ht="12.95" customHeight="1" thickBot="1" x14ac:dyDescent="0.3">
      <c r="A16" s="167"/>
      <c r="B16" s="29">
        <v>2.1</v>
      </c>
      <c r="C16" s="168"/>
      <c r="D16" s="162"/>
      <c r="E16" s="31">
        <v>0.115</v>
      </c>
      <c r="F16" s="173">
        <f>SUM(E16:E17)</f>
        <v>0.22900000000000001</v>
      </c>
      <c r="G16" s="164"/>
      <c r="H16" s="165"/>
      <c r="I16" s="167"/>
      <c r="J16" s="39">
        <v>3</v>
      </c>
      <c r="K16" s="168"/>
      <c r="L16" s="162"/>
      <c r="M16" s="41">
        <v>0.126</v>
      </c>
      <c r="N16" s="163"/>
      <c r="O16" s="178"/>
      <c r="P16" s="165"/>
    </row>
    <row r="17" spans="1:16" ht="12.95" customHeight="1" thickBot="1" x14ac:dyDescent="0.3">
      <c r="A17" s="167"/>
      <c r="B17" s="29">
        <v>2.2000000000000002</v>
      </c>
      <c r="C17" s="168"/>
      <c r="D17" s="162"/>
      <c r="E17" s="31">
        <v>0.114</v>
      </c>
      <c r="F17" s="173"/>
      <c r="G17" s="164"/>
      <c r="H17" s="165"/>
      <c r="I17" s="167"/>
      <c r="J17" s="39">
        <v>4</v>
      </c>
      <c r="K17" s="168"/>
      <c r="L17" s="162" t="s">
        <v>9</v>
      </c>
      <c r="M17" s="42">
        <v>0.12</v>
      </c>
      <c r="N17" s="163">
        <f>AVERAGE(M17:M19)</f>
        <v>0.10733333333333334</v>
      </c>
      <c r="O17" s="178">
        <f>SUM(N17:N19)</f>
        <v>0.10733333333333334</v>
      </c>
      <c r="P17" s="165">
        <f>STDEVA(M17:M19)</f>
        <v>1.1015141094572202E-2</v>
      </c>
    </row>
    <row r="18" spans="1:16" ht="12.95" customHeight="1" thickBot="1" x14ac:dyDescent="0.3">
      <c r="A18" s="167"/>
      <c r="B18" s="29">
        <v>3.1</v>
      </c>
      <c r="C18" s="168"/>
      <c r="D18" s="162"/>
      <c r="E18" s="31">
        <v>0.13800000000000001</v>
      </c>
      <c r="F18" s="166">
        <f>SUM(E18:E19)</f>
        <v>0.27500000000000002</v>
      </c>
      <c r="G18" s="164"/>
      <c r="H18" s="165"/>
      <c r="I18" s="167"/>
      <c r="J18" s="39">
        <v>5</v>
      </c>
      <c r="K18" s="168"/>
      <c r="L18" s="162"/>
      <c r="M18" s="43">
        <v>0.1</v>
      </c>
      <c r="N18" s="163"/>
      <c r="O18" s="178"/>
      <c r="P18" s="165"/>
    </row>
    <row r="19" spans="1:16" ht="12.95" customHeight="1" thickBot="1" x14ac:dyDescent="0.3">
      <c r="A19" s="167"/>
      <c r="B19" s="32">
        <v>3.2</v>
      </c>
      <c r="C19" s="168"/>
      <c r="D19" s="162"/>
      <c r="E19" s="33">
        <v>0.13700000000000001</v>
      </c>
      <c r="F19" s="166"/>
      <c r="G19" s="164"/>
      <c r="H19" s="165"/>
      <c r="I19" s="167"/>
      <c r="J19" s="44">
        <v>6</v>
      </c>
      <c r="K19" s="168"/>
      <c r="L19" s="162"/>
      <c r="M19" s="45">
        <v>0.10199999999999999</v>
      </c>
      <c r="N19" s="163"/>
      <c r="O19" s="178"/>
      <c r="P19" s="165"/>
    </row>
    <row r="20" spans="1:16" ht="12.95" customHeight="1" thickBot="1" x14ac:dyDescent="0.3">
      <c r="A20" s="167"/>
      <c r="B20" s="34">
        <v>4.0999999999999996</v>
      </c>
      <c r="C20" s="168"/>
      <c r="D20" s="162" t="s">
        <v>9</v>
      </c>
      <c r="E20" s="35">
        <v>0.16500000000000001</v>
      </c>
      <c r="F20" s="171">
        <f>SUM(E20:E21)</f>
        <v>0.33</v>
      </c>
      <c r="G20" s="164">
        <f>AVERAGE(F20:F25)</f>
        <v>0.35766666666666663</v>
      </c>
      <c r="H20" s="165">
        <f>STDEVA(F20:F25)</f>
        <v>3.1533051443419391E-2</v>
      </c>
      <c r="I20" s="167" t="s">
        <v>14</v>
      </c>
      <c r="J20" s="46">
        <v>1.1000000000000001</v>
      </c>
      <c r="K20" s="168" t="s">
        <v>8</v>
      </c>
      <c r="L20" s="162" t="s">
        <v>8</v>
      </c>
      <c r="M20" s="47">
        <v>5.8999999999999997E-2</v>
      </c>
      <c r="N20" s="176">
        <f>SUM(M20:M21)</f>
        <v>0.12</v>
      </c>
      <c r="O20" s="164">
        <f>AVERAGE(N20:N25)</f>
        <v>0.12633333333333333</v>
      </c>
      <c r="P20" s="165">
        <f>STDEVA(N20:N25)</f>
        <v>1.4571661996262942E-2</v>
      </c>
    </row>
    <row r="21" spans="1:16" ht="12.95" customHeight="1" thickBot="1" x14ac:dyDescent="0.3">
      <c r="A21" s="167"/>
      <c r="B21" s="29">
        <v>4.2</v>
      </c>
      <c r="C21" s="168"/>
      <c r="D21" s="162"/>
      <c r="E21" s="31">
        <v>0.16500000000000001</v>
      </c>
      <c r="F21" s="171"/>
      <c r="G21" s="164"/>
      <c r="H21" s="165"/>
      <c r="I21" s="167"/>
      <c r="J21" s="48">
        <v>1.2</v>
      </c>
      <c r="K21" s="168"/>
      <c r="L21" s="162"/>
      <c r="M21" s="43">
        <v>6.0999999999999999E-2</v>
      </c>
      <c r="N21" s="176"/>
      <c r="O21" s="164"/>
      <c r="P21" s="165"/>
    </row>
    <row r="22" spans="1:16" ht="12.95" customHeight="1" thickBot="1" x14ac:dyDescent="0.3">
      <c r="A22" s="167"/>
      <c r="B22" s="29">
        <v>5.0999999999999996</v>
      </c>
      <c r="C22" s="168"/>
      <c r="D22" s="162"/>
      <c r="E22" s="31">
        <v>0.192</v>
      </c>
      <c r="F22" s="173">
        <f>SUM(E22:E23)</f>
        <v>0.39200000000000002</v>
      </c>
      <c r="G22" s="164"/>
      <c r="H22" s="165"/>
      <c r="I22" s="167"/>
      <c r="J22" s="48">
        <v>2.1</v>
      </c>
      <c r="K22" s="168"/>
      <c r="L22" s="162"/>
      <c r="M22" s="43">
        <v>5.2999999999999999E-2</v>
      </c>
      <c r="N22" s="174">
        <f>SUM(M22:M23)</f>
        <v>0.11599999999999999</v>
      </c>
      <c r="O22" s="164"/>
      <c r="P22" s="165"/>
    </row>
    <row r="23" spans="1:16" ht="12.95" customHeight="1" thickBot="1" x14ac:dyDescent="0.3">
      <c r="A23" s="167"/>
      <c r="B23" s="29">
        <v>5.2</v>
      </c>
      <c r="C23" s="168"/>
      <c r="D23" s="162"/>
      <c r="E23" s="31">
        <v>0.2</v>
      </c>
      <c r="F23" s="173"/>
      <c r="G23" s="164"/>
      <c r="H23" s="165"/>
      <c r="I23" s="167"/>
      <c r="J23" s="48">
        <v>2.2000000000000002</v>
      </c>
      <c r="K23" s="168"/>
      <c r="L23" s="162"/>
      <c r="M23" s="43">
        <v>6.3E-2</v>
      </c>
      <c r="N23" s="174"/>
      <c r="O23" s="164"/>
      <c r="P23" s="165"/>
    </row>
    <row r="24" spans="1:16" ht="12.95" customHeight="1" thickBot="1" x14ac:dyDescent="0.3">
      <c r="A24" s="167"/>
      <c r="B24" s="29">
        <v>6.1</v>
      </c>
      <c r="C24" s="168"/>
      <c r="D24" s="162"/>
      <c r="E24" s="31">
        <v>0.17499999999999999</v>
      </c>
      <c r="F24" s="166">
        <f>SUM(E24:E25)</f>
        <v>0.35099999999999998</v>
      </c>
      <c r="G24" s="164"/>
      <c r="H24" s="165"/>
      <c r="I24" s="167"/>
      <c r="J24" s="48">
        <v>3.1</v>
      </c>
      <c r="K24" s="168"/>
      <c r="L24" s="162"/>
      <c r="M24" s="43">
        <v>6.3E-2</v>
      </c>
      <c r="N24" s="175">
        <f>SUM(M24:M25)</f>
        <v>0.14300000000000002</v>
      </c>
      <c r="O24" s="164"/>
      <c r="P24" s="165"/>
    </row>
    <row r="25" spans="1:16" ht="12.95" customHeight="1" thickBot="1" x14ac:dyDescent="0.3">
      <c r="A25" s="167"/>
      <c r="B25" s="32">
        <v>6.2</v>
      </c>
      <c r="C25" s="168"/>
      <c r="D25" s="162"/>
      <c r="E25" s="36">
        <v>0.17599999999999999</v>
      </c>
      <c r="F25" s="166"/>
      <c r="G25" s="164"/>
      <c r="H25" s="165"/>
      <c r="I25" s="167"/>
      <c r="J25" s="48">
        <v>3.2</v>
      </c>
      <c r="K25" s="168"/>
      <c r="L25" s="162"/>
      <c r="M25" s="45">
        <v>0.08</v>
      </c>
      <c r="N25" s="175"/>
      <c r="O25" s="164"/>
      <c r="P25" s="165"/>
    </row>
    <row r="26" spans="1:16" ht="12.95" customHeight="1" thickBot="1" x14ac:dyDescent="0.3">
      <c r="A26" s="167" t="s">
        <v>11</v>
      </c>
      <c r="B26" s="34">
        <v>1.1000000000000001</v>
      </c>
      <c r="C26" s="168" t="s">
        <v>7</v>
      </c>
      <c r="D26" s="162" t="s">
        <v>8</v>
      </c>
      <c r="E26" s="35">
        <v>0.11600000000000001</v>
      </c>
      <c r="F26" s="170">
        <f>SUM(E26:E28)</f>
        <v>0.36</v>
      </c>
      <c r="G26" s="164">
        <f>AVERAGE(F26:F34)</f>
        <v>0.34733333333333333</v>
      </c>
      <c r="H26" s="165">
        <f>STDEVA(F26:F34)</f>
        <v>4.0513372277969327E-2</v>
      </c>
      <c r="I26" s="167"/>
      <c r="J26" s="34">
        <v>4.0999999999999996</v>
      </c>
      <c r="K26" s="168"/>
      <c r="L26" s="162" t="s">
        <v>9</v>
      </c>
      <c r="M26" s="35">
        <v>0.105</v>
      </c>
      <c r="N26" s="171">
        <f>SUM(M26:M27)</f>
        <v>0.19800000000000001</v>
      </c>
      <c r="O26" s="164">
        <f>AVERAGE(N26:N31)</f>
        <v>0.21266666666666667</v>
      </c>
      <c r="P26" s="165">
        <f>STDEVA(N26:N31)</f>
        <v>1.3316656236958782E-2</v>
      </c>
    </row>
    <row r="27" spans="1:16" ht="12.95" customHeight="1" thickBot="1" x14ac:dyDescent="0.3">
      <c r="A27" s="167"/>
      <c r="B27" s="29">
        <v>1.2</v>
      </c>
      <c r="C27" s="168"/>
      <c r="D27" s="162"/>
      <c r="E27" s="30">
        <v>0.129</v>
      </c>
      <c r="F27" s="170"/>
      <c r="G27" s="164"/>
      <c r="H27" s="165"/>
      <c r="I27" s="167"/>
      <c r="J27" s="29">
        <v>4.2</v>
      </c>
      <c r="K27" s="168"/>
      <c r="L27" s="162"/>
      <c r="M27" s="31">
        <v>9.2999999999999999E-2</v>
      </c>
      <c r="N27" s="171"/>
      <c r="O27" s="164"/>
      <c r="P27" s="165"/>
    </row>
    <row r="28" spans="1:16" ht="12.95" customHeight="1" thickBot="1" x14ac:dyDescent="0.3">
      <c r="A28" s="167"/>
      <c r="B28" s="29">
        <v>1.3</v>
      </c>
      <c r="C28" s="168"/>
      <c r="D28" s="162"/>
      <c r="E28" s="31">
        <v>0.115</v>
      </c>
      <c r="F28" s="170"/>
      <c r="G28" s="164"/>
      <c r="H28" s="165"/>
      <c r="I28" s="167"/>
      <c r="J28" s="29">
        <v>5.0999999999999996</v>
      </c>
      <c r="K28" s="168"/>
      <c r="L28" s="162"/>
      <c r="M28" s="31">
        <v>0.11</v>
      </c>
      <c r="N28" s="173">
        <f>SUM(M28:M29)</f>
        <v>0.224</v>
      </c>
      <c r="O28" s="164"/>
      <c r="P28" s="165"/>
    </row>
    <row r="29" spans="1:16" ht="12.95" customHeight="1" thickBot="1" x14ac:dyDescent="0.3">
      <c r="A29" s="167"/>
      <c r="B29" s="29">
        <v>2.1</v>
      </c>
      <c r="C29" s="168"/>
      <c r="D29" s="162"/>
      <c r="E29" s="31">
        <v>0.125</v>
      </c>
      <c r="F29" s="171">
        <f>SUM(E29:E31)</f>
        <v>0.38</v>
      </c>
      <c r="G29" s="164"/>
      <c r="H29" s="165"/>
      <c r="I29" s="167"/>
      <c r="J29" s="29">
        <v>5.2</v>
      </c>
      <c r="K29" s="168"/>
      <c r="L29" s="162"/>
      <c r="M29" s="31">
        <v>0.114</v>
      </c>
      <c r="N29" s="173"/>
      <c r="O29" s="164"/>
      <c r="P29" s="165"/>
    </row>
    <row r="30" spans="1:16" ht="12.95" customHeight="1" thickBot="1" x14ac:dyDescent="0.3">
      <c r="A30" s="167"/>
      <c r="B30" s="29">
        <v>2.2000000000000002</v>
      </c>
      <c r="C30" s="168"/>
      <c r="D30" s="162"/>
      <c r="E30" s="31">
        <v>0.12</v>
      </c>
      <c r="F30" s="171"/>
      <c r="G30" s="164"/>
      <c r="H30" s="165"/>
      <c r="I30" s="167"/>
      <c r="J30" s="29">
        <v>6.1</v>
      </c>
      <c r="K30" s="168"/>
      <c r="L30" s="162"/>
      <c r="M30" s="31">
        <v>9.8000000000000004E-2</v>
      </c>
      <c r="N30" s="166">
        <f>SUM(M30:M31)</f>
        <v>0.216</v>
      </c>
      <c r="O30" s="164"/>
      <c r="P30" s="165"/>
    </row>
    <row r="31" spans="1:16" ht="12.95" customHeight="1" thickBot="1" x14ac:dyDescent="0.3">
      <c r="A31" s="167"/>
      <c r="B31" s="29">
        <v>2.2999999999999998</v>
      </c>
      <c r="C31" s="168"/>
      <c r="D31" s="162"/>
      <c r="E31" s="31">
        <v>0.13500000000000001</v>
      </c>
      <c r="F31" s="171"/>
      <c r="G31" s="164"/>
      <c r="H31" s="165"/>
      <c r="I31" s="167"/>
      <c r="J31" s="177">
        <v>6.2</v>
      </c>
      <c r="K31" s="168"/>
      <c r="L31" s="162"/>
      <c r="M31" s="166">
        <v>0.11799999999999999</v>
      </c>
      <c r="N31" s="166"/>
      <c r="O31" s="164"/>
      <c r="P31" s="165"/>
    </row>
    <row r="32" spans="1:16" ht="12.95" customHeight="1" thickBot="1" x14ac:dyDescent="0.3">
      <c r="A32" s="167"/>
      <c r="B32" s="29">
        <v>3.1</v>
      </c>
      <c r="C32" s="168"/>
      <c r="D32" s="162"/>
      <c r="E32" s="31">
        <v>0.10199999999999999</v>
      </c>
      <c r="F32" s="166">
        <f>SUM(E32:E34)</f>
        <v>0.30199999999999999</v>
      </c>
      <c r="G32" s="164"/>
      <c r="H32" s="165"/>
      <c r="I32" s="167"/>
      <c r="J32" s="177"/>
      <c r="K32" s="168"/>
      <c r="L32" s="162"/>
      <c r="M32" s="166"/>
      <c r="N32" s="166"/>
      <c r="O32" s="164"/>
      <c r="P32" s="165"/>
    </row>
    <row r="33" spans="1:16" ht="12.95" customHeight="1" thickBot="1" x14ac:dyDescent="0.3">
      <c r="A33" s="167"/>
      <c r="B33" s="29">
        <v>3.2</v>
      </c>
      <c r="C33" s="168"/>
      <c r="D33" s="162"/>
      <c r="E33" s="33">
        <v>9.7000000000000003E-2</v>
      </c>
      <c r="F33" s="166"/>
      <c r="G33" s="164"/>
      <c r="H33" s="165"/>
      <c r="I33" s="167"/>
      <c r="J33" s="177"/>
      <c r="K33" s="168"/>
      <c r="L33" s="162"/>
      <c r="M33" s="166"/>
      <c r="N33" s="166"/>
      <c r="O33" s="164"/>
      <c r="P33" s="165"/>
    </row>
    <row r="34" spans="1:16" ht="12.95" customHeight="1" thickBot="1" x14ac:dyDescent="0.3">
      <c r="A34" s="167"/>
      <c r="B34" s="32">
        <v>3.3</v>
      </c>
      <c r="C34" s="168"/>
      <c r="D34" s="162"/>
      <c r="E34" s="33">
        <v>0.10299999999999999</v>
      </c>
      <c r="F34" s="166"/>
      <c r="G34" s="164"/>
      <c r="H34" s="165"/>
      <c r="I34" s="167"/>
      <c r="J34" s="177"/>
      <c r="K34" s="168"/>
      <c r="L34" s="162"/>
      <c r="M34" s="166"/>
      <c r="N34" s="166"/>
      <c r="O34" s="164"/>
      <c r="P34" s="165"/>
    </row>
    <row r="35" spans="1:16" ht="12.95" customHeight="1" thickBot="1" x14ac:dyDescent="0.3">
      <c r="A35" s="167"/>
      <c r="B35" s="34">
        <v>4.0999999999999996</v>
      </c>
      <c r="C35" s="168"/>
      <c r="D35" s="162" t="s">
        <v>9</v>
      </c>
      <c r="E35" s="35">
        <v>0.26500000000000001</v>
      </c>
      <c r="F35" s="171">
        <f>SUM(E35:E36)</f>
        <v>0.47</v>
      </c>
      <c r="G35" s="172">
        <f>AVERAGE(F35:F40)</f>
        <v>0.45233333333333331</v>
      </c>
      <c r="H35" s="165">
        <f>STDEVA(F35:F40)</f>
        <v>3.2347076117221644E-2</v>
      </c>
      <c r="I35" s="167" t="s">
        <v>15</v>
      </c>
      <c r="J35" s="39">
        <v>1</v>
      </c>
      <c r="K35" s="168" t="s">
        <v>9</v>
      </c>
      <c r="L35" s="162" t="s">
        <v>8</v>
      </c>
      <c r="M35" s="49">
        <v>0.20699999999999999</v>
      </c>
      <c r="N35" s="163">
        <f>AVERAGE(M35:M37)</f>
        <v>0.21799999999999997</v>
      </c>
      <c r="O35" s="164">
        <f>SUM(N35:N37)</f>
        <v>0.21799999999999997</v>
      </c>
      <c r="P35" s="165">
        <f>STDEVA(M35:M37)</f>
        <v>2.8160255680657977E-2</v>
      </c>
    </row>
    <row r="36" spans="1:16" ht="12.95" customHeight="1" thickBot="1" x14ac:dyDescent="0.3">
      <c r="A36" s="167"/>
      <c r="B36" s="29">
        <v>4.2</v>
      </c>
      <c r="C36" s="168"/>
      <c r="D36" s="162"/>
      <c r="E36" s="31">
        <v>0.20499999999999999</v>
      </c>
      <c r="F36" s="171"/>
      <c r="G36" s="172"/>
      <c r="H36" s="165"/>
      <c r="I36" s="167"/>
      <c r="J36" s="39">
        <v>2</v>
      </c>
      <c r="K36" s="168"/>
      <c r="L36" s="162"/>
      <c r="M36" s="40">
        <v>0.25</v>
      </c>
      <c r="N36" s="163"/>
      <c r="O36" s="164"/>
      <c r="P36" s="165"/>
    </row>
    <row r="37" spans="1:16" ht="12.95" customHeight="1" thickBot="1" x14ac:dyDescent="0.3">
      <c r="A37" s="167"/>
      <c r="B37" s="29">
        <v>5.0999999999999996</v>
      </c>
      <c r="C37" s="168"/>
      <c r="D37" s="162"/>
      <c r="E37" s="31">
        <v>0.29699999999999999</v>
      </c>
      <c r="F37" s="173">
        <f>SUM(E37:E38)</f>
        <v>0.47199999999999998</v>
      </c>
      <c r="G37" s="172"/>
      <c r="H37" s="165"/>
      <c r="I37" s="167"/>
      <c r="J37" s="39">
        <v>3</v>
      </c>
      <c r="K37" s="168"/>
      <c r="L37" s="162"/>
      <c r="M37" s="41">
        <v>0.19700000000000001</v>
      </c>
      <c r="N37" s="163"/>
      <c r="O37" s="164"/>
      <c r="P37" s="165"/>
    </row>
    <row r="38" spans="1:16" ht="12.95" customHeight="1" thickBot="1" x14ac:dyDescent="0.3">
      <c r="A38" s="167"/>
      <c r="B38" s="29">
        <v>5.2</v>
      </c>
      <c r="C38" s="168"/>
      <c r="D38" s="162"/>
      <c r="E38" s="31">
        <v>0.17499999999999999</v>
      </c>
      <c r="F38" s="173"/>
      <c r="G38" s="172"/>
      <c r="H38" s="165"/>
      <c r="I38" s="167"/>
      <c r="J38" s="39">
        <v>4</v>
      </c>
      <c r="K38" s="168"/>
      <c r="L38" s="182" t="s">
        <v>9</v>
      </c>
      <c r="M38" s="42">
        <v>0.151</v>
      </c>
      <c r="N38" s="163">
        <f>AVERAGE(M38:M40)</f>
        <v>0.16433333333333336</v>
      </c>
      <c r="O38" s="164">
        <f>SUM(N38:N40)</f>
        <v>0.16433333333333336</v>
      </c>
      <c r="P38" s="165">
        <f>STDEVA(M38:M40)</f>
        <v>3.3080709383768198E-2</v>
      </c>
    </row>
    <row r="39" spans="1:16" ht="12.95" customHeight="1" thickBot="1" x14ac:dyDescent="0.3">
      <c r="A39" s="167"/>
      <c r="B39" s="29">
        <v>6.1</v>
      </c>
      <c r="C39" s="168"/>
      <c r="D39" s="162"/>
      <c r="E39" s="31">
        <v>0.214</v>
      </c>
      <c r="F39" s="166">
        <f>SUM(E39:E40)</f>
        <v>0.41500000000000004</v>
      </c>
      <c r="G39" s="172"/>
      <c r="H39" s="165"/>
      <c r="I39" s="167"/>
      <c r="J39" s="39">
        <v>5</v>
      </c>
      <c r="K39" s="168"/>
      <c r="L39" s="182"/>
      <c r="M39" s="43">
        <v>0.14000000000000001</v>
      </c>
      <c r="N39" s="163"/>
      <c r="O39" s="164"/>
      <c r="P39" s="165"/>
    </row>
    <row r="40" spans="1:16" ht="12.95" customHeight="1" thickBot="1" x14ac:dyDescent="0.3">
      <c r="A40" s="167"/>
      <c r="B40" s="32">
        <v>6.2</v>
      </c>
      <c r="C40" s="168"/>
      <c r="D40" s="162"/>
      <c r="E40" s="36">
        <v>0.20100000000000001</v>
      </c>
      <c r="F40" s="166"/>
      <c r="G40" s="172"/>
      <c r="H40" s="165"/>
      <c r="I40" s="167"/>
      <c r="J40" s="44">
        <v>6</v>
      </c>
      <c r="K40" s="168"/>
      <c r="L40" s="182"/>
      <c r="M40" s="50">
        <v>0.20200000000000001</v>
      </c>
      <c r="N40" s="163"/>
      <c r="O40" s="164"/>
      <c r="P40" s="165"/>
    </row>
  </sheetData>
  <mergeCells count="98">
    <mergeCell ref="O2:O7"/>
    <mergeCell ref="P2:P7"/>
    <mergeCell ref="M10:M11"/>
    <mergeCell ref="N10:N11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L2:L7"/>
    <mergeCell ref="N2:N3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N4:N5"/>
    <mergeCell ref="N6:N7"/>
    <mergeCell ref="J10:J11"/>
    <mergeCell ref="H14:H19"/>
    <mergeCell ref="F16:F17"/>
    <mergeCell ref="F18:F19"/>
    <mergeCell ref="D20:D25"/>
    <mergeCell ref="F20:F21"/>
    <mergeCell ref="I14:I19"/>
    <mergeCell ref="A14:A25"/>
    <mergeCell ref="C14:C25"/>
    <mergeCell ref="D14:D19"/>
    <mergeCell ref="F14:F15"/>
    <mergeCell ref="G14:G19"/>
    <mergeCell ref="P14:P16"/>
    <mergeCell ref="L17:L19"/>
    <mergeCell ref="N17:N19"/>
    <mergeCell ref="O17:O19"/>
    <mergeCell ref="P17:P19"/>
    <mergeCell ref="K14:K19"/>
    <mergeCell ref="L14:L16"/>
    <mergeCell ref="N14:N16"/>
    <mergeCell ref="O14:O16"/>
    <mergeCell ref="O20:O25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A26:A40"/>
    <mergeCell ref="C26:C40"/>
    <mergeCell ref="D26:D34"/>
    <mergeCell ref="F26:F28"/>
    <mergeCell ref="G26:G34"/>
    <mergeCell ref="D35:D40"/>
    <mergeCell ref="F35:F36"/>
    <mergeCell ref="G35:G40"/>
    <mergeCell ref="F37:F38"/>
    <mergeCell ref="F29:F31"/>
    <mergeCell ref="N30:N34"/>
    <mergeCell ref="J31:J34"/>
    <mergeCell ref="M31:M34"/>
    <mergeCell ref="F32:F34"/>
    <mergeCell ref="H26:H34"/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  <mergeCell ref="H35:H40"/>
  </mergeCell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1"/>
  <sheetViews>
    <sheetView workbookViewId="0">
      <selection activeCell="Z56" sqref="Z56:Z61"/>
    </sheetView>
  </sheetViews>
  <sheetFormatPr defaultRowHeight="15" x14ac:dyDescent="0.25"/>
  <cols>
    <col min="1" max="1" width="4" customWidth="1"/>
    <col min="2" max="2" width="4.140625" customWidth="1"/>
    <col min="3" max="3" width="4" customWidth="1"/>
    <col min="4" max="4" width="4.140625" customWidth="1"/>
    <col min="5" max="5" width="7.28515625" customWidth="1"/>
    <col min="6" max="7" width="6.140625" customWidth="1"/>
    <col min="8" max="8" width="6" customWidth="1"/>
    <col min="9" max="9" width="4.42578125" customWidth="1"/>
    <col min="10" max="10" width="5.140625" customWidth="1"/>
    <col min="11" max="11" width="4.85546875" customWidth="1"/>
    <col min="12" max="12" width="4.7109375" customWidth="1"/>
    <col min="13" max="13" width="9.140625" customWidth="1"/>
    <col min="14" max="14" width="6.7109375" customWidth="1"/>
    <col min="15" max="15" width="5.42578125" customWidth="1"/>
    <col min="16" max="16" width="6.5703125" customWidth="1"/>
    <col min="17" max="17" width="9.140625" customWidth="1"/>
  </cols>
  <sheetData>
    <row r="1" spans="1:16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2" customHeight="1" thickBot="1" x14ac:dyDescent="0.3">
      <c r="A2" s="154" t="s">
        <v>6</v>
      </c>
      <c r="B2" s="14">
        <v>1.1000000000000001</v>
      </c>
      <c r="C2" s="155" t="s">
        <v>7</v>
      </c>
      <c r="D2" s="189" t="s">
        <v>16</v>
      </c>
      <c r="E2" s="7">
        <v>0.10100000000000001</v>
      </c>
      <c r="F2" s="202">
        <f>SUM(E2:E3)</f>
        <v>0.21400000000000002</v>
      </c>
      <c r="G2" s="133">
        <f>AVERAGE(F2:F7)</f>
        <v>0.22066666666666668</v>
      </c>
      <c r="H2" s="134">
        <f>STDEVA(F2:F7)</f>
        <v>2.2744962812309297E-2</v>
      </c>
      <c r="I2" s="154" t="s">
        <v>12</v>
      </c>
      <c r="J2" s="14">
        <v>1.1000000000000001</v>
      </c>
      <c r="K2" s="155" t="s">
        <v>16</v>
      </c>
      <c r="L2" s="189" t="s">
        <v>16</v>
      </c>
      <c r="M2" s="7">
        <v>0.123</v>
      </c>
      <c r="N2" s="202">
        <f>SUM(M2:M3)</f>
        <v>0.23599999999999999</v>
      </c>
      <c r="O2" s="133">
        <f>AVERAGE(N2:N7)</f>
        <v>0.2233333333333333</v>
      </c>
      <c r="P2" s="134">
        <f>STDEVA(N2:N7)</f>
        <v>1.9399312702601933E-2</v>
      </c>
    </row>
    <row r="3" spans="1:16" ht="12" customHeight="1" thickBot="1" x14ac:dyDescent="0.3">
      <c r="A3" s="154"/>
      <c r="B3" s="16">
        <v>1.2</v>
      </c>
      <c r="C3" s="155"/>
      <c r="D3" s="189"/>
      <c r="E3" s="9">
        <v>0.113</v>
      </c>
      <c r="F3" s="202"/>
      <c r="G3" s="133"/>
      <c r="H3" s="134"/>
      <c r="I3" s="154"/>
      <c r="J3" s="16">
        <v>1.2</v>
      </c>
      <c r="K3" s="155"/>
      <c r="L3" s="189"/>
      <c r="M3" s="9">
        <v>0.113</v>
      </c>
      <c r="N3" s="202"/>
      <c r="O3" s="133"/>
      <c r="P3" s="134"/>
    </row>
    <row r="4" spans="1:16" ht="12" customHeight="1" thickBot="1" x14ac:dyDescent="0.3">
      <c r="A4" s="154"/>
      <c r="B4" s="16">
        <v>2.1</v>
      </c>
      <c r="C4" s="155"/>
      <c r="D4" s="189"/>
      <c r="E4" s="9">
        <v>0.126</v>
      </c>
      <c r="F4" s="199">
        <f>SUM(E4:E5)</f>
        <v>0.246</v>
      </c>
      <c r="G4" s="133"/>
      <c r="H4" s="134"/>
      <c r="I4" s="154"/>
      <c r="J4" s="16">
        <v>2.1</v>
      </c>
      <c r="K4" s="155"/>
      <c r="L4" s="189"/>
      <c r="M4" s="9">
        <v>0.121</v>
      </c>
      <c r="N4" s="199">
        <f>SUM(M4:M5)</f>
        <v>0.23299999999999998</v>
      </c>
      <c r="O4" s="133"/>
      <c r="P4" s="134"/>
    </row>
    <row r="5" spans="1:16" ht="12" customHeight="1" thickBot="1" x14ac:dyDescent="0.3">
      <c r="A5" s="154"/>
      <c r="B5" s="16">
        <v>2.2000000000000002</v>
      </c>
      <c r="C5" s="155"/>
      <c r="D5" s="189"/>
      <c r="E5" s="9">
        <v>0.12</v>
      </c>
      <c r="F5" s="199"/>
      <c r="G5" s="133"/>
      <c r="H5" s="134"/>
      <c r="I5" s="154"/>
      <c r="J5" s="16">
        <v>2.2000000000000002</v>
      </c>
      <c r="K5" s="155"/>
      <c r="L5" s="189"/>
      <c r="M5" s="9">
        <v>0.112</v>
      </c>
      <c r="N5" s="199"/>
      <c r="O5" s="133"/>
      <c r="P5" s="134"/>
    </row>
    <row r="6" spans="1:16" ht="12" customHeight="1" thickBot="1" x14ac:dyDescent="0.3">
      <c r="A6" s="154"/>
      <c r="B6" s="16">
        <v>3.1</v>
      </c>
      <c r="C6" s="155"/>
      <c r="D6" s="189"/>
      <c r="E6" s="9">
        <v>0.1</v>
      </c>
      <c r="F6" s="197">
        <f>SUM(E6:E7)</f>
        <v>0.20200000000000001</v>
      </c>
      <c r="G6" s="133"/>
      <c r="H6" s="134"/>
      <c r="I6" s="154"/>
      <c r="J6" s="16">
        <v>3.1</v>
      </c>
      <c r="K6" s="155"/>
      <c r="L6" s="189"/>
      <c r="M6" s="9">
        <v>0.1</v>
      </c>
      <c r="N6" s="197">
        <f>SUM(M6:M7)</f>
        <v>0.20100000000000001</v>
      </c>
      <c r="O6" s="133"/>
      <c r="P6" s="134"/>
    </row>
    <row r="7" spans="1:16" ht="12" customHeight="1" thickBot="1" x14ac:dyDescent="0.3">
      <c r="A7" s="154"/>
      <c r="B7" s="21">
        <v>3.2</v>
      </c>
      <c r="C7" s="155"/>
      <c r="D7" s="189"/>
      <c r="E7" s="11">
        <v>0.10199999999999999</v>
      </c>
      <c r="F7" s="197"/>
      <c r="G7" s="133"/>
      <c r="H7" s="134"/>
      <c r="I7" s="154"/>
      <c r="J7" s="21">
        <v>3.2</v>
      </c>
      <c r="K7" s="155"/>
      <c r="L7" s="189"/>
      <c r="M7" s="11">
        <v>0.10100000000000001</v>
      </c>
      <c r="N7" s="197"/>
      <c r="O7" s="133"/>
      <c r="P7" s="134"/>
    </row>
    <row r="8" spans="1:16" ht="12" customHeight="1" thickBot="1" x14ac:dyDescent="0.3">
      <c r="A8" s="154"/>
      <c r="B8" s="14">
        <v>4.0999999999999996</v>
      </c>
      <c r="C8" s="155"/>
      <c r="D8" s="189" t="s">
        <v>9</v>
      </c>
      <c r="E8" s="7">
        <v>0.32</v>
      </c>
      <c r="F8" s="196">
        <f>SUM(E8:E9)</f>
        <v>0.32</v>
      </c>
      <c r="G8" s="160">
        <f>AVERAGE(F8:F13)</f>
        <v>0.34400000000000003</v>
      </c>
      <c r="H8" s="134">
        <f>STDEVA(F8:F13)</f>
        <v>2.0999999999999987E-2</v>
      </c>
      <c r="I8" s="154"/>
      <c r="J8" s="159">
        <v>4</v>
      </c>
      <c r="K8" s="155"/>
      <c r="L8" s="189" t="s">
        <v>9</v>
      </c>
      <c r="M8" s="203">
        <v>0.16600000000000001</v>
      </c>
      <c r="N8" s="196">
        <f>SUM(M8:M9)</f>
        <v>0.16600000000000001</v>
      </c>
      <c r="O8" s="133">
        <f>AVERAGE(N8:N13)</f>
        <v>0.17100000000000001</v>
      </c>
      <c r="P8" s="134">
        <f>STDEVA(N8:N13)</f>
        <v>1.2288205727444502E-2</v>
      </c>
    </row>
    <row r="9" spans="1:16" ht="12" customHeight="1" thickBot="1" x14ac:dyDescent="0.3">
      <c r="A9" s="154"/>
      <c r="B9" s="16">
        <v>4.2</v>
      </c>
      <c r="C9" s="155"/>
      <c r="D9" s="189"/>
      <c r="E9" s="9"/>
      <c r="F9" s="196"/>
      <c r="G9" s="160"/>
      <c r="H9" s="134"/>
      <c r="I9" s="154"/>
      <c r="J9" s="159"/>
      <c r="K9" s="155"/>
      <c r="L9" s="189"/>
      <c r="M9" s="203"/>
      <c r="N9" s="196"/>
      <c r="O9" s="133"/>
      <c r="P9" s="134"/>
    </row>
    <row r="10" spans="1:16" ht="12" customHeight="1" thickBot="1" x14ac:dyDescent="0.3">
      <c r="A10" s="154"/>
      <c r="B10" s="16">
        <v>5.0999999999999996</v>
      </c>
      <c r="C10" s="155"/>
      <c r="D10" s="189"/>
      <c r="E10" s="9">
        <v>0.152</v>
      </c>
      <c r="F10" s="199">
        <f>SUM(E10:E11)</f>
        <v>0.35899999999999999</v>
      </c>
      <c r="G10" s="160"/>
      <c r="H10" s="134"/>
      <c r="I10" s="154"/>
      <c r="J10" s="159">
        <v>5</v>
      </c>
      <c r="K10" s="155"/>
      <c r="L10" s="189"/>
      <c r="M10" s="203">
        <v>0.16200000000000001</v>
      </c>
      <c r="N10" s="199">
        <f>SUM(M10:M11)</f>
        <v>0.16200000000000001</v>
      </c>
      <c r="O10" s="133"/>
      <c r="P10" s="134"/>
    </row>
    <row r="11" spans="1:16" ht="12" customHeight="1" thickBot="1" x14ac:dyDescent="0.3">
      <c r="A11" s="154"/>
      <c r="B11" s="16">
        <v>5.2</v>
      </c>
      <c r="C11" s="155"/>
      <c r="D11" s="189"/>
      <c r="E11" s="9">
        <v>0.20699999999999999</v>
      </c>
      <c r="F11" s="199"/>
      <c r="G11" s="160"/>
      <c r="H11" s="134"/>
      <c r="I11" s="154"/>
      <c r="J11" s="159"/>
      <c r="K11" s="155"/>
      <c r="L11" s="189"/>
      <c r="M11" s="203"/>
      <c r="N11" s="199"/>
      <c r="O11" s="133"/>
      <c r="P11" s="134"/>
    </row>
    <row r="12" spans="1:16" ht="12" customHeight="1" thickBot="1" x14ac:dyDescent="0.3">
      <c r="A12" s="154"/>
      <c r="B12" s="16">
        <v>6.1</v>
      </c>
      <c r="C12" s="155"/>
      <c r="D12" s="189"/>
      <c r="E12" s="9">
        <v>0.18</v>
      </c>
      <c r="F12" s="197">
        <f>SUM(E12:E13)</f>
        <v>0.35299999999999998</v>
      </c>
      <c r="G12" s="160"/>
      <c r="H12" s="134"/>
      <c r="I12" s="154"/>
      <c r="J12" s="159">
        <v>6</v>
      </c>
      <c r="K12" s="155"/>
      <c r="L12" s="189"/>
      <c r="M12" s="203">
        <v>0.185</v>
      </c>
      <c r="N12" s="197">
        <f>SUM(M12:M13)</f>
        <v>0.185</v>
      </c>
      <c r="O12" s="133"/>
      <c r="P12" s="134"/>
    </row>
    <row r="13" spans="1:16" ht="12" customHeight="1" thickBot="1" x14ac:dyDescent="0.3">
      <c r="A13" s="154"/>
      <c r="B13" s="21">
        <v>6.2</v>
      </c>
      <c r="C13" s="155"/>
      <c r="D13" s="189"/>
      <c r="E13" s="12">
        <v>0.17299999999999999</v>
      </c>
      <c r="F13" s="197"/>
      <c r="G13" s="160"/>
      <c r="H13" s="134"/>
      <c r="I13" s="154"/>
      <c r="J13" s="159"/>
      <c r="K13" s="155"/>
      <c r="L13" s="189"/>
      <c r="M13" s="203"/>
      <c r="N13" s="197"/>
      <c r="O13" s="133"/>
      <c r="P13" s="134"/>
    </row>
    <row r="14" spans="1:16" ht="12" customHeight="1" thickBot="1" x14ac:dyDescent="0.3">
      <c r="A14" s="154" t="s">
        <v>10</v>
      </c>
      <c r="B14" s="14">
        <v>1.1000000000000001</v>
      </c>
      <c r="C14" s="155" t="s">
        <v>7</v>
      </c>
      <c r="D14" s="189" t="s">
        <v>16</v>
      </c>
      <c r="E14" s="7">
        <v>9.5000000000000001E-2</v>
      </c>
      <c r="F14" s="202">
        <f>SUM(E14:E15)</f>
        <v>0.20200000000000001</v>
      </c>
      <c r="G14" s="133">
        <f>AVERAGE(F14:F19)</f>
        <v>0.23533333333333337</v>
      </c>
      <c r="H14" s="134">
        <f>STDEVA(F14:F19)</f>
        <v>3.6909799963333947E-2</v>
      </c>
      <c r="I14" s="154" t="s">
        <v>13</v>
      </c>
      <c r="J14" s="14">
        <v>1</v>
      </c>
      <c r="K14" s="155" t="s">
        <v>9</v>
      </c>
      <c r="L14" s="189" t="s">
        <v>16</v>
      </c>
      <c r="M14" s="15">
        <v>0.10100000000000001</v>
      </c>
      <c r="N14" s="145">
        <f>AVERAGE(M14:M16)</f>
        <v>0.11333333333333334</v>
      </c>
      <c r="O14" s="157">
        <f>SUM(N14:N16)</f>
        <v>0.11333333333333334</v>
      </c>
      <c r="P14" s="134">
        <f>STDEVA(M14:M16)</f>
        <v>1.2503332889007365E-2</v>
      </c>
    </row>
    <row r="15" spans="1:16" ht="12" customHeight="1" thickBot="1" x14ac:dyDescent="0.3">
      <c r="A15" s="154"/>
      <c r="B15" s="16">
        <v>1.2</v>
      </c>
      <c r="C15" s="155"/>
      <c r="D15" s="189"/>
      <c r="E15" s="9">
        <v>0.107</v>
      </c>
      <c r="F15" s="202"/>
      <c r="G15" s="133"/>
      <c r="H15" s="134"/>
      <c r="I15" s="154"/>
      <c r="J15" s="16">
        <v>2</v>
      </c>
      <c r="K15" s="155"/>
      <c r="L15" s="189"/>
      <c r="M15" s="17">
        <v>0.113</v>
      </c>
      <c r="N15" s="145"/>
      <c r="O15" s="157"/>
      <c r="P15" s="134"/>
    </row>
    <row r="16" spans="1:16" ht="12" customHeight="1" thickBot="1" x14ac:dyDescent="0.3">
      <c r="A16" s="154"/>
      <c r="B16" s="16">
        <v>2.1</v>
      </c>
      <c r="C16" s="155"/>
      <c r="D16" s="189"/>
      <c r="E16" s="9">
        <v>0.115</v>
      </c>
      <c r="F16" s="199">
        <f>SUM(E16:E17)</f>
        <v>0.22900000000000001</v>
      </c>
      <c r="G16" s="133"/>
      <c r="H16" s="134"/>
      <c r="I16" s="154"/>
      <c r="J16" s="16">
        <v>3</v>
      </c>
      <c r="K16" s="155"/>
      <c r="L16" s="189"/>
      <c r="M16" s="18">
        <v>0.126</v>
      </c>
      <c r="N16" s="145"/>
      <c r="O16" s="157"/>
      <c r="P16" s="134"/>
    </row>
    <row r="17" spans="1:21" ht="12" customHeight="1" thickBot="1" x14ac:dyDescent="0.3">
      <c r="A17" s="154"/>
      <c r="B17" s="16">
        <v>2.2000000000000002</v>
      </c>
      <c r="C17" s="155"/>
      <c r="D17" s="189"/>
      <c r="E17" s="9">
        <v>0.114</v>
      </c>
      <c r="F17" s="199"/>
      <c r="G17" s="133"/>
      <c r="H17" s="134"/>
      <c r="I17" s="154"/>
      <c r="J17" s="16">
        <v>4</v>
      </c>
      <c r="K17" s="155"/>
      <c r="L17" s="201" t="s">
        <v>17</v>
      </c>
      <c r="M17" s="19">
        <v>0.12</v>
      </c>
      <c r="N17" s="145">
        <f>AVERAGE(M17:M19)</f>
        <v>0.10733333333333334</v>
      </c>
      <c r="O17" s="157">
        <f>SUM(N17:N19)</f>
        <v>0.10733333333333334</v>
      </c>
      <c r="P17" s="134">
        <f>STDEVA(M17:M19)</f>
        <v>1.1015141094572202E-2</v>
      </c>
    </row>
    <row r="18" spans="1:21" ht="12" customHeight="1" thickBot="1" x14ac:dyDescent="0.3">
      <c r="A18" s="154"/>
      <c r="B18" s="16">
        <v>3.1</v>
      </c>
      <c r="C18" s="155"/>
      <c r="D18" s="189"/>
      <c r="E18" s="9">
        <v>0.13800000000000001</v>
      </c>
      <c r="F18" s="197">
        <f>SUM(E18:E19)</f>
        <v>0.27500000000000002</v>
      </c>
      <c r="G18" s="133"/>
      <c r="H18" s="134"/>
      <c r="I18" s="154"/>
      <c r="J18" s="16">
        <v>5</v>
      </c>
      <c r="K18" s="155"/>
      <c r="L18" s="201"/>
      <c r="M18" s="20">
        <v>0.1</v>
      </c>
      <c r="N18" s="145"/>
      <c r="O18" s="157"/>
      <c r="P18" s="134"/>
    </row>
    <row r="19" spans="1:21" ht="12" customHeight="1" thickBot="1" x14ac:dyDescent="0.3">
      <c r="A19" s="154"/>
      <c r="B19" s="21">
        <v>3.2</v>
      </c>
      <c r="C19" s="155"/>
      <c r="D19" s="189"/>
      <c r="E19" s="11">
        <v>0.13700000000000001</v>
      </c>
      <c r="F19" s="197"/>
      <c r="G19" s="133"/>
      <c r="H19" s="134"/>
      <c r="I19" s="154"/>
      <c r="J19" s="16">
        <v>6</v>
      </c>
      <c r="K19" s="155"/>
      <c r="L19" s="201"/>
      <c r="M19" s="22">
        <v>0.10199999999999999</v>
      </c>
      <c r="N19" s="145"/>
      <c r="O19" s="157"/>
      <c r="P19" s="134"/>
    </row>
    <row r="20" spans="1:21" ht="12" customHeight="1" thickBot="1" x14ac:dyDescent="0.3">
      <c r="A20" s="154"/>
      <c r="B20" s="14">
        <v>4.0999999999999996</v>
      </c>
      <c r="C20" s="155"/>
      <c r="D20" s="189" t="s">
        <v>9</v>
      </c>
      <c r="E20" s="7">
        <v>0.16500000000000001</v>
      </c>
      <c r="F20" s="196">
        <f>SUM(E20:E21)</f>
        <v>0.33</v>
      </c>
      <c r="G20" s="160">
        <f>AVERAGE(F20:F25)</f>
        <v>0.35766666666666663</v>
      </c>
      <c r="H20" s="134">
        <f>STDEVA(F20:F25)</f>
        <v>3.1533051443419391E-2</v>
      </c>
      <c r="I20" s="154" t="s">
        <v>14</v>
      </c>
      <c r="J20" s="14">
        <v>1.1000000000000001</v>
      </c>
      <c r="K20" s="155" t="s">
        <v>16</v>
      </c>
      <c r="L20" s="189" t="s">
        <v>16</v>
      </c>
      <c r="M20" s="23">
        <v>5.8999999999999997E-2</v>
      </c>
      <c r="N20" s="200">
        <f>SUM(M20:M21)</f>
        <v>0.12</v>
      </c>
      <c r="O20" s="157">
        <f>AVERAGE(N20:N25)</f>
        <v>0.12633333333333333</v>
      </c>
      <c r="P20" s="134">
        <f>STDEVA(N20:N25)</f>
        <v>1.4571661996262942E-2</v>
      </c>
    </row>
    <row r="21" spans="1:21" ht="12" customHeight="1" thickBot="1" x14ac:dyDescent="0.3">
      <c r="A21" s="154"/>
      <c r="B21" s="16">
        <v>4.2</v>
      </c>
      <c r="C21" s="155"/>
      <c r="D21" s="189"/>
      <c r="E21" s="9">
        <v>0.16500000000000001</v>
      </c>
      <c r="F21" s="196"/>
      <c r="G21" s="160"/>
      <c r="H21" s="134"/>
      <c r="I21" s="154"/>
      <c r="J21" s="16">
        <v>1.2</v>
      </c>
      <c r="K21" s="155"/>
      <c r="L21" s="189"/>
      <c r="M21" s="20">
        <v>6.0999999999999999E-2</v>
      </c>
      <c r="N21" s="200"/>
      <c r="O21" s="157"/>
      <c r="P21" s="134"/>
    </row>
    <row r="22" spans="1:21" ht="12" customHeight="1" thickBot="1" x14ac:dyDescent="0.3">
      <c r="A22" s="154"/>
      <c r="B22" s="16">
        <v>5.0999999999999996</v>
      </c>
      <c r="C22" s="155"/>
      <c r="D22" s="189"/>
      <c r="E22" s="9">
        <v>0.192</v>
      </c>
      <c r="F22" s="199">
        <f>SUM(E22:E23)</f>
        <v>0.39200000000000002</v>
      </c>
      <c r="G22" s="160"/>
      <c r="H22" s="134"/>
      <c r="I22" s="154"/>
      <c r="J22" s="16">
        <v>2.1</v>
      </c>
      <c r="K22" s="155"/>
      <c r="L22" s="189"/>
      <c r="M22" s="20">
        <v>5.2999999999999999E-2</v>
      </c>
      <c r="N22" s="190">
        <f>SUM(M22:M23)</f>
        <v>0.11599999999999999</v>
      </c>
      <c r="O22" s="157"/>
      <c r="P22" s="134"/>
    </row>
    <row r="23" spans="1:21" ht="12" customHeight="1" thickBot="1" x14ac:dyDescent="0.3">
      <c r="A23" s="154"/>
      <c r="B23" s="16">
        <v>5.2</v>
      </c>
      <c r="C23" s="155"/>
      <c r="D23" s="189"/>
      <c r="E23" s="9">
        <v>0.2</v>
      </c>
      <c r="F23" s="199"/>
      <c r="G23" s="160"/>
      <c r="H23" s="134"/>
      <c r="I23" s="154"/>
      <c r="J23" s="16">
        <v>2.2000000000000002</v>
      </c>
      <c r="K23" s="155"/>
      <c r="L23" s="189"/>
      <c r="M23" s="20">
        <v>6.3E-2</v>
      </c>
      <c r="N23" s="190"/>
      <c r="O23" s="157"/>
      <c r="P23" s="134"/>
    </row>
    <row r="24" spans="1:21" ht="12" customHeight="1" thickBot="1" x14ac:dyDescent="0.3">
      <c r="A24" s="154"/>
      <c r="B24" s="16">
        <v>6.1</v>
      </c>
      <c r="C24" s="155"/>
      <c r="D24" s="189"/>
      <c r="E24" s="9">
        <v>0.17499999999999999</v>
      </c>
      <c r="F24" s="197">
        <f>SUM(E24:E25)</f>
        <v>0.35099999999999998</v>
      </c>
      <c r="G24" s="160"/>
      <c r="H24" s="134"/>
      <c r="I24" s="154"/>
      <c r="J24" s="16">
        <v>3.1</v>
      </c>
      <c r="K24" s="155"/>
      <c r="L24" s="189"/>
      <c r="M24" s="20">
        <v>6.3E-2</v>
      </c>
      <c r="N24" s="191">
        <f>SUM(M24:M25)</f>
        <v>0.14300000000000002</v>
      </c>
      <c r="O24" s="157"/>
      <c r="P24" s="134"/>
    </row>
    <row r="25" spans="1:21" ht="12" customHeight="1" thickBot="1" x14ac:dyDescent="0.3">
      <c r="A25" s="154"/>
      <c r="B25" s="21">
        <v>6.2</v>
      </c>
      <c r="C25" s="155"/>
      <c r="D25" s="189"/>
      <c r="E25" s="12">
        <v>0.17599999999999999</v>
      </c>
      <c r="F25" s="197"/>
      <c r="G25" s="160"/>
      <c r="H25" s="134"/>
      <c r="I25" s="154"/>
      <c r="J25" s="21">
        <v>3.2</v>
      </c>
      <c r="K25" s="155"/>
      <c r="L25" s="189"/>
      <c r="M25" s="22">
        <v>0.08</v>
      </c>
      <c r="N25" s="191"/>
      <c r="O25" s="157"/>
      <c r="P25" s="134"/>
    </row>
    <row r="26" spans="1:21" ht="12" customHeight="1" thickBot="1" x14ac:dyDescent="0.3">
      <c r="A26" s="154" t="s">
        <v>11</v>
      </c>
      <c r="B26" s="14">
        <v>1.1000000000000001</v>
      </c>
      <c r="C26" s="155" t="s">
        <v>7</v>
      </c>
      <c r="D26" s="189" t="s">
        <v>16</v>
      </c>
      <c r="E26" s="7">
        <v>0.11600000000000001</v>
      </c>
      <c r="F26" s="198">
        <f>SUM(E26:E28)</f>
        <v>0.36</v>
      </c>
      <c r="G26" s="160">
        <f>AVERAGE(F26:F34)</f>
        <v>0.34733333333333333</v>
      </c>
      <c r="H26" s="134">
        <f>STDEVA(F26:F34)</f>
        <v>4.0513372277969327E-2</v>
      </c>
      <c r="I26" s="154"/>
      <c r="J26" s="14">
        <v>4</v>
      </c>
      <c r="K26" s="155"/>
      <c r="L26" s="201" t="s">
        <v>18</v>
      </c>
      <c r="M26" s="15">
        <v>0.20699999999999999</v>
      </c>
      <c r="N26" s="145">
        <f>AVERAGE(M26:M28)</f>
        <v>0.21799999999999997</v>
      </c>
      <c r="O26" s="133">
        <f>SUM(N26:N28)</f>
        <v>0.21799999999999997</v>
      </c>
      <c r="P26" s="134">
        <f>STDEVA(M26:M28)</f>
        <v>2.8160255680657977E-2</v>
      </c>
    </row>
    <row r="27" spans="1:21" ht="12" customHeight="1" thickBot="1" x14ac:dyDescent="0.3">
      <c r="A27" s="154"/>
      <c r="B27" s="16">
        <v>1.2</v>
      </c>
      <c r="C27" s="155"/>
      <c r="D27" s="189"/>
      <c r="E27" s="13">
        <v>0.129</v>
      </c>
      <c r="F27" s="198"/>
      <c r="G27" s="160"/>
      <c r="H27" s="134"/>
      <c r="I27" s="154"/>
      <c r="J27" s="16">
        <v>5</v>
      </c>
      <c r="K27" s="155"/>
      <c r="L27" s="201"/>
      <c r="M27" s="17">
        <v>0.25</v>
      </c>
      <c r="N27" s="145"/>
      <c r="O27" s="133"/>
      <c r="P27" s="134"/>
    </row>
    <row r="28" spans="1:21" ht="12" customHeight="1" thickBot="1" x14ac:dyDescent="0.3">
      <c r="A28" s="154"/>
      <c r="B28" s="16">
        <v>1.3</v>
      </c>
      <c r="C28" s="155"/>
      <c r="D28" s="189"/>
      <c r="E28" s="9">
        <v>0.115</v>
      </c>
      <c r="F28" s="198"/>
      <c r="G28" s="160"/>
      <c r="H28" s="134"/>
      <c r="I28" s="154"/>
      <c r="J28" s="16">
        <v>6</v>
      </c>
      <c r="K28" s="155"/>
      <c r="L28" s="201"/>
      <c r="M28" s="51">
        <v>0.19700000000000001</v>
      </c>
      <c r="N28" s="145"/>
      <c r="O28" s="133"/>
      <c r="P28" s="134"/>
    </row>
    <row r="29" spans="1:21" ht="12" customHeight="1" thickBot="1" x14ac:dyDescent="0.3">
      <c r="A29" s="154"/>
      <c r="B29" s="16">
        <v>2.1</v>
      </c>
      <c r="C29" s="155"/>
      <c r="D29" s="189"/>
      <c r="E29" s="9">
        <v>0.125</v>
      </c>
      <c r="F29" s="196">
        <f>SUM(E29:E31)</f>
        <v>0.38</v>
      </c>
      <c r="G29" s="160"/>
      <c r="H29" s="134"/>
      <c r="I29" s="154" t="s">
        <v>15</v>
      </c>
      <c r="J29" s="14">
        <v>1.1000000000000001</v>
      </c>
      <c r="K29" s="155" t="s">
        <v>9</v>
      </c>
      <c r="L29" s="189" t="s">
        <v>16</v>
      </c>
      <c r="M29" s="23">
        <v>0.105</v>
      </c>
      <c r="N29" s="192">
        <f>SUM(M29:M30)</f>
        <v>0.19800000000000001</v>
      </c>
      <c r="O29" s="133">
        <f>AVERAGE(N29:N34)</f>
        <v>0.21266666666666667</v>
      </c>
      <c r="P29" s="134">
        <f>STDEVA(N29:N34)</f>
        <v>1.3316656236958782E-2</v>
      </c>
      <c r="R29" s="19">
        <v>0.151</v>
      </c>
      <c r="S29" s="145">
        <f>AVERAGE(R29:R31)</f>
        <v>0.16433333333333336</v>
      </c>
      <c r="T29" s="133">
        <f>SUM(S29:S31)</f>
        <v>0.16433333333333336</v>
      </c>
      <c r="U29" s="134">
        <f>STDEVA(R29:R31)</f>
        <v>3.3080709383768198E-2</v>
      </c>
    </row>
    <row r="30" spans="1:21" ht="12" customHeight="1" thickBot="1" x14ac:dyDescent="0.3">
      <c r="A30" s="154"/>
      <c r="B30" s="16">
        <v>2.2000000000000002</v>
      </c>
      <c r="C30" s="155"/>
      <c r="D30" s="189"/>
      <c r="E30" s="9">
        <v>0.12</v>
      </c>
      <c r="F30" s="196"/>
      <c r="G30" s="160"/>
      <c r="H30" s="134"/>
      <c r="I30" s="154"/>
      <c r="J30" s="16">
        <v>1.2</v>
      </c>
      <c r="K30" s="155"/>
      <c r="L30" s="189"/>
      <c r="M30" s="20">
        <v>9.2999999999999999E-2</v>
      </c>
      <c r="N30" s="192"/>
      <c r="O30" s="133"/>
      <c r="P30" s="134"/>
      <c r="R30" s="20">
        <v>0.14000000000000001</v>
      </c>
      <c r="S30" s="145"/>
      <c r="T30" s="133"/>
      <c r="U30" s="134"/>
    </row>
    <row r="31" spans="1:21" ht="12" customHeight="1" thickBot="1" x14ac:dyDescent="0.3">
      <c r="A31" s="154"/>
      <c r="B31" s="16">
        <v>2.2999999999999998</v>
      </c>
      <c r="C31" s="155"/>
      <c r="D31" s="189"/>
      <c r="E31" s="9">
        <v>0.13500000000000001</v>
      </c>
      <c r="F31" s="196"/>
      <c r="G31" s="160"/>
      <c r="H31" s="134"/>
      <c r="I31" s="154"/>
      <c r="J31" s="16">
        <v>2.1</v>
      </c>
      <c r="K31" s="155"/>
      <c r="L31" s="189"/>
      <c r="M31" s="20">
        <v>0.11</v>
      </c>
      <c r="N31" s="190">
        <f>SUM(M31:M32)</f>
        <v>0.224</v>
      </c>
      <c r="O31" s="133"/>
      <c r="P31" s="134"/>
      <c r="R31" s="24">
        <v>0.20200000000000001</v>
      </c>
      <c r="S31" s="145"/>
      <c r="T31" s="133"/>
      <c r="U31" s="134"/>
    </row>
    <row r="32" spans="1:21" ht="12" customHeight="1" thickBot="1" x14ac:dyDescent="0.3">
      <c r="A32" s="154"/>
      <c r="B32" s="16">
        <v>3.1</v>
      </c>
      <c r="C32" s="155"/>
      <c r="D32" s="189"/>
      <c r="E32" s="9">
        <v>0.10199999999999999</v>
      </c>
      <c r="F32" s="197">
        <f>SUM(E32:E34)</f>
        <v>0.30199999999999999</v>
      </c>
      <c r="G32" s="160"/>
      <c r="H32" s="134"/>
      <c r="I32" s="154"/>
      <c r="J32" s="16">
        <v>2.2000000000000002</v>
      </c>
      <c r="K32" s="155"/>
      <c r="L32" s="189"/>
      <c r="M32" s="20">
        <v>0.114</v>
      </c>
      <c r="N32" s="190"/>
      <c r="O32" s="133"/>
      <c r="P32" s="134"/>
    </row>
    <row r="33" spans="1:24" ht="12" customHeight="1" thickBot="1" x14ac:dyDescent="0.3">
      <c r="A33" s="154"/>
      <c r="B33" s="16">
        <v>3.2</v>
      </c>
      <c r="C33" s="155"/>
      <c r="D33" s="189"/>
      <c r="E33" s="11">
        <v>9.7000000000000003E-2</v>
      </c>
      <c r="F33" s="197"/>
      <c r="G33" s="160"/>
      <c r="H33" s="134"/>
      <c r="I33" s="154"/>
      <c r="J33" s="16">
        <v>3.1</v>
      </c>
      <c r="K33" s="155"/>
      <c r="L33" s="189"/>
      <c r="M33" s="20">
        <v>9.8000000000000004E-2</v>
      </c>
      <c r="N33" s="191">
        <f>SUM(M33:M34)</f>
        <v>0.216</v>
      </c>
      <c r="O33" s="133"/>
      <c r="P33" s="134"/>
    </row>
    <row r="34" spans="1:24" ht="12" customHeight="1" thickBot="1" x14ac:dyDescent="0.3">
      <c r="A34" s="154"/>
      <c r="B34" s="21">
        <v>3.3</v>
      </c>
      <c r="C34" s="155"/>
      <c r="D34" s="189"/>
      <c r="E34" s="11">
        <v>0.10299999999999999</v>
      </c>
      <c r="F34" s="197"/>
      <c r="G34" s="160"/>
      <c r="H34" s="134"/>
      <c r="I34" s="154"/>
      <c r="J34" s="16">
        <v>3.2</v>
      </c>
      <c r="K34" s="155"/>
      <c r="L34" s="189"/>
      <c r="M34" s="24">
        <v>0.11799999999999999</v>
      </c>
      <c r="N34" s="191"/>
      <c r="O34" s="133"/>
      <c r="P34" s="134"/>
    </row>
    <row r="35" spans="1:24" ht="12" customHeight="1" thickBot="1" x14ac:dyDescent="0.3">
      <c r="A35" s="154"/>
      <c r="B35" s="14">
        <v>4.0999999999999996</v>
      </c>
      <c r="C35" s="155"/>
      <c r="D35" s="189" t="s">
        <v>9</v>
      </c>
      <c r="E35" s="7">
        <v>0.26500000000000001</v>
      </c>
      <c r="F35" s="196">
        <f>SUM(E35:E36)</f>
        <v>0.47</v>
      </c>
      <c r="G35" s="161">
        <f>AVERAGE(F35:F40)</f>
        <v>0.45233333333333331</v>
      </c>
      <c r="H35" s="134">
        <f>STDEVA(F35:F40)</f>
        <v>3.2347076117221644E-2</v>
      </c>
      <c r="I35" s="154"/>
      <c r="J35" s="193">
        <v>4</v>
      </c>
      <c r="K35" s="155"/>
      <c r="L35" s="155" t="s">
        <v>9</v>
      </c>
      <c r="M35" s="194">
        <v>0.151</v>
      </c>
      <c r="N35" s="195">
        <f>AVERAGE(M35:M40)</f>
        <v>0.16433333333333336</v>
      </c>
      <c r="O35" s="183">
        <f>SUM(N35:N40)</f>
        <v>0.16433333333333336</v>
      </c>
      <c r="P35" s="184">
        <f>STDEVA(M35:M40)</f>
        <v>3.3080709383768198E-2</v>
      </c>
    </row>
    <row r="36" spans="1:24" ht="12" customHeight="1" thickBot="1" x14ac:dyDescent="0.3">
      <c r="A36" s="154"/>
      <c r="B36" s="16">
        <v>4.2</v>
      </c>
      <c r="C36" s="155"/>
      <c r="D36" s="189"/>
      <c r="E36" s="9">
        <v>0.20499999999999999</v>
      </c>
      <c r="F36" s="196"/>
      <c r="G36" s="161"/>
      <c r="H36" s="134"/>
      <c r="I36" s="154"/>
      <c r="J36" s="193"/>
      <c r="K36" s="155"/>
      <c r="L36" s="155"/>
      <c r="M36" s="194"/>
      <c r="N36" s="195"/>
      <c r="O36" s="183"/>
      <c r="P36" s="184"/>
    </row>
    <row r="37" spans="1:24" ht="12" customHeight="1" thickBot="1" x14ac:dyDescent="0.3">
      <c r="A37" s="154"/>
      <c r="B37" s="16">
        <v>5.0999999999999996</v>
      </c>
      <c r="C37" s="155"/>
      <c r="D37" s="189"/>
      <c r="E37" s="9">
        <v>0.29699999999999999</v>
      </c>
      <c r="F37" s="199">
        <f>SUM(E37:E38)</f>
        <v>0.47199999999999998</v>
      </c>
      <c r="G37" s="161"/>
      <c r="H37" s="134"/>
      <c r="I37" s="154"/>
      <c r="J37" s="185">
        <v>5</v>
      </c>
      <c r="K37" s="155"/>
      <c r="L37" s="155"/>
      <c r="M37" s="186">
        <v>0.14000000000000001</v>
      </c>
      <c r="N37" s="195"/>
      <c r="O37" s="183"/>
      <c r="P37" s="184"/>
    </row>
    <row r="38" spans="1:24" ht="12" customHeight="1" thickBot="1" x14ac:dyDescent="0.3">
      <c r="A38" s="154"/>
      <c r="B38" s="16">
        <v>5.2</v>
      </c>
      <c r="C38" s="155"/>
      <c r="D38" s="189"/>
      <c r="E38" s="9">
        <v>0.17499999999999999</v>
      </c>
      <c r="F38" s="199"/>
      <c r="G38" s="161"/>
      <c r="H38" s="134"/>
      <c r="I38" s="154"/>
      <c r="J38" s="185"/>
      <c r="K38" s="155"/>
      <c r="L38" s="155"/>
      <c r="M38" s="186"/>
      <c r="N38" s="195"/>
      <c r="O38" s="183"/>
      <c r="P38" s="184"/>
    </row>
    <row r="39" spans="1:24" ht="12" customHeight="1" thickBot="1" x14ac:dyDescent="0.3">
      <c r="A39" s="154"/>
      <c r="B39" s="16">
        <v>6.1</v>
      </c>
      <c r="C39" s="155"/>
      <c r="D39" s="189"/>
      <c r="E39" s="9">
        <v>0.214</v>
      </c>
      <c r="F39" s="197">
        <f>SUM(E39:E40)</f>
        <v>0.41500000000000004</v>
      </c>
      <c r="G39" s="161"/>
      <c r="H39" s="134"/>
      <c r="I39" s="154"/>
      <c r="J39" s="187">
        <v>6</v>
      </c>
      <c r="K39" s="155"/>
      <c r="L39" s="155"/>
      <c r="M39" s="188">
        <v>0.20200000000000001</v>
      </c>
      <c r="N39" s="195"/>
      <c r="O39" s="183"/>
      <c r="P39" s="184"/>
      <c r="R39" s="14">
        <v>4.0999999999999996</v>
      </c>
      <c r="S39" s="6"/>
      <c r="T39" s="189" t="s">
        <v>9</v>
      </c>
      <c r="U39" s="23">
        <v>0.105</v>
      </c>
      <c r="V39" s="192">
        <f>SUM(U39:U40)</f>
        <v>0.19800000000000001</v>
      </c>
      <c r="W39" s="133">
        <f>AVERAGE(V39:V44)</f>
        <v>0.21266666666666667</v>
      </c>
      <c r="X39" s="134">
        <f>STDEVA(V39:V44)</f>
        <v>1.3316656236958782E-2</v>
      </c>
    </row>
    <row r="40" spans="1:24" ht="12" customHeight="1" thickBot="1" x14ac:dyDescent="0.3">
      <c r="A40" s="154"/>
      <c r="B40" s="21">
        <v>6.2</v>
      </c>
      <c r="C40" s="155"/>
      <c r="D40" s="189"/>
      <c r="E40" s="12">
        <v>0.20100000000000001</v>
      </c>
      <c r="F40" s="197"/>
      <c r="G40" s="161"/>
      <c r="H40" s="134"/>
      <c r="I40" s="154"/>
      <c r="J40" s="187"/>
      <c r="K40" s="155"/>
      <c r="L40" s="155"/>
      <c r="M40" s="188"/>
      <c r="N40" s="195"/>
      <c r="O40" s="183"/>
      <c r="P40" s="184"/>
      <c r="R40" s="16">
        <v>4.2</v>
      </c>
      <c r="S40" s="6"/>
      <c r="T40" s="189"/>
      <c r="U40" s="20">
        <v>9.2999999999999999E-2</v>
      </c>
      <c r="V40" s="192"/>
      <c r="W40" s="133"/>
      <c r="X40" s="134"/>
    </row>
    <row r="41" spans="1:24" ht="15.75" thickBot="1" x14ac:dyDescent="0.3">
      <c r="I41" s="52"/>
      <c r="J41" s="53"/>
      <c r="K41" s="54"/>
      <c r="L41" s="54"/>
      <c r="M41" s="55"/>
      <c r="N41" s="55"/>
      <c r="O41" s="56"/>
      <c r="P41" s="55"/>
      <c r="R41" s="16">
        <v>5.0999999999999996</v>
      </c>
      <c r="S41" s="6"/>
      <c r="T41" s="189"/>
      <c r="U41" s="20">
        <v>0.11</v>
      </c>
      <c r="V41" s="190">
        <f>SUM(U41:U42)</f>
        <v>0.224</v>
      </c>
      <c r="W41" s="133"/>
      <c r="X41" s="134"/>
    </row>
    <row r="42" spans="1:24" ht="15.75" thickBot="1" x14ac:dyDescent="0.3">
      <c r="I42" s="52"/>
      <c r="J42" s="53"/>
      <c r="K42" s="54"/>
      <c r="L42" s="54"/>
      <c r="M42" s="53"/>
      <c r="N42" s="55"/>
      <c r="O42" s="56"/>
      <c r="P42" s="55"/>
      <c r="R42" s="16">
        <v>5.2</v>
      </c>
      <c r="S42" s="6"/>
      <c r="T42" s="189"/>
      <c r="U42" s="20">
        <v>0.114</v>
      </c>
      <c r="V42" s="190"/>
      <c r="W42" s="133"/>
      <c r="X42" s="134"/>
    </row>
    <row r="43" spans="1:24" ht="15.75" thickBot="1" x14ac:dyDescent="0.3">
      <c r="I43" s="52"/>
      <c r="J43" s="53"/>
      <c r="K43" s="54"/>
      <c r="L43" s="54"/>
      <c r="M43" s="53"/>
      <c r="N43" s="55"/>
      <c r="O43" s="56"/>
      <c r="P43" s="55"/>
      <c r="R43" s="16">
        <v>6.1</v>
      </c>
      <c r="S43" s="6"/>
      <c r="T43" s="189"/>
      <c r="U43" s="20">
        <v>9.8000000000000004E-2</v>
      </c>
      <c r="V43" s="191">
        <f>SUM(U43:U44)</f>
        <v>0.216</v>
      </c>
      <c r="W43" s="133"/>
      <c r="X43" s="134"/>
    </row>
    <row r="44" spans="1:24" ht="15.75" thickBot="1" x14ac:dyDescent="0.3">
      <c r="R44" s="21">
        <v>6.2</v>
      </c>
      <c r="S44" s="6"/>
      <c r="T44" s="189"/>
      <c r="U44" s="24">
        <v>0.11799999999999999</v>
      </c>
      <c r="V44" s="191"/>
      <c r="W44" s="133"/>
      <c r="X44" s="134"/>
    </row>
    <row r="45" spans="1:24" ht="15.75" thickBot="1" x14ac:dyDescent="0.3">
      <c r="K45" s="154" t="s">
        <v>15</v>
      </c>
      <c r="L45" s="14">
        <v>1.1000000000000001</v>
      </c>
      <c r="M45" s="155" t="s">
        <v>9</v>
      </c>
      <c r="N45" s="189" t="s">
        <v>9</v>
      </c>
      <c r="O45" s="23">
        <v>0.105</v>
      </c>
      <c r="P45" s="192">
        <f>SUM(O45:O46)</f>
        <v>0.19800000000000001</v>
      </c>
      <c r="Q45" s="133">
        <f>AVERAGE(P45:P50)</f>
        <v>0.21266666666666667</v>
      </c>
      <c r="R45" s="134">
        <f>STDEVA(P45:P50)</f>
        <v>1.3316656236958782E-2</v>
      </c>
    </row>
    <row r="46" spans="1:24" ht="15.75" thickBot="1" x14ac:dyDescent="0.3">
      <c r="K46" s="154"/>
      <c r="L46" s="16">
        <v>1.2</v>
      </c>
      <c r="M46" s="155"/>
      <c r="N46" s="189"/>
      <c r="O46" s="20">
        <v>9.2999999999999999E-2</v>
      </c>
      <c r="P46" s="192"/>
      <c r="Q46" s="133"/>
      <c r="R46" s="134"/>
    </row>
    <row r="47" spans="1:24" ht="15.75" thickBot="1" x14ac:dyDescent="0.3">
      <c r="K47" s="154"/>
      <c r="L47" s="16">
        <v>2.1</v>
      </c>
      <c r="M47" s="155"/>
      <c r="N47" s="189"/>
      <c r="O47" s="20">
        <v>0.11</v>
      </c>
      <c r="P47" s="190">
        <f>SUM(O47:O48)</f>
        <v>0.224</v>
      </c>
      <c r="Q47" s="133"/>
      <c r="R47" s="134"/>
    </row>
    <row r="48" spans="1:24" ht="15.75" thickBot="1" x14ac:dyDescent="0.3">
      <c r="K48" s="154"/>
      <c r="L48" s="16">
        <v>2.2000000000000002</v>
      </c>
      <c r="M48" s="155"/>
      <c r="N48" s="189"/>
      <c r="O48" s="20">
        <v>0.114</v>
      </c>
      <c r="P48" s="190"/>
      <c r="Q48" s="133"/>
      <c r="R48" s="134"/>
    </row>
    <row r="49" spans="11:28" ht="15.75" thickBot="1" x14ac:dyDescent="0.3">
      <c r="K49" s="154"/>
      <c r="L49" s="16">
        <v>3.1</v>
      </c>
      <c r="M49" s="155"/>
      <c r="N49" s="189"/>
      <c r="O49" s="20">
        <v>9.8000000000000004E-2</v>
      </c>
      <c r="P49" s="191">
        <f>SUM(O49:O50)</f>
        <v>0.216</v>
      </c>
      <c r="Q49" s="133"/>
      <c r="R49" s="134"/>
    </row>
    <row r="50" spans="11:28" ht="15.75" thickBot="1" x14ac:dyDescent="0.3">
      <c r="K50" s="154"/>
      <c r="L50" s="21">
        <v>3.2</v>
      </c>
      <c r="M50" s="155"/>
      <c r="N50" s="189"/>
      <c r="O50" s="24">
        <v>0.11799999999999999</v>
      </c>
      <c r="P50" s="191"/>
      <c r="Q50" s="133"/>
      <c r="R50" s="134"/>
      <c r="U50" s="154" t="s">
        <v>15</v>
      </c>
      <c r="V50" s="14">
        <v>1.1000000000000001</v>
      </c>
      <c r="W50" s="155" t="s">
        <v>9</v>
      </c>
      <c r="X50" s="189" t="s">
        <v>16</v>
      </c>
      <c r="Y50" s="23">
        <v>0.105</v>
      </c>
      <c r="Z50" s="192">
        <f>SUM(Y50:Y51)</f>
        <v>0.19800000000000001</v>
      </c>
      <c r="AA50" s="133">
        <f>AVERAGE(Z50:Z55)</f>
        <v>0.21266666666666667</v>
      </c>
      <c r="AB50" s="134">
        <f>STDEVA(Z50:Z55)</f>
        <v>1.3316656236958782E-2</v>
      </c>
    </row>
    <row r="51" spans="11:28" ht="15.75" thickBot="1" x14ac:dyDescent="0.3">
      <c r="K51" s="154"/>
      <c r="L51" s="16">
        <v>4</v>
      </c>
      <c r="M51" s="155"/>
      <c r="N51" s="189" t="s">
        <v>9</v>
      </c>
      <c r="O51" s="19">
        <v>0.151</v>
      </c>
      <c r="P51" s="145">
        <f>AVERAGE(O51:O53)</f>
        <v>0.16433333333333336</v>
      </c>
      <c r="Q51" s="133">
        <f>SUM(P51:P53)</f>
        <v>0.16433333333333336</v>
      </c>
      <c r="R51" s="134">
        <f>STDEVA(O51:O53)</f>
        <v>3.3080709383768198E-2</v>
      </c>
      <c r="U51" s="154"/>
      <c r="V51" s="16">
        <v>1.2</v>
      </c>
      <c r="W51" s="155"/>
      <c r="X51" s="189"/>
      <c r="Y51" s="20">
        <v>9.2999999999999999E-2</v>
      </c>
      <c r="Z51" s="192"/>
      <c r="AA51" s="133"/>
      <c r="AB51" s="134"/>
    </row>
    <row r="52" spans="11:28" ht="15.75" thickBot="1" x14ac:dyDescent="0.3">
      <c r="K52" s="154"/>
      <c r="L52" s="16">
        <v>5</v>
      </c>
      <c r="M52" s="155"/>
      <c r="N52" s="189"/>
      <c r="O52" s="20">
        <v>0.14000000000000001</v>
      </c>
      <c r="P52" s="145"/>
      <c r="Q52" s="133"/>
      <c r="R52" s="134"/>
      <c r="U52" s="154"/>
      <c r="V52" s="16">
        <v>2.1</v>
      </c>
      <c r="W52" s="155"/>
      <c r="X52" s="189"/>
      <c r="Y52" s="20">
        <v>0.11</v>
      </c>
      <c r="Z52" s="190">
        <f>SUM(Y52:Y53)</f>
        <v>0.224</v>
      </c>
      <c r="AA52" s="133"/>
      <c r="AB52" s="134"/>
    </row>
    <row r="53" spans="11:28" ht="15.75" thickBot="1" x14ac:dyDescent="0.3">
      <c r="K53" s="154"/>
      <c r="L53" s="21">
        <v>6</v>
      </c>
      <c r="M53" s="155"/>
      <c r="N53" s="189"/>
      <c r="O53" s="24">
        <v>0.20200000000000001</v>
      </c>
      <c r="P53" s="145"/>
      <c r="Q53" s="133"/>
      <c r="R53" s="134"/>
      <c r="U53" s="154"/>
      <c r="V53" s="16">
        <v>2.2000000000000002</v>
      </c>
      <c r="W53" s="155"/>
      <c r="X53" s="189"/>
      <c r="Y53" s="20">
        <v>0.114</v>
      </c>
      <c r="Z53" s="190"/>
      <c r="AA53" s="133"/>
      <c r="AB53" s="134"/>
    </row>
    <row r="54" spans="11:28" ht="15.75" thickBot="1" x14ac:dyDescent="0.3">
      <c r="U54" s="154"/>
      <c r="V54" s="16">
        <v>3.1</v>
      </c>
      <c r="W54" s="155"/>
      <c r="X54" s="189"/>
      <c r="Y54" s="20">
        <v>9.8000000000000004E-2</v>
      </c>
      <c r="Z54" s="191">
        <f>SUM(Y54:Y55)</f>
        <v>0.216</v>
      </c>
      <c r="AA54" s="133"/>
      <c r="AB54" s="134"/>
    </row>
    <row r="55" spans="11:28" ht="15.75" thickBot="1" x14ac:dyDescent="0.3">
      <c r="U55" s="154"/>
      <c r="V55" s="16">
        <v>3.2</v>
      </c>
      <c r="W55" s="155"/>
      <c r="X55" s="189"/>
      <c r="Y55" s="24">
        <v>0.11799999999999999</v>
      </c>
      <c r="Z55" s="191"/>
      <c r="AA55" s="133"/>
      <c r="AB55" s="134"/>
    </row>
    <row r="56" spans="11:28" ht="15.75" thickBot="1" x14ac:dyDescent="0.3">
      <c r="U56" s="154"/>
      <c r="V56" s="193">
        <v>4</v>
      </c>
      <c r="W56" s="155"/>
      <c r="X56" s="155" t="s">
        <v>9</v>
      </c>
      <c r="Y56" s="194">
        <v>0.151</v>
      </c>
      <c r="Z56" s="195">
        <f>AVERAGE(Y56:Y58)</f>
        <v>0.14550000000000002</v>
      </c>
      <c r="AA56" s="183">
        <f>SUM(Z56:Z58)</f>
        <v>0.14550000000000002</v>
      </c>
      <c r="AB56" s="184">
        <f>STDEVA(Y56:Y58)</f>
        <v>7.77817459305201E-3</v>
      </c>
    </row>
    <row r="57" spans="11:28" ht="15.75" thickBot="1" x14ac:dyDescent="0.3">
      <c r="U57" s="154"/>
      <c r="V57" s="193"/>
      <c r="W57" s="155"/>
      <c r="X57" s="155"/>
      <c r="Y57" s="194"/>
      <c r="Z57" s="195"/>
      <c r="AA57" s="183"/>
      <c r="AB57" s="184"/>
    </row>
    <row r="58" spans="11:28" ht="15.75" thickBot="1" x14ac:dyDescent="0.3">
      <c r="U58" s="154"/>
      <c r="V58" s="185">
        <v>5</v>
      </c>
      <c r="W58" s="155"/>
      <c r="X58" s="155"/>
      <c r="Y58" s="186">
        <v>0.14000000000000001</v>
      </c>
      <c r="Z58" s="195"/>
      <c r="AA58" s="183"/>
      <c r="AB58" s="184"/>
    </row>
    <row r="59" spans="11:28" ht="15.75" thickBot="1" x14ac:dyDescent="0.3">
      <c r="U59" s="154"/>
      <c r="V59" s="185"/>
      <c r="W59" s="155"/>
      <c r="X59" s="155"/>
      <c r="Y59" s="186"/>
      <c r="Z59" s="195"/>
      <c r="AA59" s="183"/>
      <c r="AB59" s="184"/>
    </row>
    <row r="60" spans="11:28" ht="15.75" thickBot="1" x14ac:dyDescent="0.3">
      <c r="U60" s="154"/>
      <c r="V60" s="187">
        <v>6</v>
      </c>
      <c r="W60" s="155"/>
      <c r="X60" s="155"/>
      <c r="Y60" s="188">
        <v>0.20200000000000001</v>
      </c>
      <c r="Z60" s="195"/>
      <c r="AA60" s="183"/>
      <c r="AB60" s="184"/>
    </row>
    <row r="61" spans="11:28" ht="15.75" thickBot="1" x14ac:dyDescent="0.3">
      <c r="U61" s="154"/>
      <c r="V61" s="187"/>
      <c r="W61" s="155"/>
      <c r="X61" s="155"/>
      <c r="Y61" s="188"/>
      <c r="Z61" s="195"/>
      <c r="AA61" s="183"/>
      <c r="AB61" s="184"/>
    </row>
  </sheetData>
  <mergeCells count="141"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O20:O25"/>
    <mergeCell ref="P20:P25"/>
    <mergeCell ref="F22:F23"/>
    <mergeCell ref="N22:N23"/>
    <mergeCell ref="F24:F25"/>
    <mergeCell ref="N24:N25"/>
    <mergeCell ref="G20:G25"/>
    <mergeCell ref="H20:H25"/>
    <mergeCell ref="I20:I28"/>
    <mergeCell ref="K20:K28"/>
    <mergeCell ref="L20:L25"/>
    <mergeCell ref="N20:N21"/>
    <mergeCell ref="L26:L28"/>
    <mergeCell ref="N26:N28"/>
    <mergeCell ref="O26:O28"/>
    <mergeCell ref="P26:P28"/>
    <mergeCell ref="A26:A40"/>
    <mergeCell ref="C26:C40"/>
    <mergeCell ref="D26:D34"/>
    <mergeCell ref="F26:F28"/>
    <mergeCell ref="G26:G34"/>
    <mergeCell ref="H26:H34"/>
    <mergeCell ref="D35:D40"/>
    <mergeCell ref="G35:G40"/>
    <mergeCell ref="H35:H40"/>
    <mergeCell ref="F37:F38"/>
    <mergeCell ref="F32:F34"/>
    <mergeCell ref="F29:F31"/>
    <mergeCell ref="I29:I40"/>
    <mergeCell ref="K29:K40"/>
    <mergeCell ref="L29:L34"/>
    <mergeCell ref="N29:N30"/>
    <mergeCell ref="O29:O34"/>
    <mergeCell ref="P29:P34"/>
    <mergeCell ref="F35:F36"/>
    <mergeCell ref="F39:F40"/>
    <mergeCell ref="J39:J40"/>
    <mergeCell ref="M39:M40"/>
    <mergeCell ref="J35:J36"/>
    <mergeCell ref="L35:L40"/>
    <mergeCell ref="M35:M36"/>
    <mergeCell ref="N35:N40"/>
    <mergeCell ref="O35:O40"/>
    <mergeCell ref="P35:P40"/>
    <mergeCell ref="J37:J38"/>
    <mergeCell ref="M37:M38"/>
    <mergeCell ref="S29:S31"/>
    <mergeCell ref="X39:X44"/>
    <mergeCell ref="V41:V42"/>
    <mergeCell ref="V43:V44"/>
    <mergeCell ref="K45:K53"/>
    <mergeCell ref="M45:M53"/>
    <mergeCell ref="N45:N50"/>
    <mergeCell ref="P45:P46"/>
    <mergeCell ref="Q45:Q50"/>
    <mergeCell ref="R45:R50"/>
    <mergeCell ref="P47:P48"/>
    <mergeCell ref="V39:V40"/>
    <mergeCell ref="W39:W44"/>
    <mergeCell ref="T29:T31"/>
    <mergeCell ref="U29:U31"/>
    <mergeCell ref="N31:N32"/>
    <mergeCell ref="T39:T44"/>
    <mergeCell ref="N33:N34"/>
    <mergeCell ref="AA56:AA61"/>
    <mergeCell ref="AB56:AB61"/>
    <mergeCell ref="V58:V59"/>
    <mergeCell ref="Y58:Y59"/>
    <mergeCell ref="V60:V61"/>
    <mergeCell ref="Y60:Y61"/>
    <mergeCell ref="AB50:AB55"/>
    <mergeCell ref="N51:N53"/>
    <mergeCell ref="P51:P53"/>
    <mergeCell ref="Q51:Q53"/>
    <mergeCell ref="R51:R53"/>
    <mergeCell ref="Z52:Z53"/>
    <mergeCell ref="Z54:Z55"/>
    <mergeCell ref="P49:P50"/>
    <mergeCell ref="U50:U61"/>
    <mergeCell ref="W50:W61"/>
    <mergeCell ref="X50:X55"/>
    <mergeCell ref="Z50:Z51"/>
    <mergeCell ref="AA50:AA55"/>
    <mergeCell ref="V56:V57"/>
    <mergeCell ref="X56:X61"/>
    <mergeCell ref="Y56:Y57"/>
    <mergeCell ref="Z56:Z6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selection activeCell="R36" sqref="R36"/>
    </sheetView>
  </sheetViews>
  <sheetFormatPr defaultRowHeight="15" x14ac:dyDescent="0.25"/>
  <cols>
    <col min="1" max="1" width="4.28515625" customWidth="1"/>
    <col min="2" max="2" width="4.85546875" customWidth="1"/>
    <col min="3" max="3" width="4.28515625" customWidth="1"/>
    <col min="4" max="4" width="4.140625" customWidth="1"/>
    <col min="5" max="5" width="7" customWidth="1"/>
    <col min="6" max="6" width="6.85546875" customWidth="1"/>
    <col min="7" max="7" width="5.7109375" customWidth="1"/>
    <col min="8" max="8" width="6" customWidth="1"/>
    <col min="9" max="9" width="4.28515625" customWidth="1"/>
    <col min="10" max="10" width="4.85546875" customWidth="1"/>
    <col min="11" max="12" width="4" customWidth="1"/>
    <col min="13" max="13" width="6.85546875" customWidth="1"/>
    <col min="14" max="14" width="6.7109375" customWidth="1"/>
    <col min="15" max="15" width="6" customWidth="1"/>
    <col min="16" max="16" width="5.7109375" customWidth="1"/>
    <col min="17" max="17" width="9.140625" customWidth="1"/>
  </cols>
  <sheetData>
    <row r="1" spans="1:16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3.5" customHeight="1" thickBot="1" x14ac:dyDescent="0.3">
      <c r="A2" s="154" t="s">
        <v>12</v>
      </c>
      <c r="B2" s="14">
        <v>1.1000000000000001</v>
      </c>
      <c r="C2" s="155" t="s">
        <v>7</v>
      </c>
      <c r="D2" s="189" t="s">
        <v>16</v>
      </c>
      <c r="E2" s="7">
        <v>0.13</v>
      </c>
      <c r="F2" s="202">
        <f>SUM(E2:E3)</f>
        <v>0.255</v>
      </c>
      <c r="G2" s="133">
        <f>AVERAGE(F2:F7)</f>
        <v>0.27466666666666667</v>
      </c>
      <c r="H2" s="134">
        <f>STDEVA(F2:F7)</f>
        <v>2.6652079343520891E-2</v>
      </c>
      <c r="I2" s="154" t="s">
        <v>13</v>
      </c>
      <c r="J2" s="14">
        <v>1.1000000000000001</v>
      </c>
      <c r="K2" s="155" t="s">
        <v>7</v>
      </c>
      <c r="L2" s="189" t="s">
        <v>16</v>
      </c>
      <c r="M2" s="7">
        <v>0.11</v>
      </c>
      <c r="N2" s="202">
        <f>SUM(M2:M3)</f>
        <v>0.185</v>
      </c>
      <c r="O2" s="133">
        <f>AVERAGE(N2:N7)</f>
        <v>0.19966666666666666</v>
      </c>
      <c r="P2" s="134">
        <f>STDEVA(N2:N7)</f>
        <v>1.3650396819628846E-2</v>
      </c>
    </row>
    <row r="3" spans="1:16" ht="13.5" customHeight="1" thickBot="1" x14ac:dyDescent="0.3">
      <c r="A3" s="154"/>
      <c r="B3" s="16">
        <v>1.2</v>
      </c>
      <c r="C3" s="155"/>
      <c r="D3" s="189"/>
      <c r="E3" s="9">
        <v>0.125</v>
      </c>
      <c r="F3" s="202"/>
      <c r="G3" s="133"/>
      <c r="H3" s="134"/>
      <c r="I3" s="154"/>
      <c r="J3" s="16">
        <v>1.2</v>
      </c>
      <c r="K3" s="155"/>
      <c r="L3" s="189"/>
      <c r="M3" s="9">
        <v>7.4999999999999997E-2</v>
      </c>
      <c r="N3" s="202"/>
      <c r="O3" s="133"/>
      <c r="P3" s="134"/>
    </row>
    <row r="4" spans="1:16" ht="13.5" customHeight="1" thickBot="1" x14ac:dyDescent="0.3">
      <c r="A4" s="154"/>
      <c r="B4" s="16">
        <v>2.1</v>
      </c>
      <c r="C4" s="155"/>
      <c r="D4" s="189"/>
      <c r="E4" s="9">
        <v>0.14000000000000001</v>
      </c>
      <c r="F4" s="199">
        <f>SUM(E4:E5)</f>
        <v>0.26400000000000001</v>
      </c>
      <c r="G4" s="133"/>
      <c r="H4" s="134"/>
      <c r="I4" s="154"/>
      <c r="J4" s="16">
        <v>2.1</v>
      </c>
      <c r="K4" s="155"/>
      <c r="L4" s="189"/>
      <c r="M4" s="9">
        <v>9.5000000000000001E-2</v>
      </c>
      <c r="N4" s="199">
        <f>SUM(M4:M5)</f>
        <v>0.20200000000000001</v>
      </c>
      <c r="O4" s="133"/>
      <c r="P4" s="134"/>
    </row>
    <row r="5" spans="1:16" ht="13.5" customHeight="1" thickBot="1" x14ac:dyDescent="0.3">
      <c r="A5" s="154"/>
      <c r="B5" s="16">
        <v>2.2000000000000002</v>
      </c>
      <c r="C5" s="155"/>
      <c r="D5" s="189"/>
      <c r="E5" s="9">
        <v>0.124</v>
      </c>
      <c r="F5" s="199"/>
      <c r="G5" s="133"/>
      <c r="H5" s="134"/>
      <c r="I5" s="154"/>
      <c r="J5" s="16">
        <v>2.2000000000000002</v>
      </c>
      <c r="K5" s="155"/>
      <c r="L5" s="189"/>
      <c r="M5" s="9">
        <v>0.107</v>
      </c>
      <c r="N5" s="199"/>
      <c r="O5" s="133"/>
      <c r="P5" s="134"/>
    </row>
    <row r="6" spans="1:16" ht="13.5" customHeight="1" thickBot="1" x14ac:dyDescent="0.3">
      <c r="A6" s="154"/>
      <c r="B6" s="16">
        <v>3.1</v>
      </c>
      <c r="C6" s="155"/>
      <c r="D6" s="189"/>
      <c r="E6" s="9">
        <v>0.154</v>
      </c>
      <c r="F6" s="197">
        <f>SUM(E6:E7)</f>
        <v>0.30499999999999999</v>
      </c>
      <c r="G6" s="133"/>
      <c r="H6" s="134"/>
      <c r="I6" s="154"/>
      <c r="J6" s="16">
        <v>3.1</v>
      </c>
      <c r="K6" s="155"/>
      <c r="L6" s="189"/>
      <c r="M6" s="9">
        <v>0.106</v>
      </c>
      <c r="N6" s="197">
        <f>SUM(M6:M7)</f>
        <v>0.21199999999999999</v>
      </c>
      <c r="O6" s="133"/>
      <c r="P6" s="134"/>
    </row>
    <row r="7" spans="1:16" ht="13.5" customHeight="1" thickBot="1" x14ac:dyDescent="0.3">
      <c r="A7" s="154"/>
      <c r="B7" s="21">
        <v>3.2</v>
      </c>
      <c r="C7" s="155"/>
      <c r="D7" s="189"/>
      <c r="E7" s="11">
        <v>0.151</v>
      </c>
      <c r="F7" s="197"/>
      <c r="G7" s="133"/>
      <c r="H7" s="134"/>
      <c r="I7" s="154"/>
      <c r="J7" s="21">
        <v>3.2</v>
      </c>
      <c r="K7" s="155"/>
      <c r="L7" s="189"/>
      <c r="M7" s="11">
        <v>0.106</v>
      </c>
      <c r="N7" s="197"/>
      <c r="O7" s="133"/>
      <c r="P7" s="134"/>
    </row>
    <row r="8" spans="1:16" ht="13.5" customHeight="1" thickBot="1" x14ac:dyDescent="0.3">
      <c r="A8" s="154"/>
      <c r="B8" s="14">
        <v>4.0999999999999996</v>
      </c>
      <c r="C8" s="155"/>
      <c r="D8" s="189" t="s">
        <v>9</v>
      </c>
      <c r="E8" s="7">
        <v>0.17100000000000001</v>
      </c>
      <c r="F8" s="196">
        <f>SUM(E8:E9)</f>
        <v>0.33800000000000002</v>
      </c>
      <c r="G8" s="133">
        <f>AVERAGE(F8:F13)</f>
        <v>0.33766666666666673</v>
      </c>
      <c r="H8" s="134">
        <f>STDEVA(F8:F13)</f>
        <v>1.7502380790433425E-2</v>
      </c>
      <c r="I8" s="154"/>
      <c r="J8" s="14">
        <v>4.0999999999999996</v>
      </c>
      <c r="K8" s="155"/>
      <c r="L8" s="189" t="s">
        <v>9</v>
      </c>
      <c r="M8" s="7">
        <v>0.1</v>
      </c>
      <c r="N8" s="196">
        <f>SUM(M8:M9)</f>
        <v>0.19</v>
      </c>
      <c r="O8" s="133">
        <f>AVERAGE(N8:N13)</f>
        <v>0.18366666666666664</v>
      </c>
      <c r="P8" s="134">
        <f>STDEVA(N8:N13)</f>
        <v>7.0945988845975937E-3</v>
      </c>
    </row>
    <row r="9" spans="1:16" ht="13.5" customHeight="1" thickBot="1" x14ac:dyDescent="0.3">
      <c r="A9" s="154"/>
      <c r="B9" s="16">
        <v>4.2</v>
      </c>
      <c r="C9" s="155"/>
      <c r="D9" s="189"/>
      <c r="E9" s="9">
        <v>0.16700000000000001</v>
      </c>
      <c r="F9" s="196"/>
      <c r="G9" s="133"/>
      <c r="H9" s="134"/>
      <c r="I9" s="154"/>
      <c r="J9" s="16">
        <v>4.2</v>
      </c>
      <c r="K9" s="155"/>
      <c r="L9" s="189"/>
      <c r="M9" s="9">
        <v>0.09</v>
      </c>
      <c r="N9" s="196"/>
      <c r="O9" s="133"/>
      <c r="P9" s="134"/>
    </row>
    <row r="10" spans="1:16" ht="13.5" customHeight="1" thickBot="1" x14ac:dyDescent="0.3">
      <c r="A10" s="154"/>
      <c r="B10" s="16">
        <v>5.0999999999999996</v>
      </c>
      <c r="C10" s="155"/>
      <c r="D10" s="189"/>
      <c r="E10" s="9">
        <v>0.192</v>
      </c>
      <c r="F10" s="199">
        <f>SUM(E10:E11)</f>
        <v>0.35499999999999998</v>
      </c>
      <c r="G10" s="133"/>
      <c r="H10" s="134"/>
      <c r="I10" s="154"/>
      <c r="J10" s="16">
        <v>5.0999999999999996</v>
      </c>
      <c r="K10" s="155"/>
      <c r="L10" s="189"/>
      <c r="M10" s="9">
        <v>0.08</v>
      </c>
      <c r="N10" s="199">
        <f>SUM(M10:M11)</f>
        <v>0.17599999999999999</v>
      </c>
      <c r="O10" s="133"/>
      <c r="P10" s="134"/>
    </row>
    <row r="11" spans="1:16" ht="13.5" customHeight="1" thickBot="1" x14ac:dyDescent="0.3">
      <c r="A11" s="154"/>
      <c r="B11" s="16">
        <v>5.2</v>
      </c>
      <c r="C11" s="155"/>
      <c r="D11" s="189"/>
      <c r="E11" s="9">
        <v>0.16300000000000001</v>
      </c>
      <c r="F11" s="199"/>
      <c r="G11" s="133"/>
      <c r="H11" s="134"/>
      <c r="I11" s="154"/>
      <c r="J11" s="16">
        <v>5.2</v>
      </c>
      <c r="K11" s="155"/>
      <c r="L11" s="189"/>
      <c r="M11" s="9">
        <v>9.6000000000000002E-2</v>
      </c>
      <c r="N11" s="199"/>
      <c r="O11" s="133"/>
      <c r="P11" s="134"/>
    </row>
    <row r="12" spans="1:16" ht="13.5" customHeight="1" thickBot="1" x14ac:dyDescent="0.3">
      <c r="A12" s="154"/>
      <c r="B12" s="16">
        <v>6.1</v>
      </c>
      <c r="C12" s="155"/>
      <c r="D12" s="189"/>
      <c r="E12" s="9">
        <v>0.157</v>
      </c>
      <c r="F12" s="197">
        <f>SUM(E12:E13)</f>
        <v>0.32</v>
      </c>
      <c r="G12" s="133"/>
      <c r="H12" s="134"/>
      <c r="I12" s="154"/>
      <c r="J12" s="16">
        <v>6.1</v>
      </c>
      <c r="K12" s="155"/>
      <c r="L12" s="189"/>
      <c r="M12" s="9">
        <v>9.1999999999999998E-2</v>
      </c>
      <c r="N12" s="197">
        <f>SUM(M12:M13)</f>
        <v>0.185</v>
      </c>
      <c r="O12" s="133"/>
      <c r="P12" s="134"/>
    </row>
    <row r="13" spans="1:16" ht="13.5" customHeight="1" thickBot="1" x14ac:dyDescent="0.3">
      <c r="A13" s="154"/>
      <c r="B13" s="21">
        <v>6.2</v>
      </c>
      <c r="C13" s="155"/>
      <c r="D13" s="189"/>
      <c r="E13" s="12">
        <v>0.16300000000000001</v>
      </c>
      <c r="F13" s="197"/>
      <c r="G13" s="133"/>
      <c r="H13" s="134"/>
      <c r="I13" s="154"/>
      <c r="J13" s="21">
        <v>6.2</v>
      </c>
      <c r="K13" s="155"/>
      <c r="L13" s="189"/>
      <c r="M13" s="11">
        <v>9.2999999999999999E-2</v>
      </c>
      <c r="N13" s="197"/>
      <c r="O13" s="133"/>
      <c r="P13" s="134"/>
    </row>
    <row r="14" spans="1:16" ht="13.5" customHeight="1" thickBot="1" x14ac:dyDescent="0.3">
      <c r="A14" s="154" t="s">
        <v>14</v>
      </c>
      <c r="B14" s="14">
        <v>1.1000000000000001</v>
      </c>
      <c r="C14" s="155" t="s">
        <v>7</v>
      </c>
      <c r="D14" s="189" t="s">
        <v>16</v>
      </c>
      <c r="E14" s="7">
        <v>0.114</v>
      </c>
      <c r="F14" s="202">
        <f>SUM(E14:E15)</f>
        <v>0.114</v>
      </c>
      <c r="G14" s="133">
        <f>AVERAGE(F14:F19)</f>
        <v>0.12233333333333334</v>
      </c>
      <c r="H14" s="134">
        <f>STDEVA(F14:F19)</f>
        <v>7.3711147958319921E-3</v>
      </c>
      <c r="I14" s="154" t="s">
        <v>15</v>
      </c>
      <c r="J14" s="159">
        <v>1</v>
      </c>
      <c r="K14" s="155" t="s">
        <v>7</v>
      </c>
      <c r="L14" s="155" t="s">
        <v>16</v>
      </c>
      <c r="M14" s="159">
        <v>0.11</v>
      </c>
      <c r="N14" s="200">
        <f>SUM(M14:M15)</f>
        <v>0.11</v>
      </c>
      <c r="O14" s="133">
        <f>AVERAGE(N14:N19)</f>
        <v>0.11833333333333333</v>
      </c>
      <c r="P14" s="134">
        <f>STDEVA(N14:N19)</f>
        <v>7.6376261582597324E-3</v>
      </c>
    </row>
    <row r="15" spans="1:16" ht="13.5" customHeight="1" thickBot="1" x14ac:dyDescent="0.3">
      <c r="A15" s="154"/>
      <c r="B15" s="16">
        <v>1.2</v>
      </c>
      <c r="C15" s="155"/>
      <c r="D15" s="189"/>
      <c r="E15" s="9"/>
      <c r="F15" s="202"/>
      <c r="G15" s="133"/>
      <c r="H15" s="134"/>
      <c r="I15" s="154"/>
      <c r="J15" s="159"/>
      <c r="K15" s="155"/>
      <c r="L15" s="155"/>
      <c r="M15" s="159"/>
      <c r="N15" s="200"/>
      <c r="O15" s="133"/>
      <c r="P15" s="134"/>
    </row>
    <row r="16" spans="1:16" ht="13.5" customHeight="1" thickBot="1" x14ac:dyDescent="0.3">
      <c r="A16" s="154"/>
      <c r="B16" s="16">
        <v>2.1</v>
      </c>
      <c r="C16" s="155"/>
      <c r="D16" s="189"/>
      <c r="E16" s="9">
        <v>0.128</v>
      </c>
      <c r="F16" s="199">
        <f>SUM(E16:E17)</f>
        <v>0.128</v>
      </c>
      <c r="G16" s="133"/>
      <c r="H16" s="134"/>
      <c r="I16" s="154"/>
      <c r="J16" s="159">
        <v>2</v>
      </c>
      <c r="K16" s="155"/>
      <c r="L16" s="155"/>
      <c r="M16" s="159">
        <v>0.125</v>
      </c>
      <c r="N16" s="190">
        <f>SUM(M16:M17)</f>
        <v>0.125</v>
      </c>
      <c r="O16" s="133"/>
      <c r="P16" s="134"/>
    </row>
    <row r="17" spans="1:16" ht="13.5" customHeight="1" thickBot="1" x14ac:dyDescent="0.3">
      <c r="A17" s="154"/>
      <c r="B17" s="16">
        <v>2.2000000000000002</v>
      </c>
      <c r="C17" s="155"/>
      <c r="D17" s="189"/>
      <c r="E17" s="9"/>
      <c r="F17" s="199"/>
      <c r="G17" s="133"/>
      <c r="H17" s="134"/>
      <c r="I17" s="154"/>
      <c r="J17" s="159"/>
      <c r="K17" s="155"/>
      <c r="L17" s="155"/>
      <c r="M17" s="159"/>
      <c r="N17" s="190"/>
      <c r="O17" s="133"/>
      <c r="P17" s="134"/>
    </row>
    <row r="18" spans="1:16" ht="13.5" customHeight="1" thickBot="1" x14ac:dyDescent="0.3">
      <c r="A18" s="154"/>
      <c r="B18" s="16">
        <v>3.1</v>
      </c>
      <c r="C18" s="155"/>
      <c r="D18" s="189"/>
      <c r="E18" s="9">
        <v>0.125</v>
      </c>
      <c r="F18" s="197">
        <f>SUM(E18:E19)</f>
        <v>0.125</v>
      </c>
      <c r="G18" s="133"/>
      <c r="H18" s="134"/>
      <c r="I18" s="154"/>
      <c r="J18" s="159">
        <v>3</v>
      </c>
      <c r="K18" s="155"/>
      <c r="L18" s="155"/>
      <c r="M18" s="159">
        <v>0.12</v>
      </c>
      <c r="N18" s="191">
        <f>SUM(M18:M19)</f>
        <v>0.12</v>
      </c>
      <c r="O18" s="133"/>
      <c r="P18" s="134"/>
    </row>
    <row r="19" spans="1:16" ht="13.5" customHeight="1" thickBot="1" x14ac:dyDescent="0.3">
      <c r="A19" s="154"/>
      <c r="B19" s="21">
        <v>3.2</v>
      </c>
      <c r="C19" s="155"/>
      <c r="D19" s="189"/>
      <c r="E19" s="11"/>
      <c r="F19" s="197"/>
      <c r="G19" s="133"/>
      <c r="H19" s="134"/>
      <c r="I19" s="154"/>
      <c r="J19" s="159"/>
      <c r="K19" s="155"/>
      <c r="L19" s="155"/>
      <c r="M19" s="159"/>
      <c r="N19" s="191"/>
      <c r="O19" s="133"/>
      <c r="P19" s="134"/>
    </row>
    <row r="20" spans="1:16" ht="13.5" customHeight="1" thickBot="1" x14ac:dyDescent="0.3">
      <c r="A20" s="154"/>
      <c r="B20" s="14">
        <v>4.0999999999999996</v>
      </c>
      <c r="C20" s="155"/>
      <c r="D20" s="189" t="s">
        <v>9</v>
      </c>
      <c r="E20" s="7">
        <v>0.19</v>
      </c>
      <c r="F20" s="196">
        <f>SUM(E20:E21)</f>
        <v>0.34599999999999997</v>
      </c>
      <c r="G20" s="133">
        <f>AVERAGE(F20:F25)</f>
        <v>0.34466666666666662</v>
      </c>
      <c r="H20" s="134">
        <f>STDEVA(F20:F25)</f>
        <v>7.0945988845975937E-3</v>
      </c>
      <c r="I20" s="154"/>
      <c r="J20" s="159">
        <v>4</v>
      </c>
      <c r="K20" s="155"/>
      <c r="L20" s="155" t="s">
        <v>9</v>
      </c>
      <c r="M20" s="159">
        <v>0.22600000000000001</v>
      </c>
      <c r="N20" s="192">
        <f>SUM(M20:M21)</f>
        <v>0.22600000000000001</v>
      </c>
      <c r="O20" s="133">
        <f>AVERAGE(N20:N25)</f>
        <v>0.23466666666666666</v>
      </c>
      <c r="P20" s="134">
        <f>STDEVA(N20:N25)</f>
        <v>8.0829037686547534E-3</v>
      </c>
    </row>
    <row r="21" spans="1:16" ht="13.5" customHeight="1" thickBot="1" x14ac:dyDescent="0.3">
      <c r="A21" s="154"/>
      <c r="B21" s="16">
        <v>4.2</v>
      </c>
      <c r="C21" s="155"/>
      <c r="D21" s="189"/>
      <c r="E21" s="9">
        <v>0.156</v>
      </c>
      <c r="F21" s="196"/>
      <c r="G21" s="133"/>
      <c r="H21" s="134"/>
      <c r="I21" s="154"/>
      <c r="J21" s="159"/>
      <c r="K21" s="155"/>
      <c r="L21" s="155"/>
      <c r="M21" s="159"/>
      <c r="N21" s="192"/>
      <c r="O21" s="133"/>
      <c r="P21" s="134"/>
    </row>
    <row r="22" spans="1:16" ht="13.5" customHeight="1" thickBot="1" x14ac:dyDescent="0.3">
      <c r="A22" s="154"/>
      <c r="B22" s="16">
        <v>5.0999999999999996</v>
      </c>
      <c r="C22" s="155"/>
      <c r="D22" s="189"/>
      <c r="E22" s="9">
        <v>0.17199999999999999</v>
      </c>
      <c r="F22" s="199">
        <f>SUM(E22:E23)</f>
        <v>0.33699999999999997</v>
      </c>
      <c r="G22" s="133"/>
      <c r="H22" s="134"/>
      <c r="I22" s="154"/>
      <c r="J22" s="159">
        <v>5</v>
      </c>
      <c r="K22" s="155"/>
      <c r="L22" s="155"/>
      <c r="M22" s="159">
        <v>0.23599999999999999</v>
      </c>
      <c r="N22" s="190">
        <f>SUM(M22:M23)</f>
        <v>0.23599999999999999</v>
      </c>
      <c r="O22" s="133"/>
      <c r="P22" s="134"/>
    </row>
    <row r="23" spans="1:16" ht="13.5" customHeight="1" thickBot="1" x14ac:dyDescent="0.3">
      <c r="A23" s="154"/>
      <c r="B23" s="16">
        <v>5.2</v>
      </c>
      <c r="C23" s="155"/>
      <c r="D23" s="189"/>
      <c r="E23" s="9">
        <v>0.16500000000000001</v>
      </c>
      <c r="F23" s="199"/>
      <c r="G23" s="133"/>
      <c r="H23" s="134"/>
      <c r="I23" s="154"/>
      <c r="J23" s="159"/>
      <c r="K23" s="155"/>
      <c r="L23" s="155"/>
      <c r="M23" s="159"/>
      <c r="N23" s="190"/>
      <c r="O23" s="133"/>
      <c r="P23" s="134"/>
    </row>
    <row r="24" spans="1:16" ht="13.5" customHeight="1" thickBot="1" x14ac:dyDescent="0.3">
      <c r="A24" s="154"/>
      <c r="B24" s="16">
        <v>6.1</v>
      </c>
      <c r="C24" s="155"/>
      <c r="D24" s="189"/>
      <c r="E24" s="9">
        <v>0.186</v>
      </c>
      <c r="F24" s="197">
        <f>SUM(E24:E25)</f>
        <v>0.35099999999999998</v>
      </c>
      <c r="G24" s="133"/>
      <c r="H24" s="134"/>
      <c r="I24" s="154"/>
      <c r="J24" s="159">
        <v>6</v>
      </c>
      <c r="K24" s="155"/>
      <c r="L24" s="155"/>
      <c r="M24" s="159">
        <v>0.24199999999999999</v>
      </c>
      <c r="N24" s="191">
        <f>SUM(M24:M25)</f>
        <v>0.24199999999999999</v>
      </c>
      <c r="O24" s="133"/>
      <c r="P24" s="134"/>
    </row>
    <row r="25" spans="1:16" ht="13.5" customHeight="1" thickBot="1" x14ac:dyDescent="0.3">
      <c r="A25" s="154"/>
      <c r="B25" s="21">
        <v>6.2</v>
      </c>
      <c r="C25" s="155"/>
      <c r="D25" s="189"/>
      <c r="E25" s="12">
        <v>0.16500000000000001</v>
      </c>
      <c r="F25" s="197"/>
      <c r="G25" s="133"/>
      <c r="H25" s="134"/>
      <c r="I25" s="154"/>
      <c r="J25" s="159"/>
      <c r="K25" s="155"/>
      <c r="L25" s="155"/>
      <c r="M25" s="159"/>
      <c r="N25" s="191"/>
      <c r="O25" s="133"/>
      <c r="P25" s="134"/>
    </row>
  </sheetData>
  <mergeCells count="68">
    <mergeCell ref="D8:D13"/>
    <mergeCell ref="F8:F9"/>
    <mergeCell ref="D2:D7"/>
    <mergeCell ref="F2:F3"/>
    <mergeCell ref="G2:G7"/>
    <mergeCell ref="H2:H7"/>
    <mergeCell ref="F4:F5"/>
    <mergeCell ref="F6:F7"/>
    <mergeCell ref="O8:O13"/>
    <mergeCell ref="P8:P13"/>
    <mergeCell ref="I2:I13"/>
    <mergeCell ref="K2:K13"/>
    <mergeCell ref="L2:L7"/>
    <mergeCell ref="N2:N3"/>
    <mergeCell ref="O2:O7"/>
    <mergeCell ref="P2:P7"/>
    <mergeCell ref="N4:N5"/>
    <mergeCell ref="N6:N7"/>
    <mergeCell ref="F10:F11"/>
    <mergeCell ref="N10:N11"/>
    <mergeCell ref="F12:F13"/>
    <mergeCell ref="N12:N13"/>
    <mergeCell ref="A14:A25"/>
    <mergeCell ref="C14:C25"/>
    <mergeCell ref="D14:D19"/>
    <mergeCell ref="F14:F15"/>
    <mergeCell ref="G14:G19"/>
    <mergeCell ref="H14:H19"/>
    <mergeCell ref="G8:G13"/>
    <mergeCell ref="H8:H13"/>
    <mergeCell ref="L8:L13"/>
    <mergeCell ref="N8:N9"/>
    <mergeCell ref="A2:A13"/>
    <mergeCell ref="C2:C13"/>
    <mergeCell ref="D20:D25"/>
    <mergeCell ref="F20:F21"/>
    <mergeCell ref="G20:G25"/>
    <mergeCell ref="O14:O19"/>
    <mergeCell ref="P14:P19"/>
    <mergeCell ref="F16:F17"/>
    <mergeCell ref="J16:J17"/>
    <mergeCell ref="M16:M17"/>
    <mergeCell ref="N16:N17"/>
    <mergeCell ref="F18:F19"/>
    <mergeCell ref="J18:J19"/>
    <mergeCell ref="M18:M19"/>
    <mergeCell ref="N18:N19"/>
    <mergeCell ref="I14:I25"/>
    <mergeCell ref="J14:J15"/>
    <mergeCell ref="K14:K25"/>
    <mergeCell ref="L14:L19"/>
    <mergeCell ref="M14:M15"/>
    <mergeCell ref="N14:N15"/>
    <mergeCell ref="H20:H25"/>
    <mergeCell ref="J20:J21"/>
    <mergeCell ref="O20:O25"/>
    <mergeCell ref="P20:P25"/>
    <mergeCell ref="F22:F23"/>
    <mergeCell ref="J22:J23"/>
    <mergeCell ref="M22:M23"/>
    <mergeCell ref="N22:N23"/>
    <mergeCell ref="F24:F25"/>
    <mergeCell ref="J24:J25"/>
    <mergeCell ref="M24:M25"/>
    <mergeCell ref="N24:N25"/>
    <mergeCell ref="L20:L25"/>
    <mergeCell ref="M20:M21"/>
    <mergeCell ref="N20:N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2"/>
  <sheetViews>
    <sheetView topLeftCell="C1" zoomScaleNormal="100" workbookViewId="0">
      <pane ySplit="1" topLeftCell="A41" activePane="bottomLeft" state="frozen"/>
      <selection pane="bottomLeft" activeCell="T72" sqref="T72"/>
    </sheetView>
  </sheetViews>
  <sheetFormatPr defaultRowHeight="15" x14ac:dyDescent="0.25"/>
  <cols>
    <col min="3" max="3" width="9.5703125" bestFit="1" customWidth="1"/>
    <col min="8" max="9" width="9.42578125" bestFit="1" customWidth="1"/>
  </cols>
  <sheetData>
    <row r="1" spans="1:8" ht="30" x14ac:dyDescent="0.25">
      <c r="A1" s="53"/>
      <c r="B1" s="53" t="s">
        <v>28</v>
      </c>
      <c r="C1" s="53" t="s">
        <v>26</v>
      </c>
      <c r="D1" s="53" t="s">
        <v>27</v>
      </c>
      <c r="E1" s="53" t="s">
        <v>29</v>
      </c>
      <c r="F1" s="53" t="s">
        <v>26</v>
      </c>
      <c r="G1" s="80" t="s">
        <v>40</v>
      </c>
      <c r="H1" s="53" t="s">
        <v>39</v>
      </c>
    </row>
    <row r="2" spans="1:8" x14ac:dyDescent="0.25">
      <c r="A2" t="s">
        <v>19</v>
      </c>
      <c r="B2">
        <v>0.21400000000000002</v>
      </c>
      <c r="C2" s="55">
        <f>STDEVA(B2:B4)</f>
        <v>2.2744962812309297E-2</v>
      </c>
      <c r="D2" s="55">
        <f>AVERAGE(B2:B4)</f>
        <v>0.22066666666666668</v>
      </c>
      <c r="H2" s="78">
        <f>(B2+E2)</f>
        <v>0.21400000000000002</v>
      </c>
    </row>
    <row r="3" spans="1:8" x14ac:dyDescent="0.25">
      <c r="B3">
        <v>0.246</v>
      </c>
      <c r="C3" s="55"/>
      <c r="D3" s="55"/>
      <c r="H3" s="78">
        <f>(B3+E3)</f>
        <v>0.246</v>
      </c>
    </row>
    <row r="4" spans="1:8" x14ac:dyDescent="0.25">
      <c r="B4">
        <v>0.20200000000000001</v>
      </c>
      <c r="C4" s="55"/>
      <c r="D4" s="55"/>
      <c r="H4" s="78">
        <f t="shared" ref="H4:H19" si="0">(B4+E4)</f>
        <v>0.20200000000000001</v>
      </c>
    </row>
    <row r="5" spans="1:8" x14ac:dyDescent="0.25"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 t="shared" si="0"/>
        <v>0.32</v>
      </c>
    </row>
    <row r="6" spans="1:8" x14ac:dyDescent="0.25">
      <c r="B6">
        <v>0.35899999999999999</v>
      </c>
      <c r="C6" s="55"/>
      <c r="D6" s="55"/>
      <c r="H6" s="78">
        <f t="shared" si="0"/>
        <v>0.35899999999999999</v>
      </c>
    </row>
    <row r="7" spans="1:8" x14ac:dyDescent="0.25">
      <c r="B7">
        <v>0.35299999999999998</v>
      </c>
      <c r="C7" s="55"/>
      <c r="D7" s="55"/>
      <c r="H7" s="78">
        <f t="shared" si="0"/>
        <v>0.35299999999999998</v>
      </c>
    </row>
    <row r="8" spans="1:8" x14ac:dyDescent="0.25">
      <c r="A8" t="s">
        <v>20</v>
      </c>
      <c r="B8">
        <v>0.20200000000000001</v>
      </c>
      <c r="C8" s="55">
        <f>STDEVA(B8:B10)</f>
        <v>3.6909799963333947E-2</v>
      </c>
      <c r="D8" s="55">
        <f>AVERAGE(B8:B10)</f>
        <v>0.23533333333333337</v>
      </c>
      <c r="H8" s="78">
        <f t="shared" si="0"/>
        <v>0.20200000000000001</v>
      </c>
    </row>
    <row r="9" spans="1:8" x14ac:dyDescent="0.25">
      <c r="B9">
        <v>0.22900000000000001</v>
      </c>
      <c r="C9" s="55"/>
      <c r="D9" s="55"/>
      <c r="H9" s="78">
        <f t="shared" si="0"/>
        <v>0.22900000000000001</v>
      </c>
    </row>
    <row r="10" spans="1:8" x14ac:dyDescent="0.25">
      <c r="B10">
        <v>0.27500000000000002</v>
      </c>
      <c r="C10" s="55"/>
      <c r="D10" s="55"/>
      <c r="H10" s="78">
        <f t="shared" si="0"/>
        <v>0.27500000000000002</v>
      </c>
    </row>
    <row r="11" spans="1:8" x14ac:dyDescent="0.25"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0"/>
        <v>0.33</v>
      </c>
    </row>
    <row r="12" spans="1:8" x14ac:dyDescent="0.25">
      <c r="B12">
        <v>0.39200000000000002</v>
      </c>
      <c r="C12" s="55"/>
      <c r="D12" s="55"/>
      <c r="H12" s="78">
        <f t="shared" si="0"/>
        <v>0.39200000000000002</v>
      </c>
    </row>
    <row r="13" spans="1:8" x14ac:dyDescent="0.25">
      <c r="B13">
        <v>0.35099999999999998</v>
      </c>
      <c r="C13" s="55"/>
      <c r="D13" s="55"/>
      <c r="H13" s="78">
        <f t="shared" si="0"/>
        <v>0.35099999999999998</v>
      </c>
    </row>
    <row r="14" spans="1:8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0"/>
        <v>0.36</v>
      </c>
    </row>
    <row r="15" spans="1:8" x14ac:dyDescent="0.25">
      <c r="B15">
        <v>0.38</v>
      </c>
      <c r="C15" s="55"/>
      <c r="D15" s="55"/>
      <c r="H15" s="78">
        <f t="shared" si="0"/>
        <v>0.38</v>
      </c>
    </row>
    <row r="16" spans="1:8" x14ac:dyDescent="0.25">
      <c r="B16">
        <v>0.30199999999999999</v>
      </c>
      <c r="C16" s="55"/>
      <c r="D16" s="55"/>
      <c r="H16" s="78">
        <f t="shared" si="0"/>
        <v>0.30199999999999999</v>
      </c>
    </row>
    <row r="17" spans="1:8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0"/>
        <v>0.47</v>
      </c>
    </row>
    <row r="18" spans="1:8" x14ac:dyDescent="0.25">
      <c r="B18">
        <v>0.47199999999999998</v>
      </c>
      <c r="C18" s="55"/>
      <c r="D18" s="55"/>
      <c r="H18" s="78">
        <f t="shared" si="0"/>
        <v>0.47199999999999998</v>
      </c>
    </row>
    <row r="19" spans="1:8" x14ac:dyDescent="0.25">
      <c r="B19">
        <v>0.41500000000000004</v>
      </c>
      <c r="C19" s="55"/>
      <c r="D19" s="55"/>
      <c r="H19" s="78">
        <f t="shared" si="0"/>
        <v>0.41500000000000004</v>
      </c>
    </row>
    <row r="20" spans="1:8" x14ac:dyDescent="0.25">
      <c r="A20" t="s">
        <v>22</v>
      </c>
      <c r="B20">
        <v>0.23599999999999999</v>
      </c>
      <c r="C20" s="55">
        <f>STDEVA(B20:B22)</f>
        <v>1.9399312702601933E-2</v>
      </c>
      <c r="D20" s="55">
        <f>AVERAGE(B20:B22)</f>
        <v>0.2233333333333333</v>
      </c>
      <c r="E20">
        <v>0.255</v>
      </c>
      <c r="F20" s="55">
        <f>STDEVA(E20:E22)</f>
        <v>2.6652079343520891E-2</v>
      </c>
      <c r="G20" s="55">
        <f>AVERAGE(E20:E22)</f>
        <v>0.27466666666666667</v>
      </c>
      <c r="H20" s="79">
        <f>(B20+E20)</f>
        <v>0.49099999999999999</v>
      </c>
    </row>
    <row r="21" spans="1:8" x14ac:dyDescent="0.25"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1">(B21+E21)</f>
        <v>0.497</v>
      </c>
    </row>
    <row r="22" spans="1:8" x14ac:dyDescent="0.25"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1"/>
        <v>0.50600000000000001</v>
      </c>
    </row>
    <row r="23" spans="1:8" x14ac:dyDescent="0.25"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1"/>
        <v>0.504</v>
      </c>
    </row>
    <row r="24" spans="1:8" x14ac:dyDescent="0.25"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1"/>
        <v>0.51700000000000002</v>
      </c>
    </row>
    <row r="25" spans="1:8" x14ac:dyDescent="0.25">
      <c r="B25">
        <v>0.185</v>
      </c>
      <c r="C25" s="55"/>
      <c r="D25" s="55"/>
      <c r="E25">
        <v>0.32</v>
      </c>
      <c r="F25" s="55"/>
      <c r="G25" s="55"/>
      <c r="H25" s="79">
        <f t="shared" si="1"/>
        <v>0.505</v>
      </c>
    </row>
    <row r="26" spans="1:8" x14ac:dyDescent="0.25">
      <c r="A26" t="s">
        <v>23</v>
      </c>
      <c r="B26">
        <v>0.10100000000000001</v>
      </c>
      <c r="C26" s="55">
        <f>STDEVA(B26:B28)</f>
        <v>1.2503332889007365E-2</v>
      </c>
      <c r="D26" s="55">
        <f>AVERAGE(B26:B28)</f>
        <v>0.11333333333333334</v>
      </c>
      <c r="E26">
        <v>0.185</v>
      </c>
      <c r="F26" s="55">
        <f>STDEVA(E26:E28)</f>
        <v>1.3650396819628846E-2</v>
      </c>
      <c r="G26" s="55">
        <f>AVERAGE(E26:E28)</f>
        <v>0.19966666666666666</v>
      </c>
      <c r="H26" s="79">
        <f t="shared" si="1"/>
        <v>0.28600000000000003</v>
      </c>
    </row>
    <row r="27" spans="1:8" x14ac:dyDescent="0.25">
      <c r="B27">
        <v>0.113</v>
      </c>
      <c r="C27" s="55"/>
      <c r="D27" s="55"/>
      <c r="E27">
        <v>0.20200000000000001</v>
      </c>
      <c r="F27" s="55"/>
      <c r="G27" s="55"/>
      <c r="H27" s="79">
        <f t="shared" si="1"/>
        <v>0.315</v>
      </c>
    </row>
    <row r="28" spans="1:8" x14ac:dyDescent="0.25">
      <c r="B28">
        <v>0.126</v>
      </c>
      <c r="C28" s="55"/>
      <c r="D28" s="55"/>
      <c r="E28">
        <v>0.21199999999999999</v>
      </c>
      <c r="F28" s="55"/>
      <c r="G28" s="55"/>
      <c r="H28" s="79">
        <f t="shared" si="1"/>
        <v>0.33799999999999997</v>
      </c>
    </row>
    <row r="29" spans="1:8" x14ac:dyDescent="0.25"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1"/>
        <v>0.31</v>
      </c>
    </row>
    <row r="30" spans="1:8" x14ac:dyDescent="0.25">
      <c r="B30">
        <v>0.1</v>
      </c>
      <c r="C30" s="55"/>
      <c r="D30" s="55"/>
      <c r="E30">
        <v>0.17599999999999999</v>
      </c>
      <c r="F30" s="55"/>
      <c r="G30" s="55"/>
      <c r="H30" s="79">
        <f t="shared" si="1"/>
        <v>0.27600000000000002</v>
      </c>
    </row>
    <row r="31" spans="1:8" x14ac:dyDescent="0.25">
      <c r="B31">
        <v>0.10199999999999999</v>
      </c>
      <c r="C31" s="55"/>
      <c r="D31" s="55"/>
      <c r="E31">
        <v>0.185</v>
      </c>
      <c r="F31" s="55"/>
      <c r="G31" s="55"/>
      <c r="H31" s="79">
        <f t="shared" si="1"/>
        <v>0.28699999999999998</v>
      </c>
    </row>
    <row r="32" spans="1:8" x14ac:dyDescent="0.25">
      <c r="A32" t="s">
        <v>24</v>
      </c>
      <c r="B32">
        <v>0.12</v>
      </c>
      <c r="C32" s="55">
        <f>STDEVA(B32:B34)</f>
        <v>1.4571661996262942E-2</v>
      </c>
      <c r="D32" s="55">
        <f>AVERAGE(B32:B34)</f>
        <v>0.12633333333333333</v>
      </c>
      <c r="E32">
        <v>0.114</v>
      </c>
      <c r="F32" s="55">
        <f>STDEVA(E32:E34)</f>
        <v>7.3711147958319921E-3</v>
      </c>
      <c r="G32" s="55">
        <f>AVERAGE(E32:E34)</f>
        <v>0.12233333333333334</v>
      </c>
      <c r="H32" s="79">
        <f t="shared" si="1"/>
        <v>0.23399999999999999</v>
      </c>
    </row>
    <row r="33" spans="1:8" x14ac:dyDescent="0.25">
      <c r="B33">
        <v>0.11599999999999999</v>
      </c>
      <c r="C33" s="55"/>
      <c r="D33" s="55"/>
      <c r="E33">
        <v>0.128</v>
      </c>
      <c r="F33" s="55"/>
      <c r="G33" s="55"/>
      <c r="H33" s="79">
        <f t="shared" si="1"/>
        <v>0.24399999999999999</v>
      </c>
    </row>
    <row r="34" spans="1:8" x14ac:dyDescent="0.25">
      <c r="B34">
        <v>0.14300000000000002</v>
      </c>
      <c r="C34" s="55"/>
      <c r="D34" s="55"/>
      <c r="E34">
        <v>0.125</v>
      </c>
      <c r="F34" s="55"/>
      <c r="G34" s="55"/>
      <c r="H34" s="79">
        <f t="shared" si="1"/>
        <v>0.26800000000000002</v>
      </c>
    </row>
    <row r="35" spans="1:8" x14ac:dyDescent="0.25"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1"/>
        <v>0.55299999999999994</v>
      </c>
    </row>
    <row r="36" spans="1:8" x14ac:dyDescent="0.25">
      <c r="B36">
        <v>0.25</v>
      </c>
      <c r="C36" s="55"/>
      <c r="D36" s="55"/>
      <c r="E36">
        <v>0.33699999999999997</v>
      </c>
      <c r="F36" s="55"/>
      <c r="G36" s="55"/>
      <c r="H36" s="79">
        <f t="shared" si="1"/>
        <v>0.58699999999999997</v>
      </c>
    </row>
    <row r="37" spans="1:8" x14ac:dyDescent="0.25">
      <c r="B37">
        <v>0.19700000000000001</v>
      </c>
      <c r="C37" s="55"/>
      <c r="D37" s="55"/>
      <c r="E37">
        <v>0.35099999999999998</v>
      </c>
      <c r="F37" s="55"/>
      <c r="G37" s="55"/>
      <c r="H37" s="79">
        <f t="shared" si="1"/>
        <v>0.54800000000000004</v>
      </c>
    </row>
    <row r="38" spans="1:8" x14ac:dyDescent="0.25">
      <c r="A38" t="s">
        <v>25</v>
      </c>
      <c r="B38">
        <v>0.19800000000000001</v>
      </c>
      <c r="C38" s="55">
        <f>STDEVA(B38:B40)</f>
        <v>1.3316656236958782E-2</v>
      </c>
      <c r="D38" s="55">
        <f>AVERAGE(B38:B40)</f>
        <v>0.21266666666666667</v>
      </c>
      <c r="E38">
        <v>0.11</v>
      </c>
      <c r="F38" s="55">
        <f>STDEVA(E38:E40)</f>
        <v>7.6376261582597324E-3</v>
      </c>
      <c r="G38" s="55">
        <f>AVERAGE(E38:E40)</f>
        <v>0.11833333333333333</v>
      </c>
      <c r="H38" s="79">
        <f t="shared" si="1"/>
        <v>0.308</v>
      </c>
    </row>
    <row r="39" spans="1:8" x14ac:dyDescent="0.25">
      <c r="B39">
        <v>0.224</v>
      </c>
      <c r="C39" s="55"/>
      <c r="D39" s="55"/>
      <c r="E39">
        <v>0.125</v>
      </c>
      <c r="F39" s="55"/>
      <c r="G39" s="55"/>
      <c r="H39" s="79">
        <f t="shared" si="1"/>
        <v>0.34899999999999998</v>
      </c>
    </row>
    <row r="40" spans="1:8" x14ac:dyDescent="0.25">
      <c r="B40">
        <v>0.216</v>
      </c>
      <c r="C40" s="55"/>
      <c r="D40" s="55"/>
      <c r="E40">
        <v>0.12</v>
      </c>
      <c r="F40" s="55"/>
      <c r="G40" s="55"/>
      <c r="H40" s="79">
        <f t="shared" si="1"/>
        <v>0.33599999999999997</v>
      </c>
    </row>
    <row r="41" spans="1:8" x14ac:dyDescent="0.25"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1"/>
        <v>0.377</v>
      </c>
    </row>
    <row r="42" spans="1:8" x14ac:dyDescent="0.25">
      <c r="B42">
        <v>0.14000000000000001</v>
      </c>
      <c r="E42">
        <v>0.23599999999999999</v>
      </c>
      <c r="H42" s="79">
        <f t="shared" si="1"/>
        <v>0.376</v>
      </c>
    </row>
    <row r="43" spans="1:8" ht="15.75" thickBot="1" x14ac:dyDescent="0.3">
      <c r="B43">
        <v>0.20200000000000001</v>
      </c>
      <c r="E43">
        <v>0.24199999999999999</v>
      </c>
      <c r="H43" s="79">
        <f t="shared" si="1"/>
        <v>0.44400000000000001</v>
      </c>
    </row>
    <row r="44" spans="1:8" x14ac:dyDescent="0.25">
      <c r="A44" t="s">
        <v>38</v>
      </c>
      <c r="B44" s="75">
        <v>0.105</v>
      </c>
      <c r="H44" s="79">
        <f t="shared" si="1"/>
        <v>0.105</v>
      </c>
    </row>
    <row r="45" spans="1:8" x14ac:dyDescent="0.25">
      <c r="B45" s="76">
        <v>0.115</v>
      </c>
      <c r="H45" s="79">
        <f t="shared" si="1"/>
        <v>0.115</v>
      </c>
    </row>
    <row r="46" spans="1:8" ht="15.75" thickBot="1" x14ac:dyDescent="0.3">
      <c r="B46" s="77">
        <v>0.128</v>
      </c>
      <c r="H46" s="79">
        <f t="shared" si="1"/>
        <v>0.128</v>
      </c>
    </row>
    <row r="47" spans="1:8" x14ac:dyDescent="0.25">
      <c r="B47" s="76">
        <v>0.74399999999999999</v>
      </c>
      <c r="H47" s="79">
        <f t="shared" si="1"/>
        <v>0.74399999999999999</v>
      </c>
    </row>
    <row r="48" spans="1:8" x14ac:dyDescent="0.25">
      <c r="B48" s="76">
        <v>0.69399999999999995</v>
      </c>
      <c r="H48" s="79">
        <f t="shared" si="1"/>
        <v>0.69399999999999995</v>
      </c>
    </row>
    <row r="49" spans="1:9" x14ac:dyDescent="0.25">
      <c r="B49" s="76">
        <v>0.66200000000000003</v>
      </c>
      <c r="H49" s="79">
        <f t="shared" si="1"/>
        <v>0.66200000000000003</v>
      </c>
    </row>
    <row r="53" spans="1:9" ht="30" x14ac:dyDescent="0.25">
      <c r="B53" t="s">
        <v>26</v>
      </c>
      <c r="C53" s="57" t="s">
        <v>30</v>
      </c>
      <c r="D53" t="s">
        <v>26</v>
      </c>
      <c r="E53" s="57" t="s">
        <v>32</v>
      </c>
      <c r="F53" s="57" t="s">
        <v>33</v>
      </c>
      <c r="G53" s="57" t="s">
        <v>34</v>
      </c>
      <c r="H53" s="57" t="s">
        <v>41</v>
      </c>
      <c r="I53" s="57" t="s">
        <v>26</v>
      </c>
    </row>
    <row r="54" spans="1:9" x14ac:dyDescent="0.25">
      <c r="A54" t="s">
        <v>19</v>
      </c>
      <c r="B54" s="67">
        <v>2.2744962812309297E-2</v>
      </c>
      <c r="C54" s="67">
        <v>0.22066666666666668</v>
      </c>
      <c r="F54" s="67">
        <f>SUM(C54,E54)</f>
        <v>0.22066666666666668</v>
      </c>
      <c r="G54" s="67">
        <f>SUM(B54,D54)</f>
        <v>2.2744962812309297E-2</v>
      </c>
      <c r="H54">
        <v>0</v>
      </c>
    </row>
    <row r="55" spans="1:9" x14ac:dyDescent="0.25">
      <c r="B55" s="67">
        <v>2.0999999999999987E-2</v>
      </c>
      <c r="C55" s="67">
        <v>0.34400000000000003</v>
      </c>
      <c r="F55" s="67">
        <f t="shared" ref="F55:F69" si="2">SUM(C55,E55)</f>
        <v>0.34400000000000003</v>
      </c>
      <c r="G55" s="67">
        <f t="shared" ref="G55:G67" si="3">SUM(B55,D55)</f>
        <v>2.0999999999999987E-2</v>
      </c>
    </row>
    <row r="56" spans="1:9" x14ac:dyDescent="0.25">
      <c r="A56" t="s">
        <v>20</v>
      </c>
      <c r="B56" s="67">
        <v>3.6909799963333947E-2</v>
      </c>
      <c r="C56" s="67">
        <v>0.23533333333333337</v>
      </c>
      <c r="F56" s="67">
        <f t="shared" si="2"/>
        <v>0.23533333333333337</v>
      </c>
      <c r="G56" s="67">
        <f t="shared" si="3"/>
        <v>3.6909799963333947E-2</v>
      </c>
      <c r="H56" s="66">
        <v>0.42386666666666667</v>
      </c>
      <c r="I56" s="66">
        <v>2.173323108360407E-3</v>
      </c>
    </row>
    <row r="57" spans="1:9" x14ac:dyDescent="0.25">
      <c r="B57" s="67">
        <v>3.1533051443419391E-2</v>
      </c>
      <c r="C57" s="67">
        <v>0.35766666666666663</v>
      </c>
      <c r="F57" s="67">
        <f t="shared" si="2"/>
        <v>0.35766666666666663</v>
      </c>
      <c r="G57" s="67">
        <f t="shared" si="3"/>
        <v>3.1533051443419391E-2</v>
      </c>
      <c r="H57" s="66"/>
      <c r="I57" s="66"/>
    </row>
    <row r="58" spans="1:9" x14ac:dyDescent="0.25">
      <c r="A58" t="s">
        <v>21</v>
      </c>
      <c r="B58" s="67">
        <v>4.0513372277969327E-2</v>
      </c>
      <c r="C58" s="67">
        <v>0.34733333333333333</v>
      </c>
      <c r="F58" s="67">
        <f t="shared" si="2"/>
        <v>0.34733333333333333</v>
      </c>
      <c r="G58" s="67">
        <f t="shared" si="3"/>
        <v>4.0513372277969327E-2</v>
      </c>
      <c r="H58" s="66">
        <v>0.8211666666666666</v>
      </c>
      <c r="I58" s="66">
        <v>1.7897858344878123E-3</v>
      </c>
    </row>
    <row r="59" spans="1:9" x14ac:dyDescent="0.25">
      <c r="B59" s="67">
        <v>3.2347076117221644E-2</v>
      </c>
      <c r="C59" s="67">
        <v>0.45233333333333331</v>
      </c>
      <c r="F59" s="67">
        <f t="shared" si="2"/>
        <v>0.45233333333333331</v>
      </c>
      <c r="G59" s="67">
        <f t="shared" si="3"/>
        <v>3.2347076117221644E-2</v>
      </c>
      <c r="H59" s="66">
        <v>0.33416666666666667</v>
      </c>
      <c r="I59" s="66">
        <v>3.0501366089625095E-3</v>
      </c>
    </row>
    <row r="60" spans="1:9" x14ac:dyDescent="0.25">
      <c r="A60" t="s">
        <v>22</v>
      </c>
      <c r="B60" s="67">
        <v>1.9399312702601933E-2</v>
      </c>
      <c r="C60" s="67">
        <v>0.2233333333333333</v>
      </c>
      <c r="D60" s="67">
        <v>2.6652079343520891E-2</v>
      </c>
      <c r="E60" s="67">
        <v>0.27466666666666667</v>
      </c>
      <c r="F60" s="67">
        <f t="shared" si="2"/>
        <v>0.498</v>
      </c>
      <c r="G60" s="67">
        <f t="shared" si="3"/>
        <v>4.6051392046122824E-2</v>
      </c>
      <c r="H60" s="66"/>
      <c r="I60" s="66"/>
    </row>
    <row r="61" spans="1:9" x14ac:dyDescent="0.25">
      <c r="B61" s="67">
        <v>1.2288205727444502E-2</v>
      </c>
      <c r="C61" s="67">
        <v>0.17100000000000001</v>
      </c>
      <c r="D61" s="67">
        <v>1.7502380790433425E-2</v>
      </c>
      <c r="E61" s="67">
        <v>0.33766666666666673</v>
      </c>
      <c r="F61" s="67">
        <f t="shared" si="2"/>
        <v>0.50866666666666671</v>
      </c>
      <c r="G61" s="67">
        <f t="shared" si="3"/>
        <v>2.9790586517877929E-2</v>
      </c>
      <c r="H61" s="66"/>
      <c r="I61" s="66"/>
    </row>
    <row r="62" spans="1:9" x14ac:dyDescent="0.25">
      <c r="A62" t="s">
        <v>23</v>
      </c>
      <c r="B62" s="67">
        <v>1.2503332889007365E-2</v>
      </c>
      <c r="C62" s="67">
        <v>0.11333333333333334</v>
      </c>
      <c r="D62" s="67">
        <v>1.3650396819628846E-2</v>
      </c>
      <c r="E62" s="67">
        <v>0.19966666666666666</v>
      </c>
      <c r="F62" s="67">
        <f t="shared" si="2"/>
        <v>0.313</v>
      </c>
      <c r="G62" s="67">
        <f t="shared" si="3"/>
        <v>2.6153729708636213E-2</v>
      </c>
      <c r="H62" s="66">
        <v>0.13626666666666667</v>
      </c>
      <c r="I62" s="66">
        <v>2.3586719427112698E-3</v>
      </c>
    </row>
    <row r="63" spans="1:9" x14ac:dyDescent="0.25">
      <c r="B63" s="67">
        <v>1.1015141094572202E-2</v>
      </c>
      <c r="C63" s="67">
        <v>0.10733333333333334</v>
      </c>
      <c r="D63" s="67">
        <v>7.0945988845975937E-3</v>
      </c>
      <c r="E63" s="67">
        <v>0.18366666666666664</v>
      </c>
      <c r="F63" s="67">
        <f t="shared" si="2"/>
        <v>0.29099999999999998</v>
      </c>
      <c r="G63" s="67">
        <f t="shared" si="3"/>
        <v>1.8109739979169794E-2</v>
      </c>
      <c r="H63" s="66"/>
      <c r="I63" s="66"/>
    </row>
    <row r="64" spans="1:9" x14ac:dyDescent="0.25">
      <c r="A64" t="s">
        <v>24</v>
      </c>
      <c r="B64" s="67">
        <v>1.4571661996262942E-2</v>
      </c>
      <c r="C64" s="67">
        <v>0.12633333333333333</v>
      </c>
      <c r="D64" s="67">
        <v>7.3711147958319921E-3</v>
      </c>
      <c r="E64" s="67">
        <v>0.12233333333333334</v>
      </c>
      <c r="F64" s="67">
        <f t="shared" si="2"/>
        <v>0.24866666666666665</v>
      </c>
      <c r="G64" s="67">
        <f t="shared" si="3"/>
        <v>2.1942776792094935E-2</v>
      </c>
      <c r="H64" s="66">
        <v>0.58143333333333336</v>
      </c>
      <c r="I64" s="66">
        <v>4.5829393770083146E-3</v>
      </c>
    </row>
    <row r="65" spans="1:9" x14ac:dyDescent="0.25">
      <c r="B65" s="67">
        <v>2.8160255680657977E-2</v>
      </c>
      <c r="C65" s="67">
        <v>0.21799999999999997</v>
      </c>
      <c r="D65" s="67">
        <v>7.0945988845975937E-3</v>
      </c>
      <c r="E65" s="67">
        <v>0.34466666666666662</v>
      </c>
      <c r="F65" s="67">
        <f t="shared" si="2"/>
        <v>0.56266666666666665</v>
      </c>
      <c r="G65" s="67">
        <f t="shared" si="3"/>
        <v>3.5254854565255567E-2</v>
      </c>
      <c r="H65" s="66"/>
      <c r="I65" s="66"/>
    </row>
    <row r="66" spans="1:9" x14ac:dyDescent="0.25">
      <c r="A66" t="s">
        <v>25</v>
      </c>
      <c r="B66" s="67">
        <v>1.3316656236958782E-2</v>
      </c>
      <c r="C66" s="67">
        <v>0.21266666666666667</v>
      </c>
      <c r="D66" s="67">
        <v>7.6376261582597324E-3</v>
      </c>
      <c r="E66" s="67">
        <v>0.11833333333333333</v>
      </c>
      <c r="F66" s="67">
        <f t="shared" si="2"/>
        <v>0.33100000000000002</v>
      </c>
      <c r="G66" s="67">
        <f t="shared" si="3"/>
        <v>2.0954282395218515E-2</v>
      </c>
      <c r="H66" s="66"/>
      <c r="I66" s="66"/>
    </row>
    <row r="67" spans="1:9" x14ac:dyDescent="0.25">
      <c r="B67" s="67">
        <v>3.3080709383768198E-2</v>
      </c>
      <c r="C67" s="67">
        <v>0.16433333333333336</v>
      </c>
      <c r="D67" s="67">
        <v>8.0829037686547534E-3</v>
      </c>
      <c r="E67" s="67">
        <v>0.23466666666666666</v>
      </c>
      <c r="F67" s="67">
        <f t="shared" si="2"/>
        <v>0.39900000000000002</v>
      </c>
      <c r="G67" s="67">
        <f t="shared" si="3"/>
        <v>4.1163613152422951E-2</v>
      </c>
      <c r="H67" s="66">
        <v>0.32519999999999999</v>
      </c>
      <c r="I67" s="66">
        <v>2.4269322199023083E-3</v>
      </c>
    </row>
    <row r="68" spans="1:9" x14ac:dyDescent="0.25">
      <c r="A68" t="s">
        <v>31</v>
      </c>
      <c r="B68" s="67">
        <v>1.12E-2</v>
      </c>
      <c r="C68" s="67">
        <v>0.11600000000000001</v>
      </c>
      <c r="F68" s="67">
        <f>SUM(C68,E68)</f>
        <v>0.11600000000000001</v>
      </c>
      <c r="G68" s="67"/>
    </row>
    <row r="69" spans="1:9" x14ac:dyDescent="0.25">
      <c r="B69" s="67">
        <v>4.1000000000000002E-2</v>
      </c>
      <c r="C69" s="67">
        <v>0.7</v>
      </c>
      <c r="F69" s="67">
        <f t="shared" si="2"/>
        <v>0.7</v>
      </c>
      <c r="G69" s="67"/>
    </row>
    <row r="71" spans="1:9" x14ac:dyDescent="0.25">
      <c r="B71" s="66"/>
      <c r="C71" s="66"/>
    </row>
    <row r="72" spans="1:9" x14ac:dyDescent="0.25">
      <c r="B72" s="66"/>
      <c r="C72" s="66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C33" sqref="C33"/>
    </sheetView>
  </sheetViews>
  <sheetFormatPr defaultRowHeight="15" x14ac:dyDescent="0.25"/>
  <sheetData>
    <row r="1" spans="1:2" x14ac:dyDescent="0.25">
      <c r="A1" t="s">
        <v>37</v>
      </c>
    </row>
    <row r="2" spans="1:2" x14ac:dyDescent="0.25">
      <c r="A2" t="s">
        <v>22</v>
      </c>
      <c r="B2">
        <v>0.255</v>
      </c>
    </row>
    <row r="3" spans="1:2" x14ac:dyDescent="0.25">
      <c r="B3">
        <v>0.26400000000000001</v>
      </c>
    </row>
    <row r="4" spans="1:2" x14ac:dyDescent="0.25">
      <c r="B4">
        <v>0.30499999999999999</v>
      </c>
    </row>
    <row r="5" spans="1:2" x14ac:dyDescent="0.25">
      <c r="B5">
        <v>0.33800000000000002</v>
      </c>
    </row>
    <row r="6" spans="1:2" x14ac:dyDescent="0.25">
      <c r="B6">
        <v>0.35499999999999998</v>
      </c>
    </row>
    <row r="7" spans="1:2" x14ac:dyDescent="0.25">
      <c r="B7">
        <v>0.32</v>
      </c>
    </row>
    <row r="8" spans="1:2" x14ac:dyDescent="0.25">
      <c r="A8" t="s">
        <v>23</v>
      </c>
      <c r="B8">
        <v>0.185</v>
      </c>
    </row>
    <row r="9" spans="1:2" x14ac:dyDescent="0.25">
      <c r="B9">
        <v>0.20200000000000001</v>
      </c>
    </row>
    <row r="10" spans="1:2" x14ac:dyDescent="0.25">
      <c r="B10">
        <v>0.21199999999999999</v>
      </c>
    </row>
    <row r="11" spans="1:2" x14ac:dyDescent="0.25">
      <c r="B11">
        <v>0.19</v>
      </c>
    </row>
    <row r="12" spans="1:2" x14ac:dyDescent="0.25">
      <c r="B12">
        <v>0.17599999999999999</v>
      </c>
    </row>
    <row r="13" spans="1:2" x14ac:dyDescent="0.25">
      <c r="B13">
        <v>0.185</v>
      </c>
    </row>
    <row r="14" spans="1:2" x14ac:dyDescent="0.25">
      <c r="A14" t="s">
        <v>24</v>
      </c>
      <c r="B14">
        <v>0.114</v>
      </c>
    </row>
    <row r="15" spans="1:2" x14ac:dyDescent="0.25">
      <c r="B15">
        <v>0.128</v>
      </c>
    </row>
    <row r="16" spans="1:2" x14ac:dyDescent="0.25">
      <c r="B16">
        <v>0.125</v>
      </c>
    </row>
    <row r="17" spans="1:2" x14ac:dyDescent="0.25">
      <c r="B17">
        <v>0.34599999999999997</v>
      </c>
    </row>
    <row r="18" spans="1:2" x14ac:dyDescent="0.25">
      <c r="B18">
        <v>0.33699999999999997</v>
      </c>
    </row>
    <row r="19" spans="1:2" x14ac:dyDescent="0.25">
      <c r="B19">
        <v>0.35099999999999998</v>
      </c>
    </row>
    <row r="20" spans="1:2" x14ac:dyDescent="0.25">
      <c r="A20" t="s">
        <v>25</v>
      </c>
      <c r="B20">
        <v>0.11</v>
      </c>
    </row>
    <row r="21" spans="1:2" x14ac:dyDescent="0.25">
      <c r="B21">
        <v>0.125</v>
      </c>
    </row>
    <row r="22" spans="1:2" x14ac:dyDescent="0.25">
      <c r="B22">
        <v>0.12</v>
      </c>
    </row>
    <row r="23" spans="1:2" x14ac:dyDescent="0.25">
      <c r="B23">
        <v>0.22600000000000001</v>
      </c>
    </row>
    <row r="24" spans="1:2" x14ac:dyDescent="0.25">
      <c r="B24">
        <v>0.23599999999999999</v>
      </c>
    </row>
    <row r="25" spans="1:2" x14ac:dyDescent="0.25">
      <c r="B25">
        <v>0.24199999999999999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3F0E-5445-45A1-A958-6F0B4E0CC0CE}">
  <dimension ref="A1:P49"/>
  <sheetViews>
    <sheetView workbookViewId="0">
      <selection activeCell="H20" sqref="H20"/>
    </sheetView>
  </sheetViews>
  <sheetFormatPr defaultRowHeight="15" x14ac:dyDescent="0.25"/>
  <cols>
    <col min="11" max="11" width="10.42578125" customWidth="1"/>
  </cols>
  <sheetData>
    <row r="1" spans="1:16" ht="30.75" thickBot="1" x14ac:dyDescent="0.3">
      <c r="A1" s="53"/>
      <c r="B1" s="80" t="s">
        <v>42</v>
      </c>
      <c r="C1" s="53" t="s">
        <v>26</v>
      </c>
      <c r="D1" s="53" t="s">
        <v>27</v>
      </c>
      <c r="E1" s="80" t="s">
        <v>43</v>
      </c>
      <c r="F1" s="53" t="s">
        <v>26</v>
      </c>
      <c r="G1" s="80" t="s">
        <v>40</v>
      </c>
      <c r="H1" s="80" t="s">
        <v>44</v>
      </c>
      <c r="I1" s="53" t="s">
        <v>41</v>
      </c>
      <c r="J1" s="80" t="s">
        <v>45</v>
      </c>
      <c r="K1" s="80" t="s">
        <v>46</v>
      </c>
      <c r="N1" s="80" t="s">
        <v>64</v>
      </c>
      <c r="O1" s="53" t="s">
        <v>41</v>
      </c>
      <c r="P1" s="80" t="s">
        <v>45</v>
      </c>
    </row>
    <row r="2" spans="1:16" ht="15.75" thickBot="1" x14ac:dyDescent="0.3">
      <c r="A2" s="82" t="s">
        <v>19</v>
      </c>
      <c r="B2" s="83">
        <v>0.21400000000000002</v>
      </c>
      <c r="C2" s="84">
        <f>STDEVA(B2:B4)</f>
        <v>2.2744962812309297E-2</v>
      </c>
      <c r="D2" s="84">
        <f>AVERAGE(B2:B4)</f>
        <v>0.22066666666666668</v>
      </c>
      <c r="E2" s="83"/>
      <c r="F2" s="83"/>
      <c r="G2" s="83"/>
      <c r="H2" s="85">
        <f>(B2+E2)</f>
        <v>0.21400000000000002</v>
      </c>
      <c r="I2" s="83">
        <f>0.2512+0.3229+0.1522+0.2367</f>
        <v>0.96300000000000008</v>
      </c>
      <c r="J2" s="83">
        <v>1.2662</v>
      </c>
      <c r="K2" s="86">
        <f>H2+I2+J2</f>
        <v>2.4432</v>
      </c>
      <c r="M2" t="s">
        <v>48</v>
      </c>
      <c r="O2" t="s">
        <v>65</v>
      </c>
      <c r="P2" t="s">
        <v>65</v>
      </c>
    </row>
    <row r="3" spans="1:16" ht="15.75" thickBot="1" x14ac:dyDescent="0.3">
      <c r="A3" s="87"/>
      <c r="B3">
        <v>0.246</v>
      </c>
      <c r="C3" s="55"/>
      <c r="D3" s="55"/>
      <c r="H3" s="78">
        <f>(B3+E3)</f>
        <v>0.246</v>
      </c>
      <c r="I3">
        <f>0.1537+0.2451+0.2762+0.304</f>
        <v>0.97900000000000009</v>
      </c>
      <c r="J3">
        <v>1.2539</v>
      </c>
      <c r="K3" s="86">
        <f t="shared" ref="K3:K7" si="0">H3+I3+J3</f>
        <v>2.4789000000000003</v>
      </c>
      <c r="M3" t="s">
        <v>49</v>
      </c>
      <c r="O3" t="s">
        <v>65</v>
      </c>
      <c r="P3" t="s">
        <v>65</v>
      </c>
    </row>
    <row r="4" spans="1:16" ht="15.75" thickBot="1" x14ac:dyDescent="0.3">
      <c r="A4" s="87"/>
      <c r="B4">
        <v>0.20200000000000001</v>
      </c>
      <c r="C4" s="55"/>
      <c r="D4" s="55"/>
      <c r="H4" s="78">
        <f t="shared" ref="H4:H19" si="1">(B4+E4)</f>
        <v>0.20200000000000001</v>
      </c>
      <c r="I4">
        <f>0.3474+0.2624+0.1448+0.1863</f>
        <v>0.94090000000000007</v>
      </c>
      <c r="J4">
        <v>1.3146</v>
      </c>
      <c r="K4" s="86">
        <f t="shared" si="0"/>
        <v>2.4575</v>
      </c>
      <c r="M4" t="s">
        <v>50</v>
      </c>
      <c r="P4" t="s">
        <v>65</v>
      </c>
    </row>
    <row r="5" spans="1:16" ht="15.75" thickBot="1" x14ac:dyDescent="0.3">
      <c r="A5" s="87"/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>(B5+E5)</f>
        <v>0.32</v>
      </c>
      <c r="I5">
        <f>0.594+0.3608</f>
        <v>0.95479999999999998</v>
      </c>
      <c r="J5">
        <f>0.3563+0.2905</f>
        <v>0.64680000000000004</v>
      </c>
      <c r="K5" s="86">
        <f>H5+I5+J5</f>
        <v>1.9216</v>
      </c>
      <c r="M5" t="s">
        <v>51</v>
      </c>
      <c r="P5" t="s">
        <v>65</v>
      </c>
    </row>
    <row r="6" spans="1:16" ht="15.75" thickBot="1" x14ac:dyDescent="0.3">
      <c r="A6" s="87"/>
      <c r="B6">
        <v>0.35899999999999999</v>
      </c>
      <c r="C6" s="55"/>
      <c r="D6" s="55"/>
      <c r="H6" s="78">
        <f t="shared" si="1"/>
        <v>0.35899999999999999</v>
      </c>
      <c r="I6">
        <f>0.4715+0.471</f>
        <v>0.94249999999999989</v>
      </c>
      <c r="J6">
        <f>0.3061+0.3195</f>
        <v>0.62559999999999993</v>
      </c>
      <c r="K6" s="86">
        <f t="shared" si="0"/>
        <v>1.9270999999999998</v>
      </c>
      <c r="M6" t="s">
        <v>52</v>
      </c>
      <c r="O6" t="s">
        <v>65</v>
      </c>
      <c r="P6" t="s">
        <v>65</v>
      </c>
    </row>
    <row r="7" spans="1:16" ht="15.75" thickBot="1" x14ac:dyDescent="0.3">
      <c r="A7" s="89"/>
      <c r="B7" s="81">
        <v>0.35299999999999998</v>
      </c>
      <c r="C7" s="90"/>
      <c r="D7" s="90"/>
      <c r="E7" s="81"/>
      <c r="F7" s="81"/>
      <c r="G7" s="81"/>
      <c r="H7" s="91">
        <f t="shared" si="1"/>
        <v>0.35299999999999998</v>
      </c>
      <c r="I7" s="81">
        <f>0.5568+0.3915</f>
        <v>0.94829999999999992</v>
      </c>
      <c r="J7" s="81">
        <f>0.2928+0.3305</f>
        <v>0.62329999999999997</v>
      </c>
      <c r="K7" s="100">
        <f t="shared" si="0"/>
        <v>1.9245999999999999</v>
      </c>
      <c r="M7" t="s">
        <v>53</v>
      </c>
      <c r="O7" t="s">
        <v>65</v>
      </c>
      <c r="P7" t="s">
        <v>65</v>
      </c>
    </row>
    <row r="8" spans="1:16" x14ac:dyDescent="0.25">
      <c r="A8" s="87" t="s">
        <v>20</v>
      </c>
      <c r="B8">
        <v>0.20200000000000001</v>
      </c>
      <c r="C8" s="55">
        <f>STDEVA(B8:B10)</f>
        <v>3.6909799963333947E-2</v>
      </c>
      <c r="D8" s="55">
        <f>AVERAGE(B8:B10)</f>
        <v>0.23533333333333337</v>
      </c>
      <c r="H8" s="78">
        <f t="shared" si="1"/>
        <v>0.20200000000000001</v>
      </c>
      <c r="I8">
        <f>0.3482+0.1878+0.387</f>
        <v>0.92300000000000004</v>
      </c>
      <c r="J8">
        <f>0.787+0.6798</f>
        <v>1.4668000000000001</v>
      </c>
      <c r="K8" s="88">
        <f t="shared" ref="K8:K13" si="2">J8+H8+I8</f>
        <v>2.5918000000000001</v>
      </c>
      <c r="L8">
        <f>0.2259+0.2022+0.4362</f>
        <v>0.86429999999999996</v>
      </c>
      <c r="M8" t="s">
        <v>54</v>
      </c>
      <c r="N8">
        <f>0.3707+0.2022+0.4362</f>
        <v>1.0090999999999999</v>
      </c>
      <c r="O8" t="s">
        <v>65</v>
      </c>
      <c r="P8" t="s">
        <v>65</v>
      </c>
    </row>
    <row r="9" spans="1:16" x14ac:dyDescent="0.25">
      <c r="A9" s="87"/>
      <c r="B9">
        <v>0.22900000000000001</v>
      </c>
      <c r="C9" s="55"/>
      <c r="D9" s="55"/>
      <c r="H9" s="78">
        <f t="shared" si="1"/>
        <v>0.22900000000000001</v>
      </c>
      <c r="I9">
        <f>0.17+0.3037+0.2075+0.2435</f>
        <v>0.92470000000000008</v>
      </c>
      <c r="J9">
        <f>0.6985+0.743</f>
        <v>1.4415</v>
      </c>
      <c r="K9" s="88">
        <f t="shared" si="2"/>
        <v>2.5952000000000002</v>
      </c>
      <c r="L9">
        <f>0.1638+0.2075+0.3114+0.1998</f>
        <v>0.88249999999999995</v>
      </c>
      <c r="M9" t="s">
        <v>55</v>
      </c>
      <c r="N9">
        <f>0.1638+0.2075+0.3114+0.1998</f>
        <v>0.88249999999999995</v>
      </c>
      <c r="O9" t="s">
        <v>65</v>
      </c>
      <c r="P9" t="s">
        <v>65</v>
      </c>
    </row>
    <row r="10" spans="1:16" x14ac:dyDescent="0.25">
      <c r="A10" s="87"/>
      <c r="B10">
        <v>0.27500000000000002</v>
      </c>
      <c r="C10" s="55"/>
      <c r="D10" s="55"/>
      <c r="H10" s="78">
        <f t="shared" si="1"/>
        <v>0.27500000000000002</v>
      </c>
      <c r="I10">
        <f>0.2143+0.2156+0.228+0.2701</f>
        <v>0.92800000000000005</v>
      </c>
      <c r="J10" s="66">
        <f>0.6119+0.8283</f>
        <v>1.4401999999999999</v>
      </c>
      <c r="K10" s="88">
        <f t="shared" si="2"/>
        <v>2.6431999999999998</v>
      </c>
      <c r="L10">
        <f>0.1858+0.2156+0.228+ 0.2351</f>
        <v>0.86449999999999994</v>
      </c>
      <c r="M10" t="s">
        <v>56</v>
      </c>
      <c r="N10">
        <f>0.2143+0.2156+0.228+ 0.2351</f>
        <v>0.89300000000000002</v>
      </c>
      <c r="O10" t="s">
        <v>65</v>
      </c>
      <c r="P10" t="s">
        <v>65</v>
      </c>
    </row>
    <row r="11" spans="1:16" x14ac:dyDescent="0.25">
      <c r="A11" s="87"/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1"/>
        <v>0.33</v>
      </c>
      <c r="I11">
        <f>0.3819+0.5771</f>
        <v>0.95899999999999996</v>
      </c>
      <c r="J11">
        <f>0.3697+0.3544</f>
        <v>0.72409999999999997</v>
      </c>
      <c r="K11" s="88">
        <f>J11+H11+I11</f>
        <v>2.0131000000000001</v>
      </c>
      <c r="L11">
        <f>AVERAGE(L8:L10)</f>
        <v>0.87043333333333328</v>
      </c>
      <c r="M11" t="s">
        <v>57</v>
      </c>
      <c r="N11">
        <f>AVERAGE(N8:N10)</f>
        <v>0.92820000000000003</v>
      </c>
      <c r="O11">
        <v>6</v>
      </c>
      <c r="P11" t="s">
        <v>65</v>
      </c>
    </row>
    <row r="12" spans="1:16" x14ac:dyDescent="0.25">
      <c r="A12" s="87"/>
      <c r="B12">
        <v>0.39200000000000002</v>
      </c>
      <c r="C12" s="55"/>
      <c r="D12" s="55"/>
      <c r="H12" s="78">
        <f t="shared" si="1"/>
        <v>0.39200000000000002</v>
      </c>
      <c r="I12">
        <f>0.3931+0.5723</f>
        <v>0.96540000000000004</v>
      </c>
      <c r="J12">
        <f>0.3802+0.3327</f>
        <v>0.71289999999999998</v>
      </c>
      <c r="K12" s="88">
        <f t="shared" si="2"/>
        <v>2.0703</v>
      </c>
      <c r="M12" t="s">
        <v>58</v>
      </c>
      <c r="O12" t="s">
        <v>65</v>
      </c>
      <c r="P12" t="s">
        <v>65</v>
      </c>
    </row>
    <row r="13" spans="1:16" ht="15.75" thickBot="1" x14ac:dyDescent="0.3">
      <c r="A13" s="89"/>
      <c r="B13" s="81">
        <v>0.35099999999999998</v>
      </c>
      <c r="C13" s="90"/>
      <c r="D13" s="90"/>
      <c r="E13" s="81"/>
      <c r="F13" s="81"/>
      <c r="G13" s="81"/>
      <c r="H13" s="91">
        <f t="shared" si="1"/>
        <v>0.35099999999999998</v>
      </c>
      <c r="I13" s="81">
        <f>0.3997+0.5729</f>
        <v>0.97259999999999991</v>
      </c>
      <c r="J13" s="81">
        <f>0.3355+0.3718</f>
        <v>0.70730000000000004</v>
      </c>
      <c r="K13" s="88">
        <f t="shared" si="2"/>
        <v>2.0308999999999999</v>
      </c>
      <c r="M13" t="s">
        <v>59</v>
      </c>
      <c r="O13" t="s">
        <v>65</v>
      </c>
      <c r="P13" t="s">
        <v>65</v>
      </c>
    </row>
    <row r="14" spans="1:16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1"/>
        <v>0.36</v>
      </c>
      <c r="I14">
        <v>0.8216</v>
      </c>
      <c r="J14">
        <f>0.5011+0.7378</f>
        <v>1.2389000000000001</v>
      </c>
      <c r="K14" s="88">
        <f t="shared" ref="K14:K19" si="3">J14+H14+I14</f>
        <v>2.4205000000000001</v>
      </c>
      <c r="M14" t="s">
        <v>60</v>
      </c>
      <c r="O14" t="s">
        <v>65</v>
      </c>
      <c r="P14" t="s">
        <v>65</v>
      </c>
    </row>
    <row r="15" spans="1:16" x14ac:dyDescent="0.25">
      <c r="B15">
        <v>0.38</v>
      </c>
      <c r="C15" s="55"/>
      <c r="D15" s="55"/>
      <c r="H15" s="78">
        <f t="shared" si="1"/>
        <v>0.38</v>
      </c>
      <c r="I15">
        <v>0.82269999999999999</v>
      </c>
      <c r="J15">
        <f>0.6385+0.4412</f>
        <v>1.0796999999999999</v>
      </c>
      <c r="K15" s="88">
        <f t="shared" si="3"/>
        <v>2.2824</v>
      </c>
      <c r="M15" t="s">
        <v>61</v>
      </c>
      <c r="O15" t="s">
        <v>65</v>
      </c>
      <c r="P15" t="s">
        <v>65</v>
      </c>
    </row>
    <row r="16" spans="1:16" x14ac:dyDescent="0.25">
      <c r="B16">
        <v>0.30199999999999999</v>
      </c>
      <c r="C16" s="55"/>
      <c r="D16" s="55"/>
      <c r="H16" s="78">
        <f t="shared" si="1"/>
        <v>0.30199999999999999</v>
      </c>
      <c r="I16">
        <v>0.81920000000000004</v>
      </c>
      <c r="J16">
        <f>0.447+0.536</f>
        <v>0.9830000000000001</v>
      </c>
      <c r="K16" s="88">
        <f t="shared" si="3"/>
        <v>2.1042000000000001</v>
      </c>
      <c r="M16" t="s">
        <v>62</v>
      </c>
      <c r="O16" t="s">
        <v>65</v>
      </c>
      <c r="P16" t="s">
        <v>65</v>
      </c>
    </row>
    <row r="17" spans="1:16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1"/>
        <v>0.47</v>
      </c>
      <c r="I17">
        <v>0.3342</v>
      </c>
      <c r="J17">
        <f>0.3869+0.3878</f>
        <v>0.77469999999999994</v>
      </c>
      <c r="K17" s="88">
        <f t="shared" si="3"/>
        <v>1.5789</v>
      </c>
      <c r="M17" t="s">
        <v>63</v>
      </c>
      <c r="O17" t="s">
        <v>66</v>
      </c>
      <c r="P17" t="s">
        <v>65</v>
      </c>
    </row>
    <row r="18" spans="1:16" x14ac:dyDescent="0.25">
      <c r="B18">
        <v>0.47199999999999998</v>
      </c>
      <c r="C18" s="55"/>
      <c r="D18" s="55"/>
      <c r="H18" s="78">
        <f t="shared" si="1"/>
        <v>0.47199999999999998</v>
      </c>
      <c r="I18">
        <v>0.33110000000000001</v>
      </c>
      <c r="J18">
        <f>0.3691+0.3724</f>
        <v>0.74150000000000005</v>
      </c>
      <c r="K18" s="88">
        <f t="shared" si="3"/>
        <v>1.5446</v>
      </c>
    </row>
    <row r="19" spans="1:16" ht="15.75" thickBot="1" x14ac:dyDescent="0.3">
      <c r="B19">
        <v>0.41500000000000004</v>
      </c>
      <c r="C19" s="55"/>
      <c r="D19" s="55"/>
      <c r="H19" s="78">
        <f t="shared" si="1"/>
        <v>0.41500000000000004</v>
      </c>
      <c r="I19">
        <v>0.3372</v>
      </c>
      <c r="J19">
        <f>0.3458+0.3526</f>
        <v>0.69840000000000002</v>
      </c>
      <c r="K19" s="88">
        <f t="shared" si="3"/>
        <v>1.4505999999999999</v>
      </c>
    </row>
    <row r="20" spans="1:16" ht="15.75" thickBot="1" x14ac:dyDescent="0.3">
      <c r="A20" s="82" t="s">
        <v>22</v>
      </c>
      <c r="B20" s="83">
        <v>0.23599999999999999</v>
      </c>
      <c r="C20" s="84">
        <f>STDEVA(B20:B22)</f>
        <v>1.9399312702601933E-2</v>
      </c>
      <c r="D20" s="84">
        <f>AVERAGE(B20:B22)</f>
        <v>0.2233333333333333</v>
      </c>
      <c r="E20" s="83">
        <v>0.255</v>
      </c>
      <c r="F20" s="84">
        <f>STDEVA(E20:E22)</f>
        <v>2.6652079343520891E-2</v>
      </c>
      <c r="G20" s="84">
        <f>AVERAGE(E20:E22)</f>
        <v>0.27466666666666667</v>
      </c>
      <c r="H20" s="93">
        <f>(B20+E20)</f>
        <v>0.49099999999999999</v>
      </c>
      <c r="I20" s="83">
        <v>0.63500000000000001</v>
      </c>
      <c r="J20" s="83">
        <f>0.2121+0.243+0.243</f>
        <v>0.69809999999999994</v>
      </c>
      <c r="K20" s="104">
        <f>SUM(H20:J20)</f>
        <v>1.8240999999999998</v>
      </c>
    </row>
    <row r="21" spans="1:16" ht="15.75" thickBot="1" x14ac:dyDescent="0.3">
      <c r="A21" s="87"/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4">(B21+E21)</f>
        <v>0.497</v>
      </c>
      <c r="I21">
        <v>0.61</v>
      </c>
      <c r="J21">
        <v>0.65790000000000004</v>
      </c>
      <c r="K21" s="104">
        <f t="shared" ref="K21:K25" si="5">SUM(H21:J21)</f>
        <v>1.7648999999999999</v>
      </c>
    </row>
    <row r="22" spans="1:16" ht="15.75" thickBot="1" x14ac:dyDescent="0.3">
      <c r="A22" s="87"/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4"/>
        <v>0.50600000000000001</v>
      </c>
      <c r="I22">
        <v>0.63300000000000001</v>
      </c>
      <c r="J22">
        <v>0.66320000000000001</v>
      </c>
      <c r="K22" s="104">
        <f t="shared" si="5"/>
        <v>1.8022</v>
      </c>
    </row>
    <row r="23" spans="1:16" ht="15.75" thickBot="1" x14ac:dyDescent="0.3">
      <c r="A23" s="87"/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4"/>
        <v>0.504</v>
      </c>
      <c r="I23">
        <v>0.23100000000000001</v>
      </c>
      <c r="J23">
        <v>1.0980000000000001</v>
      </c>
      <c r="K23" s="104">
        <f t="shared" si="5"/>
        <v>1.8330000000000002</v>
      </c>
    </row>
    <row r="24" spans="1:16" ht="15.75" thickBot="1" x14ac:dyDescent="0.3">
      <c r="A24" s="87"/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4"/>
        <v>0.51700000000000002</v>
      </c>
      <c r="I24">
        <v>0.23749999999999999</v>
      </c>
      <c r="J24">
        <v>1.1619999999999999</v>
      </c>
      <c r="K24" s="104">
        <f t="shared" si="5"/>
        <v>1.9164999999999999</v>
      </c>
    </row>
    <row r="25" spans="1:16" ht="15.75" thickBot="1" x14ac:dyDescent="0.3">
      <c r="A25" s="89"/>
      <c r="B25" s="81">
        <v>0.185</v>
      </c>
      <c r="C25" s="90"/>
      <c r="D25" s="90"/>
      <c r="E25" s="81">
        <v>0.32</v>
      </c>
      <c r="F25" s="90"/>
      <c r="G25" s="90"/>
      <c r="H25" s="95">
        <f t="shared" si="4"/>
        <v>0.505</v>
      </c>
      <c r="I25" s="81">
        <v>0.24</v>
      </c>
      <c r="J25" s="81">
        <v>1.147</v>
      </c>
      <c r="K25" s="104">
        <f t="shared" si="5"/>
        <v>1.8919999999999999</v>
      </c>
    </row>
    <row r="26" spans="1:16" x14ac:dyDescent="0.25">
      <c r="A26" s="82" t="s">
        <v>23</v>
      </c>
      <c r="B26" s="83">
        <v>0.10100000000000001</v>
      </c>
      <c r="C26" s="84">
        <f>STDEVA(B26:B28)</f>
        <v>1.2503332889007365E-2</v>
      </c>
      <c r="D26" s="84">
        <f>AVERAGE(B26:B28)</f>
        <v>0.11333333333333334</v>
      </c>
      <c r="E26" s="83">
        <v>0.185</v>
      </c>
      <c r="F26" s="84">
        <f>STDEVA(E26:E28)</f>
        <v>1.3650396819628846E-2</v>
      </c>
      <c r="G26" s="84">
        <f>AVERAGE(E26:E28)</f>
        <v>0.19966666666666666</v>
      </c>
      <c r="H26" s="93">
        <f t="shared" si="4"/>
        <v>0.28600000000000003</v>
      </c>
      <c r="I26" s="83">
        <v>0.1338</v>
      </c>
      <c r="J26" s="83">
        <v>0.82099999999999995</v>
      </c>
      <c r="K26" s="86">
        <f t="shared" ref="K26:K34" si="6">J26+H26+I26</f>
        <v>1.2407999999999999</v>
      </c>
    </row>
    <row r="27" spans="1:16" x14ac:dyDescent="0.25">
      <c r="A27" s="87"/>
      <c r="B27">
        <v>0.113</v>
      </c>
      <c r="C27" s="55"/>
      <c r="D27" s="55"/>
      <c r="E27">
        <v>0.20200000000000001</v>
      </c>
      <c r="F27" s="55"/>
      <c r="G27" s="55"/>
      <c r="H27" s="79">
        <f t="shared" si="4"/>
        <v>0.315</v>
      </c>
      <c r="I27">
        <v>0.13850000000000001</v>
      </c>
      <c r="J27">
        <v>0.84509999999999996</v>
      </c>
      <c r="K27" s="88">
        <f t="shared" si="6"/>
        <v>1.2986</v>
      </c>
    </row>
    <row r="28" spans="1:16" x14ac:dyDescent="0.25">
      <c r="A28" s="87"/>
      <c r="B28">
        <v>0.126</v>
      </c>
      <c r="C28" s="55"/>
      <c r="D28" s="55"/>
      <c r="E28">
        <v>0.21199999999999999</v>
      </c>
      <c r="F28" s="55"/>
      <c r="G28" s="55"/>
      <c r="H28" s="79">
        <f t="shared" si="4"/>
        <v>0.33799999999999997</v>
      </c>
      <c r="I28">
        <v>0.13650000000000001</v>
      </c>
      <c r="J28">
        <v>0.80620000000000003</v>
      </c>
      <c r="K28" s="88">
        <f t="shared" si="6"/>
        <v>1.2807000000000002</v>
      </c>
    </row>
    <row r="29" spans="1:16" x14ac:dyDescent="0.25">
      <c r="A29" s="87"/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4"/>
        <v>0.31</v>
      </c>
      <c r="I29">
        <v>0.75239999999999996</v>
      </c>
      <c r="J29">
        <v>0.76439999999999997</v>
      </c>
      <c r="K29" s="88">
        <f t="shared" si="6"/>
        <v>1.8268</v>
      </c>
    </row>
    <row r="30" spans="1:16" x14ac:dyDescent="0.25">
      <c r="A30" s="87"/>
      <c r="B30">
        <v>0.1</v>
      </c>
      <c r="C30" s="55"/>
      <c r="D30" s="55"/>
      <c r="E30">
        <v>0.17599999999999999</v>
      </c>
      <c r="F30" s="55"/>
      <c r="G30" s="55"/>
      <c r="H30" s="79">
        <f t="shared" si="4"/>
        <v>0.27600000000000002</v>
      </c>
      <c r="I30">
        <v>0.74050000000000005</v>
      </c>
      <c r="J30">
        <v>0.74050000000000005</v>
      </c>
      <c r="K30" s="88">
        <f t="shared" si="6"/>
        <v>1.7570000000000001</v>
      </c>
    </row>
    <row r="31" spans="1:16" ht="15.75" thickBot="1" x14ac:dyDescent="0.3">
      <c r="A31" s="89"/>
      <c r="B31" s="81">
        <v>0.10199999999999999</v>
      </c>
      <c r="C31" s="90"/>
      <c r="D31" s="90"/>
      <c r="E31" s="81">
        <v>0.185</v>
      </c>
      <c r="F31" s="90"/>
      <c r="G31" s="90"/>
      <c r="H31" s="95">
        <f t="shared" si="4"/>
        <v>0.28699999999999998</v>
      </c>
      <c r="I31" s="81">
        <v>0.74399999999999999</v>
      </c>
      <c r="J31" s="81">
        <v>0.73199999999999998</v>
      </c>
      <c r="K31" s="92">
        <f t="shared" si="6"/>
        <v>1.7629999999999999</v>
      </c>
    </row>
    <row r="32" spans="1:16" x14ac:dyDescent="0.25">
      <c r="A32" s="82" t="s">
        <v>24</v>
      </c>
      <c r="B32" s="83">
        <v>0.12</v>
      </c>
      <c r="C32" s="84">
        <f>STDEVA(B32:B34)</f>
        <v>1.4571661996262942E-2</v>
      </c>
      <c r="D32" s="84">
        <f>AVERAGE(B32:B34)</f>
        <v>0.12633333333333333</v>
      </c>
      <c r="E32" s="83">
        <v>0.114</v>
      </c>
      <c r="F32" s="84">
        <f>STDEVA(E32:E34)</f>
        <v>7.3711147958319921E-3</v>
      </c>
      <c r="G32" s="84">
        <f>AVERAGE(E32:E34)</f>
        <v>0.12233333333333334</v>
      </c>
      <c r="H32" s="93">
        <f t="shared" si="4"/>
        <v>0.23399999999999999</v>
      </c>
      <c r="I32" s="83">
        <v>0.57720000000000005</v>
      </c>
      <c r="J32" s="83">
        <f>0.4775+0.4519</f>
        <v>0.9294</v>
      </c>
      <c r="K32" s="86">
        <f t="shared" si="6"/>
        <v>1.7406000000000001</v>
      </c>
    </row>
    <row r="33" spans="1:14" x14ac:dyDescent="0.25">
      <c r="A33" s="87"/>
      <c r="B33">
        <v>0.11599999999999999</v>
      </c>
      <c r="C33" s="55"/>
      <c r="D33" s="55"/>
      <c r="E33">
        <v>0.128</v>
      </c>
      <c r="F33" s="55"/>
      <c r="G33" s="55"/>
      <c r="H33" s="79">
        <f t="shared" si="4"/>
        <v>0.24399999999999999</v>
      </c>
      <c r="I33">
        <v>0.58630000000000004</v>
      </c>
      <c r="J33">
        <f>0.4891+0.4894</f>
        <v>0.97849999999999993</v>
      </c>
      <c r="K33" s="88">
        <f t="shared" si="6"/>
        <v>1.8088</v>
      </c>
    </row>
    <row r="34" spans="1:14" x14ac:dyDescent="0.25">
      <c r="A34" s="87"/>
      <c r="B34">
        <v>0.14300000000000002</v>
      </c>
      <c r="C34" s="55"/>
      <c r="D34" s="55"/>
      <c r="E34">
        <v>0.125</v>
      </c>
      <c r="F34" s="55"/>
      <c r="G34" s="55"/>
      <c r="H34" s="79">
        <f t="shared" si="4"/>
        <v>0.26800000000000002</v>
      </c>
      <c r="I34">
        <v>0.58079999999999998</v>
      </c>
      <c r="J34">
        <f>0.4736+0.4661</f>
        <v>0.93969999999999998</v>
      </c>
      <c r="K34" s="88">
        <f t="shared" si="6"/>
        <v>1.7885</v>
      </c>
    </row>
    <row r="35" spans="1:14" x14ac:dyDescent="0.25">
      <c r="A35" s="87"/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4"/>
        <v>0.55299999999999994</v>
      </c>
      <c r="I35">
        <f>0.2905+0.2965</f>
        <v>0.58699999999999997</v>
      </c>
      <c r="J35" s="66">
        <f>0.3994+0.5006</f>
        <v>0.9</v>
      </c>
      <c r="K35" s="88">
        <f>0.3504+0.4906</f>
        <v>0.84099999999999997</v>
      </c>
    </row>
    <row r="36" spans="1:14" x14ac:dyDescent="0.25">
      <c r="A36" s="87"/>
      <c r="B36">
        <v>0.25</v>
      </c>
      <c r="C36" s="55"/>
      <c r="D36" s="55"/>
      <c r="E36">
        <v>0.33699999999999997</v>
      </c>
      <c r="F36" s="55"/>
      <c r="G36" s="55"/>
      <c r="H36" s="79">
        <f t="shared" si="4"/>
        <v>0.58699999999999997</v>
      </c>
      <c r="I36">
        <f>0.2565+0.3405</f>
        <v>0.59699999999999998</v>
      </c>
      <c r="J36">
        <f>0.4009+0.3985</f>
        <v>0.7994</v>
      </c>
      <c r="K36" s="88">
        <f>0.4599+0.3985</f>
        <v>0.85840000000000005</v>
      </c>
    </row>
    <row r="37" spans="1:14" ht="15.75" thickBot="1" x14ac:dyDescent="0.3">
      <c r="A37" s="89"/>
      <c r="B37" s="81">
        <v>0.19700000000000001</v>
      </c>
      <c r="C37" s="90"/>
      <c r="D37" s="90"/>
      <c r="E37" s="81">
        <v>0.35099999999999998</v>
      </c>
      <c r="F37" s="90"/>
      <c r="G37" s="90"/>
      <c r="H37" s="95">
        <f t="shared" si="4"/>
        <v>0.54800000000000004</v>
      </c>
      <c r="I37" s="81">
        <f>0.2545+0.0656+0.2675</f>
        <v>0.58760000000000001</v>
      </c>
      <c r="J37" s="81">
        <f>0.3852+0.4382</f>
        <v>0.82339999999999991</v>
      </c>
      <c r="K37" s="92">
        <f>0.3852+0.4382</f>
        <v>0.82339999999999991</v>
      </c>
    </row>
    <row r="38" spans="1:14" x14ac:dyDescent="0.25">
      <c r="A38" s="82" t="s">
        <v>25</v>
      </c>
      <c r="B38" s="83">
        <v>0.19800000000000001</v>
      </c>
      <c r="C38" s="84">
        <f>STDEVA(B38:B40)</f>
        <v>1.3316656236958782E-2</v>
      </c>
      <c r="D38" s="84">
        <f>AVERAGE(B38:B40)</f>
        <v>0.21266666666666667</v>
      </c>
      <c r="E38" s="83">
        <v>0.11</v>
      </c>
      <c r="F38" s="84">
        <f>STDEVA(E38:E40)</f>
        <v>7.6376261582597324E-3</v>
      </c>
      <c r="G38" s="84">
        <f>AVERAGE(E38:E40)</f>
        <v>0.11833333333333333</v>
      </c>
      <c r="H38" s="93">
        <f t="shared" si="4"/>
        <v>0.308</v>
      </c>
      <c r="I38" s="83">
        <v>0.1741</v>
      </c>
      <c r="J38" s="83">
        <f>0.4092+0.4338</f>
        <v>0.84299999999999997</v>
      </c>
      <c r="K38" s="86">
        <f>0.4092+0.4338</f>
        <v>0.84299999999999997</v>
      </c>
    </row>
    <row r="39" spans="1:14" x14ac:dyDescent="0.25">
      <c r="A39" s="87"/>
      <c r="B39">
        <v>0.224</v>
      </c>
      <c r="C39" s="55"/>
      <c r="D39" s="55"/>
      <c r="E39">
        <v>0.125</v>
      </c>
      <c r="F39" s="55"/>
      <c r="G39" s="55"/>
      <c r="H39" s="79">
        <f t="shared" si="4"/>
        <v>0.34899999999999998</v>
      </c>
      <c r="I39">
        <v>0.17929999999999999</v>
      </c>
      <c r="J39">
        <f>0.4008+0.4338</f>
        <v>0.83460000000000001</v>
      </c>
      <c r="K39" s="88">
        <f>0.4008+0.426</f>
        <v>0.82679999999999998</v>
      </c>
    </row>
    <row r="40" spans="1:14" x14ac:dyDescent="0.25">
      <c r="A40" s="87"/>
      <c r="B40">
        <v>0.216</v>
      </c>
      <c r="C40" s="55"/>
      <c r="D40" s="55"/>
      <c r="E40">
        <v>0.12</v>
      </c>
      <c r="F40" s="55"/>
      <c r="G40" s="55"/>
      <c r="H40" s="79">
        <f t="shared" si="4"/>
        <v>0.33599999999999997</v>
      </c>
      <c r="I40">
        <v>0.1759</v>
      </c>
      <c r="J40">
        <f>0.4321+0.3872</f>
        <v>0.81929999999999992</v>
      </c>
      <c r="K40" s="88">
        <f>0.4049+0.4093</f>
        <v>0.81420000000000003</v>
      </c>
    </row>
    <row r="41" spans="1:14" x14ac:dyDescent="0.25">
      <c r="A41" s="87"/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4"/>
        <v>0.377</v>
      </c>
      <c r="I41">
        <v>0.32650000000000001</v>
      </c>
      <c r="J41">
        <f>0.3928+0.3667</f>
        <v>0.75950000000000006</v>
      </c>
      <c r="K41" s="103">
        <f>J41+H41+I41</f>
        <v>1.4630000000000001</v>
      </c>
    </row>
    <row r="42" spans="1:14" x14ac:dyDescent="0.25">
      <c r="A42" s="87"/>
      <c r="B42">
        <v>0.14000000000000001</v>
      </c>
      <c r="E42">
        <v>0.23599999999999999</v>
      </c>
      <c r="H42" s="79">
        <f t="shared" si="4"/>
        <v>0.376</v>
      </c>
      <c r="I42">
        <v>0.32240000000000002</v>
      </c>
      <c r="J42">
        <f>0.363+0.4338</f>
        <v>0.79679999999999995</v>
      </c>
      <c r="K42" s="88">
        <f t="shared" ref="K42:K49" si="7">J42+H42+I42</f>
        <v>1.4952000000000001</v>
      </c>
    </row>
    <row r="43" spans="1:14" ht="15.75" thickBot="1" x14ac:dyDescent="0.3">
      <c r="A43" s="89"/>
      <c r="B43" s="81">
        <v>0.20200000000000001</v>
      </c>
      <c r="C43" s="81"/>
      <c r="D43" s="81"/>
      <c r="E43" s="81">
        <v>0.24199999999999999</v>
      </c>
      <c r="F43" s="81"/>
      <c r="G43" s="81"/>
      <c r="H43" s="95">
        <f t="shared" si="4"/>
        <v>0.44400000000000001</v>
      </c>
      <c r="I43" s="81">
        <v>0.32669999999999999</v>
      </c>
      <c r="J43" s="81">
        <f>0.4321+0.3872</f>
        <v>0.81929999999999992</v>
      </c>
      <c r="K43" s="92">
        <f t="shared" si="7"/>
        <v>1.5899999999999999</v>
      </c>
    </row>
    <row r="44" spans="1:14" x14ac:dyDescent="0.25">
      <c r="A44" s="82" t="s">
        <v>38</v>
      </c>
      <c r="B44" s="75">
        <v>0.105</v>
      </c>
      <c r="C44" s="84">
        <f>STDEVA(B44:B46)</f>
        <v>1.1532562594670798E-2</v>
      </c>
      <c r="D44" s="84">
        <f>AVERAGE(B44:B46)</f>
        <v>0.11599999999999999</v>
      </c>
      <c r="E44" s="83"/>
      <c r="F44" s="83"/>
      <c r="G44" s="83"/>
      <c r="H44" s="93">
        <f t="shared" si="4"/>
        <v>0.105</v>
      </c>
      <c r="I44" s="83">
        <f>0.1405+0.1542+0.1817+0.199+0.112+0.0214</f>
        <v>0.80879999999999996</v>
      </c>
      <c r="J44" s="94">
        <v>1.653</v>
      </c>
      <c r="K44" s="88">
        <f t="shared" si="7"/>
        <v>2.5667999999999997</v>
      </c>
      <c r="N44" s="83"/>
    </row>
    <row r="45" spans="1:14" x14ac:dyDescent="0.25">
      <c r="A45" s="87"/>
      <c r="B45" s="76">
        <v>0.115</v>
      </c>
      <c r="C45" s="55"/>
      <c r="D45" s="55"/>
      <c r="H45" s="79">
        <f t="shared" si="4"/>
        <v>0.115</v>
      </c>
      <c r="I45">
        <f>0.2033+0.195+0.1674+0.1928+0.0428</f>
        <v>0.8012999999999999</v>
      </c>
      <c r="J45">
        <v>1.5178</v>
      </c>
      <c r="K45" s="88">
        <f t="shared" si="7"/>
        <v>2.4340999999999999</v>
      </c>
    </row>
    <row r="46" spans="1:14" ht="15.75" thickBot="1" x14ac:dyDescent="0.3">
      <c r="A46" s="87"/>
      <c r="B46" s="77">
        <v>0.128</v>
      </c>
      <c r="C46" s="55"/>
      <c r="D46" s="55"/>
      <c r="H46" s="79">
        <f t="shared" si="4"/>
        <v>0.128</v>
      </c>
      <c r="I46">
        <f>0.2636+0.2377+0.1811+0.1164+0.0214</f>
        <v>0.82019999999999993</v>
      </c>
      <c r="J46">
        <v>1.4885999999999999</v>
      </c>
      <c r="K46" s="92">
        <f t="shared" si="7"/>
        <v>2.4367999999999999</v>
      </c>
      <c r="L46">
        <f>AVERAGE(I44:I46)</f>
        <v>0.81009999999999993</v>
      </c>
    </row>
    <row r="47" spans="1:14" x14ac:dyDescent="0.25">
      <c r="A47" s="87"/>
      <c r="B47" s="76">
        <v>0.74399999999999999</v>
      </c>
      <c r="C47" s="55">
        <f>STDEVA(B47:B49)</f>
        <v>4.1327956639543632E-2</v>
      </c>
      <c r="D47" s="55">
        <f>AVERAGE(B47:B49)</f>
        <v>0.70000000000000007</v>
      </c>
      <c r="H47" s="79">
        <f t="shared" si="4"/>
        <v>0.74399999999999999</v>
      </c>
      <c r="I47">
        <f>0.294+0.2471</f>
        <v>0.54109999999999991</v>
      </c>
      <c r="J47">
        <v>0.90349999999999997</v>
      </c>
      <c r="K47" s="88">
        <f t="shared" si="7"/>
        <v>2.1886000000000001</v>
      </c>
    </row>
    <row r="48" spans="1:14" x14ac:dyDescent="0.25">
      <c r="A48" s="87"/>
      <c r="B48" s="76">
        <v>0.69399999999999995</v>
      </c>
      <c r="H48" s="79">
        <f t="shared" si="4"/>
        <v>0.69399999999999995</v>
      </c>
      <c r="I48">
        <f>0.2563+0.2513+0.0196+0.006</f>
        <v>0.53320000000000001</v>
      </c>
      <c r="J48">
        <v>0.9556</v>
      </c>
      <c r="K48" s="88">
        <f t="shared" si="7"/>
        <v>2.1827999999999999</v>
      </c>
    </row>
    <row r="49" spans="1:11" ht="15.75" thickBot="1" x14ac:dyDescent="0.3">
      <c r="A49" s="89"/>
      <c r="B49" s="77">
        <v>0.66200000000000003</v>
      </c>
      <c r="C49" s="81"/>
      <c r="D49" s="81"/>
      <c r="E49" s="81"/>
      <c r="F49" s="81"/>
      <c r="G49" s="81"/>
      <c r="H49" s="95">
        <f t="shared" si="4"/>
        <v>0.66200000000000003</v>
      </c>
      <c r="I49" s="81">
        <v>0.53920000000000001</v>
      </c>
      <c r="J49" s="96">
        <v>0.92800000000000005</v>
      </c>
      <c r="K49" s="92">
        <f t="shared" si="7"/>
        <v>2.1292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BB6E-056C-4BD7-9FCD-082308F7681C}">
  <dimension ref="A1:P49"/>
  <sheetViews>
    <sheetView topLeftCell="C1" workbookViewId="0">
      <selection activeCell="T14" sqref="T14"/>
    </sheetView>
  </sheetViews>
  <sheetFormatPr defaultRowHeight="15" x14ac:dyDescent="0.25"/>
  <sheetData>
    <row r="1" spans="1:16" ht="45.75" thickBot="1" x14ac:dyDescent="0.3">
      <c r="A1" s="53"/>
      <c r="B1" s="80" t="s">
        <v>42</v>
      </c>
      <c r="C1" s="53" t="s">
        <v>26</v>
      </c>
      <c r="D1" s="53" t="s">
        <v>27</v>
      </c>
      <c r="E1" s="80" t="s">
        <v>43</v>
      </c>
      <c r="F1" s="53" t="s">
        <v>26</v>
      </c>
      <c r="G1" s="80" t="s">
        <v>40</v>
      </c>
      <c r="H1" s="80" t="s">
        <v>44</v>
      </c>
      <c r="I1" s="80"/>
      <c r="J1" s="53" t="s">
        <v>41</v>
      </c>
      <c r="K1" s="53" t="s">
        <v>47</v>
      </c>
      <c r="L1" s="53" t="s">
        <v>26</v>
      </c>
      <c r="M1" s="80" t="s">
        <v>45</v>
      </c>
      <c r="N1" s="80"/>
      <c r="O1" s="80"/>
      <c r="P1" s="80" t="s">
        <v>46</v>
      </c>
    </row>
    <row r="2" spans="1:16" x14ac:dyDescent="0.25">
      <c r="A2" s="82" t="s">
        <v>19</v>
      </c>
      <c r="B2" s="83">
        <v>0.21400000000000002</v>
      </c>
      <c r="C2" s="84">
        <f>STDEVA(B2:B4)</f>
        <v>2.2744962812309297E-2</v>
      </c>
      <c r="D2" s="84">
        <f>AVERAGE(B2:B4)</f>
        <v>0.22066666666666668</v>
      </c>
      <c r="E2" s="83"/>
      <c r="F2" s="83"/>
      <c r="G2" s="83"/>
      <c r="H2" s="85">
        <f>(B2+E2)</f>
        <v>0.21400000000000002</v>
      </c>
      <c r="I2" s="85"/>
      <c r="J2" s="99"/>
      <c r="K2" s="83"/>
      <c r="L2" s="83"/>
      <c r="M2" s="83"/>
      <c r="N2" s="83"/>
      <c r="O2" s="83"/>
      <c r="P2" s="86"/>
    </row>
    <row r="3" spans="1:16" x14ac:dyDescent="0.25">
      <c r="A3" s="87"/>
      <c r="B3">
        <v>0.246</v>
      </c>
      <c r="C3" s="55"/>
      <c r="D3" s="55"/>
      <c r="H3" s="78">
        <f>(B3+E3)</f>
        <v>0.246</v>
      </c>
      <c r="I3" s="78"/>
      <c r="J3" s="97"/>
      <c r="P3" s="88"/>
    </row>
    <row r="4" spans="1:16" ht="15.75" thickBot="1" x14ac:dyDescent="0.3">
      <c r="A4" s="87"/>
      <c r="B4">
        <v>0.20200000000000001</v>
      </c>
      <c r="C4" s="55"/>
      <c r="D4" s="55"/>
      <c r="H4" s="78">
        <f t="shared" ref="H4:H19" si="0">(B4+E4)</f>
        <v>0.20200000000000001</v>
      </c>
      <c r="I4" s="78"/>
      <c r="J4" s="97"/>
      <c r="P4" s="88"/>
    </row>
    <row r="5" spans="1:16" x14ac:dyDescent="0.25">
      <c r="A5" s="87"/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 t="shared" si="0"/>
        <v>0.32</v>
      </c>
      <c r="I5" s="85"/>
      <c r="J5" s="97"/>
      <c r="M5">
        <f>0.3363+0.2705</f>
        <v>0.60680000000000001</v>
      </c>
      <c r="N5" s="94">
        <f>AVERAGE(M5:M7)</f>
        <v>0.6185666666666666</v>
      </c>
      <c r="O5" s="66">
        <f>STDEVA(M5:M7)</f>
        <v>1.025491751957726E-2</v>
      </c>
      <c r="P5" s="88">
        <f>M5+H5+J5</f>
        <v>0.92680000000000007</v>
      </c>
    </row>
    <row r="6" spans="1:16" x14ac:dyDescent="0.25">
      <c r="A6" s="87"/>
      <c r="B6">
        <v>0.35899999999999999</v>
      </c>
      <c r="C6" s="55"/>
      <c r="D6" s="55"/>
      <c r="H6" s="78">
        <f t="shared" si="0"/>
        <v>0.35899999999999999</v>
      </c>
      <c r="I6" s="78"/>
      <c r="J6" s="97"/>
      <c r="M6">
        <f>0.3061+0.3195</f>
        <v>0.62559999999999993</v>
      </c>
      <c r="P6" s="88"/>
    </row>
    <row r="7" spans="1:16" ht="15.75" thickBot="1" x14ac:dyDescent="0.3">
      <c r="A7" s="89"/>
      <c r="B7" s="81">
        <v>0.35299999999999998</v>
      </c>
      <c r="C7" s="90"/>
      <c r="D7" s="90"/>
      <c r="E7" s="81"/>
      <c r="F7" s="81"/>
      <c r="G7" s="81"/>
      <c r="H7" s="91">
        <f t="shared" si="0"/>
        <v>0.35299999999999998</v>
      </c>
      <c r="I7" s="91"/>
      <c r="J7" s="98"/>
      <c r="K7" s="81"/>
      <c r="L7" s="81"/>
      <c r="M7" s="81">
        <f>0.2928+0.3305</f>
        <v>0.62329999999999997</v>
      </c>
      <c r="N7" s="81"/>
      <c r="O7" s="81"/>
      <c r="P7" s="92"/>
    </row>
    <row r="8" spans="1:16" x14ac:dyDescent="0.25">
      <c r="A8" s="82" t="s">
        <v>20</v>
      </c>
      <c r="B8" s="83">
        <v>0.20200000000000001</v>
      </c>
      <c r="C8" s="84">
        <f>STDEVA(B8:B10)</f>
        <v>3.6909799963333947E-2</v>
      </c>
      <c r="D8" s="84">
        <f>AVERAGE(B8:B10)</f>
        <v>0.23533333333333337</v>
      </c>
      <c r="E8" s="83"/>
      <c r="F8" s="83"/>
      <c r="G8" s="83"/>
      <c r="H8" s="85">
        <f t="shared" si="0"/>
        <v>0.20200000000000001</v>
      </c>
      <c r="I8" s="85"/>
      <c r="J8" s="85">
        <f>0.4255</f>
        <v>0.42549999999999999</v>
      </c>
      <c r="K8" s="94">
        <f>AVERAGE(J8:J10)</f>
        <v>0.42386666666666667</v>
      </c>
      <c r="L8" s="94">
        <f>STDEVA(J8:J10)</f>
        <v>2.173323108360407E-3</v>
      </c>
      <c r="M8" s="83">
        <f>0.5133+0.5635</f>
        <v>1.0768</v>
      </c>
      <c r="N8" s="94">
        <f>AVERAGE(M8:M10)</f>
        <v>1.0903666666666665</v>
      </c>
      <c r="O8" s="66">
        <f>STDEVA(M8:M10)</f>
        <v>1.470929411403999E-2</v>
      </c>
      <c r="P8" s="88">
        <f>M8+H8+J8</f>
        <v>1.7042999999999999</v>
      </c>
    </row>
    <row r="9" spans="1:16" x14ac:dyDescent="0.25">
      <c r="A9" s="87"/>
      <c r="B9">
        <v>0.22900000000000001</v>
      </c>
      <c r="C9" s="55"/>
      <c r="D9" s="55"/>
      <c r="H9" s="78">
        <f t="shared" si="0"/>
        <v>0.22900000000000001</v>
      </c>
      <c r="I9" s="78"/>
      <c r="J9" s="78">
        <v>0.42470000000000002</v>
      </c>
      <c r="M9">
        <f>0.5581+0.5302</f>
        <v>1.0883</v>
      </c>
      <c r="P9" s="88">
        <f>M9+H9+J9</f>
        <v>1.7420000000000002</v>
      </c>
    </row>
    <row r="10" spans="1:16" ht="15.75" thickBot="1" x14ac:dyDescent="0.3">
      <c r="A10" s="87"/>
      <c r="B10">
        <v>0.27500000000000002</v>
      </c>
      <c r="C10" s="55"/>
      <c r="D10" s="55"/>
      <c r="H10" s="78">
        <f t="shared" si="0"/>
        <v>0.27500000000000002</v>
      </c>
      <c r="I10" s="78"/>
      <c r="J10" s="78">
        <v>0.4214</v>
      </c>
      <c r="M10" s="66">
        <f>0.5506+0.5554</f>
        <v>1.1059999999999999</v>
      </c>
      <c r="N10" s="66"/>
      <c r="O10" s="66"/>
      <c r="P10" s="121">
        <f>M10+H10+J10</f>
        <v>1.8023999999999998</v>
      </c>
    </row>
    <row r="11" spans="1:16" x14ac:dyDescent="0.25">
      <c r="A11" s="87"/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0"/>
        <v>0.33</v>
      </c>
      <c r="I11" s="78"/>
      <c r="J11" s="101"/>
      <c r="M11">
        <f>0.3181+0.3217</f>
        <v>0.63979999999999992</v>
      </c>
      <c r="N11" s="94">
        <f>AVERAGE(M11:M13)</f>
        <v>0.65123333333333322</v>
      </c>
      <c r="O11" s="66">
        <f>STDEVA(M11:M13)</f>
        <v>3.8833533618939847E-2</v>
      </c>
      <c r="P11" s="88"/>
    </row>
    <row r="12" spans="1:16" x14ac:dyDescent="0.25">
      <c r="A12" s="87"/>
      <c r="B12">
        <v>0.39200000000000002</v>
      </c>
      <c r="C12" s="55"/>
      <c r="D12" s="55"/>
      <c r="H12" s="78">
        <f t="shared" si="0"/>
        <v>0.39200000000000002</v>
      </c>
      <c r="I12" s="78"/>
      <c r="J12" s="101"/>
      <c r="M12">
        <f>0.345+0.3495</f>
        <v>0.6944999999999999</v>
      </c>
      <c r="P12" s="88"/>
    </row>
    <row r="13" spans="1:16" ht="15.75" thickBot="1" x14ac:dyDescent="0.3">
      <c r="A13" s="89"/>
      <c r="B13" s="81">
        <v>0.35099999999999998</v>
      </c>
      <c r="C13" s="90"/>
      <c r="D13" s="90"/>
      <c r="E13" s="81"/>
      <c r="F13" s="81"/>
      <c r="G13" s="81"/>
      <c r="H13" s="91">
        <f t="shared" si="0"/>
        <v>0.35099999999999998</v>
      </c>
      <c r="I13" s="91"/>
      <c r="J13" s="102"/>
      <c r="K13" s="81"/>
      <c r="L13" s="81"/>
      <c r="M13" s="81">
        <f>0.3162+0.3032</f>
        <v>0.61939999999999995</v>
      </c>
      <c r="N13" s="81"/>
      <c r="O13" s="81"/>
      <c r="P13" s="92"/>
    </row>
    <row r="14" spans="1:16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0"/>
        <v>0.36</v>
      </c>
      <c r="I14" s="78"/>
      <c r="J14" s="78">
        <v>0.8216</v>
      </c>
      <c r="K14" s="94">
        <f>AVERAGE(J14:J16)</f>
        <v>0.8211666666666666</v>
      </c>
      <c r="L14" s="94">
        <f>STDEVA(J14:J16)</f>
        <v>1.7897858344878123E-3</v>
      </c>
      <c r="M14">
        <f>0.5011+0.7378</f>
        <v>1.2389000000000001</v>
      </c>
      <c r="N14" s="94">
        <f>AVERAGE(M14:M16)</f>
        <v>1.1005333333333334</v>
      </c>
      <c r="O14" s="66">
        <f>STDEVA(M14:M16)</f>
        <v>0.12921580140730987</v>
      </c>
      <c r="P14" s="88">
        <f t="shared" ref="P14:P19" si="1">M14+H14+J14</f>
        <v>2.4205000000000001</v>
      </c>
    </row>
    <row r="15" spans="1:16" x14ac:dyDescent="0.25">
      <c r="B15">
        <v>0.38</v>
      </c>
      <c r="C15" s="55"/>
      <c r="D15" s="55"/>
      <c r="H15" s="78">
        <f t="shared" si="0"/>
        <v>0.38</v>
      </c>
      <c r="I15" s="78"/>
      <c r="J15" s="78">
        <v>0.82269999999999999</v>
      </c>
      <c r="M15">
        <f>0.6385+0.4412</f>
        <v>1.0796999999999999</v>
      </c>
      <c r="P15" s="88">
        <f t="shared" si="1"/>
        <v>2.2824</v>
      </c>
    </row>
    <row r="16" spans="1:16" ht="15.75" thickBot="1" x14ac:dyDescent="0.3">
      <c r="B16">
        <v>0.30199999999999999</v>
      </c>
      <c r="C16" s="55"/>
      <c r="D16" s="55"/>
      <c r="H16" s="78">
        <f t="shared" si="0"/>
        <v>0.30199999999999999</v>
      </c>
      <c r="I16" s="78"/>
      <c r="J16" s="78">
        <v>0.81920000000000004</v>
      </c>
      <c r="M16">
        <f>0.447+0.536</f>
        <v>0.9830000000000001</v>
      </c>
      <c r="N16" s="81"/>
      <c r="P16" s="88">
        <f t="shared" si="1"/>
        <v>2.1042000000000001</v>
      </c>
    </row>
    <row r="17" spans="1:16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0"/>
        <v>0.47</v>
      </c>
      <c r="I17" s="78"/>
      <c r="J17" s="78">
        <v>0.3342</v>
      </c>
      <c r="K17" s="94">
        <f>AVERAGE(J17:J19)</f>
        <v>0.33416666666666667</v>
      </c>
      <c r="L17" s="94">
        <f>STDEVA(J17:J19)</f>
        <v>3.0501366089625095E-3</v>
      </c>
      <c r="M17">
        <f>0.3869+0.3878</f>
        <v>0.77469999999999994</v>
      </c>
      <c r="N17" s="94">
        <f>AVERAGE(M17:M19)</f>
        <v>0.73819999999999997</v>
      </c>
      <c r="O17" s="66">
        <f>STDEVA(M17:M19)</f>
        <v>3.8256894803420691E-2</v>
      </c>
      <c r="P17" s="88">
        <f t="shared" si="1"/>
        <v>1.5789</v>
      </c>
    </row>
    <row r="18" spans="1:16" x14ac:dyDescent="0.25">
      <c r="B18">
        <v>0.47199999999999998</v>
      </c>
      <c r="C18" s="55"/>
      <c r="D18" s="55"/>
      <c r="H18" s="78">
        <f t="shared" si="0"/>
        <v>0.47199999999999998</v>
      </c>
      <c r="I18" s="78"/>
      <c r="J18" s="78">
        <v>0.33110000000000001</v>
      </c>
      <c r="M18">
        <f>0.3691+0.3724</f>
        <v>0.74150000000000005</v>
      </c>
      <c r="P18" s="88">
        <f t="shared" si="1"/>
        <v>1.5446</v>
      </c>
    </row>
    <row r="19" spans="1:16" ht="15.75" thickBot="1" x14ac:dyDescent="0.3">
      <c r="B19">
        <v>0.41500000000000004</v>
      </c>
      <c r="C19" s="55"/>
      <c r="D19" s="55"/>
      <c r="H19" s="78">
        <f t="shared" si="0"/>
        <v>0.41500000000000004</v>
      </c>
      <c r="I19" s="78"/>
      <c r="J19" s="78">
        <v>0.3372</v>
      </c>
      <c r="M19">
        <f>0.3458+0.3526</f>
        <v>0.69840000000000002</v>
      </c>
      <c r="N19" s="66"/>
      <c r="O19" s="81"/>
      <c r="P19" s="88">
        <f t="shared" si="1"/>
        <v>1.4505999999999999</v>
      </c>
    </row>
    <row r="20" spans="1:16" x14ac:dyDescent="0.25">
      <c r="A20" s="82" t="s">
        <v>22</v>
      </c>
      <c r="B20" s="83">
        <v>0.23599999999999999</v>
      </c>
      <c r="C20" s="84">
        <f>STDEVA(B20:B22)</f>
        <v>1.9399312702601933E-2</v>
      </c>
      <c r="D20" s="84">
        <f>AVERAGE(B20:B22)</f>
        <v>0.2233333333333333</v>
      </c>
      <c r="E20" s="83">
        <v>0.255</v>
      </c>
      <c r="F20" s="84">
        <f>STDEVA(E20:E22)</f>
        <v>2.6652079343520891E-2</v>
      </c>
      <c r="G20" s="84">
        <f>AVERAGE(E20:E22)</f>
        <v>0.27466666666666667</v>
      </c>
      <c r="H20" s="93">
        <f>(B20+E20)</f>
        <v>0.49099999999999999</v>
      </c>
      <c r="I20" s="93"/>
      <c r="J20" s="99"/>
      <c r="K20" s="83"/>
      <c r="L20" s="83"/>
      <c r="M20" s="83"/>
      <c r="N20" s="94" t="e">
        <f>AVERAGE(M20:M22)</f>
        <v>#DIV/0!</v>
      </c>
      <c r="O20" s="66" t="e">
        <f>STDEVA(M20:M22)</f>
        <v>#DIV/0!</v>
      </c>
      <c r="P20" s="86"/>
    </row>
    <row r="21" spans="1:16" x14ac:dyDescent="0.25">
      <c r="A21" s="87"/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2">(B21+E21)</f>
        <v>0.497</v>
      </c>
      <c r="I21" s="79"/>
      <c r="J21" s="97"/>
      <c r="P21" s="88"/>
    </row>
    <row r="22" spans="1:16" ht="15.75" thickBot="1" x14ac:dyDescent="0.3">
      <c r="A22" s="87"/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2"/>
        <v>0.50600000000000001</v>
      </c>
      <c r="I22" s="79"/>
      <c r="J22" s="97"/>
      <c r="O22" s="66"/>
      <c r="P22" s="88"/>
    </row>
    <row r="23" spans="1:16" x14ac:dyDescent="0.25">
      <c r="A23" s="87"/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2"/>
        <v>0.504</v>
      </c>
      <c r="I23" s="79"/>
      <c r="J23" s="97"/>
      <c r="M23">
        <v>1.0980000000000001</v>
      </c>
      <c r="N23" s="94">
        <f>AVERAGE(M23:M25)</f>
        <v>1.1356666666666666</v>
      </c>
      <c r="O23" s="66">
        <f>STDEVA(M23:M25)</f>
        <v>3.3471380810079054E-2</v>
      </c>
      <c r="P23" s="88">
        <f t="shared" ref="P23:P34" si="3">M23+H23+J23</f>
        <v>1.6020000000000001</v>
      </c>
    </row>
    <row r="24" spans="1:16" x14ac:dyDescent="0.25">
      <c r="A24" s="87"/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2"/>
        <v>0.51700000000000002</v>
      </c>
      <c r="I24" s="79"/>
      <c r="J24" s="97"/>
      <c r="M24">
        <v>1.1619999999999999</v>
      </c>
      <c r="P24" s="88">
        <f t="shared" si="3"/>
        <v>1.6789999999999998</v>
      </c>
    </row>
    <row r="25" spans="1:16" ht="15.75" thickBot="1" x14ac:dyDescent="0.3">
      <c r="A25" s="89"/>
      <c r="B25" s="81">
        <v>0.185</v>
      </c>
      <c r="C25" s="90"/>
      <c r="D25" s="90"/>
      <c r="E25" s="81">
        <v>0.32</v>
      </c>
      <c r="F25" s="90"/>
      <c r="G25" s="90"/>
      <c r="H25" s="95">
        <f t="shared" si="2"/>
        <v>0.505</v>
      </c>
      <c r="I25" s="95"/>
      <c r="J25" s="98"/>
      <c r="K25" s="81"/>
      <c r="L25" s="81"/>
      <c r="M25" s="81">
        <v>1.147</v>
      </c>
      <c r="N25" s="81"/>
      <c r="O25" s="81"/>
      <c r="P25" s="92">
        <f t="shared" si="3"/>
        <v>1.6520000000000001</v>
      </c>
    </row>
    <row r="26" spans="1:16" x14ac:dyDescent="0.25">
      <c r="A26" s="82" t="s">
        <v>23</v>
      </c>
      <c r="B26" s="83">
        <v>0.10100000000000001</v>
      </c>
      <c r="C26" s="84">
        <f>STDEVA(B26:B28)</f>
        <v>1.2503332889007365E-2</v>
      </c>
      <c r="D26" s="84">
        <f>AVERAGE(B26:B28)</f>
        <v>0.11333333333333334</v>
      </c>
      <c r="E26" s="83">
        <v>0.185</v>
      </c>
      <c r="F26" s="84">
        <f>STDEVA(E26:E28)</f>
        <v>1.3650396819628846E-2</v>
      </c>
      <c r="G26" s="84">
        <f>AVERAGE(E26:E28)</f>
        <v>0.19966666666666666</v>
      </c>
      <c r="H26" s="93">
        <f t="shared" si="2"/>
        <v>0.28600000000000003</v>
      </c>
      <c r="I26" s="93"/>
      <c r="J26" s="83">
        <v>0.1338</v>
      </c>
      <c r="K26" s="94">
        <f>AVERAGE(J26:J28)</f>
        <v>0.13626666666666667</v>
      </c>
      <c r="L26" s="94">
        <f>STDEVA(J26:J28)</f>
        <v>2.3586719427112698E-3</v>
      </c>
      <c r="M26" s="83">
        <v>0.82099999999999995</v>
      </c>
      <c r="N26" s="94">
        <f>AVERAGE(M26:M28)</f>
        <v>0.82409999999999994</v>
      </c>
      <c r="O26" s="66">
        <f>STDEVA(M26:M28)</f>
        <v>1.9634408572707221E-2</v>
      </c>
      <c r="P26" s="86">
        <f t="shared" si="3"/>
        <v>1.2407999999999999</v>
      </c>
    </row>
    <row r="27" spans="1:16" x14ac:dyDescent="0.25">
      <c r="A27" s="87"/>
      <c r="B27">
        <v>0.113</v>
      </c>
      <c r="C27" s="55"/>
      <c r="D27" s="55"/>
      <c r="E27">
        <v>0.20200000000000001</v>
      </c>
      <c r="F27" s="55"/>
      <c r="G27" s="55"/>
      <c r="H27" s="79">
        <f t="shared" si="2"/>
        <v>0.315</v>
      </c>
      <c r="I27" s="79"/>
      <c r="J27">
        <v>0.13850000000000001</v>
      </c>
      <c r="M27">
        <v>0.84509999999999996</v>
      </c>
      <c r="P27" s="88">
        <f t="shared" si="3"/>
        <v>1.2986</v>
      </c>
    </row>
    <row r="28" spans="1:16" ht="15.75" thickBot="1" x14ac:dyDescent="0.3">
      <c r="A28" s="87"/>
      <c r="B28">
        <v>0.126</v>
      </c>
      <c r="C28" s="55"/>
      <c r="D28" s="55"/>
      <c r="E28">
        <v>0.21199999999999999</v>
      </c>
      <c r="F28" s="55"/>
      <c r="G28" s="55"/>
      <c r="H28" s="79">
        <f t="shared" si="2"/>
        <v>0.33799999999999997</v>
      </c>
      <c r="I28" s="79"/>
      <c r="J28">
        <v>0.13650000000000001</v>
      </c>
      <c r="M28">
        <v>0.80620000000000003</v>
      </c>
      <c r="N28" s="66"/>
      <c r="O28" s="66"/>
      <c r="P28" s="88">
        <f t="shared" si="3"/>
        <v>1.2807000000000002</v>
      </c>
    </row>
    <row r="29" spans="1:16" x14ac:dyDescent="0.25">
      <c r="A29" s="87"/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2"/>
        <v>0.31</v>
      </c>
      <c r="I29" s="79"/>
      <c r="J29" s="97"/>
      <c r="M29">
        <v>0.76439999999999997</v>
      </c>
      <c r="N29" s="94">
        <f>AVERAGE(M29:M31)</f>
        <v>0.74563333333333348</v>
      </c>
      <c r="O29" s="66">
        <f>STDEVA(M29:M31)</f>
        <v>1.6798908694713854E-2</v>
      </c>
      <c r="P29" s="88">
        <f t="shared" si="3"/>
        <v>1.0744</v>
      </c>
    </row>
    <row r="30" spans="1:16" x14ac:dyDescent="0.25">
      <c r="A30" s="87"/>
      <c r="B30">
        <v>0.1</v>
      </c>
      <c r="C30" s="55"/>
      <c r="D30" s="55"/>
      <c r="E30">
        <v>0.17599999999999999</v>
      </c>
      <c r="F30" s="55"/>
      <c r="G30" s="55"/>
      <c r="H30" s="79">
        <f t="shared" si="2"/>
        <v>0.27600000000000002</v>
      </c>
      <c r="I30" s="79"/>
      <c r="J30" s="97"/>
      <c r="M30">
        <v>0.74050000000000005</v>
      </c>
      <c r="P30" s="88">
        <f t="shared" si="3"/>
        <v>1.0165000000000002</v>
      </c>
    </row>
    <row r="31" spans="1:16" ht="15.75" thickBot="1" x14ac:dyDescent="0.3">
      <c r="A31" s="89"/>
      <c r="B31" s="81">
        <v>0.10199999999999999</v>
      </c>
      <c r="C31" s="90"/>
      <c r="D31" s="90"/>
      <c r="E31" s="81">
        <v>0.185</v>
      </c>
      <c r="F31" s="90"/>
      <c r="G31" s="90"/>
      <c r="H31" s="95">
        <f t="shared" si="2"/>
        <v>0.28699999999999998</v>
      </c>
      <c r="I31" s="95"/>
      <c r="J31" s="98"/>
      <c r="K31" s="81"/>
      <c r="L31" s="81"/>
      <c r="M31" s="81">
        <v>0.73199999999999998</v>
      </c>
      <c r="N31" s="81"/>
      <c r="O31" s="81"/>
      <c r="P31" s="92">
        <f t="shared" si="3"/>
        <v>1.0189999999999999</v>
      </c>
    </row>
    <row r="32" spans="1:16" x14ac:dyDescent="0.25">
      <c r="A32" s="82" t="s">
        <v>24</v>
      </c>
      <c r="B32" s="83">
        <v>0.12</v>
      </c>
      <c r="C32" s="84">
        <f>STDEVA(B32:B34)</f>
        <v>1.4571661996262942E-2</v>
      </c>
      <c r="D32" s="84">
        <f>AVERAGE(B32:B34)</f>
        <v>0.12633333333333333</v>
      </c>
      <c r="E32" s="83">
        <v>0.114</v>
      </c>
      <c r="F32" s="84">
        <f>STDEVA(E32:E34)</f>
        <v>7.3711147958319921E-3</v>
      </c>
      <c r="G32" s="84">
        <f>AVERAGE(E32:E34)</f>
        <v>0.12233333333333334</v>
      </c>
      <c r="H32" s="93">
        <f t="shared" si="2"/>
        <v>0.23399999999999999</v>
      </c>
      <c r="I32" s="93"/>
      <c r="J32" s="83">
        <v>0.57720000000000005</v>
      </c>
      <c r="K32" s="94">
        <f>AVERAGE(J32:J34)</f>
        <v>0.58143333333333336</v>
      </c>
      <c r="L32" s="94">
        <f>STDEVA(J32:J34)</f>
        <v>4.5829393770083146E-3</v>
      </c>
      <c r="M32" s="83">
        <f>0.4775+0.4519</f>
        <v>0.9294</v>
      </c>
      <c r="N32" s="94">
        <f>AVERAGE(M32:M34)</f>
        <v>0.94919999999999993</v>
      </c>
      <c r="O32" s="66">
        <f>STDEVA(M32:M34)</f>
        <v>2.5891890622355064E-2</v>
      </c>
      <c r="P32" s="86">
        <f t="shared" si="3"/>
        <v>1.7406000000000001</v>
      </c>
    </row>
    <row r="33" spans="1:16" x14ac:dyDescent="0.25">
      <c r="A33" s="87"/>
      <c r="B33">
        <v>0.11599999999999999</v>
      </c>
      <c r="C33" s="55"/>
      <c r="D33" s="55"/>
      <c r="E33">
        <v>0.128</v>
      </c>
      <c r="F33" s="55"/>
      <c r="G33" s="55"/>
      <c r="H33" s="79">
        <f t="shared" si="2"/>
        <v>0.24399999999999999</v>
      </c>
      <c r="I33" s="79"/>
      <c r="J33">
        <v>0.58630000000000004</v>
      </c>
      <c r="M33">
        <f>0.4891+0.4894</f>
        <v>0.97849999999999993</v>
      </c>
      <c r="P33" s="88">
        <f t="shared" si="3"/>
        <v>1.8088</v>
      </c>
    </row>
    <row r="34" spans="1:16" ht="15.75" thickBot="1" x14ac:dyDescent="0.3">
      <c r="A34" s="87"/>
      <c r="B34">
        <v>0.14300000000000002</v>
      </c>
      <c r="C34" s="55"/>
      <c r="D34" s="55"/>
      <c r="E34">
        <v>0.125</v>
      </c>
      <c r="F34" s="55"/>
      <c r="G34" s="55"/>
      <c r="H34" s="79">
        <f t="shared" si="2"/>
        <v>0.26800000000000002</v>
      </c>
      <c r="I34" s="79"/>
      <c r="J34">
        <v>0.58079999999999998</v>
      </c>
      <c r="M34">
        <f>0.4736+0.4661</f>
        <v>0.93969999999999998</v>
      </c>
      <c r="N34" s="81"/>
      <c r="O34" s="66"/>
      <c r="P34" s="88">
        <f t="shared" si="3"/>
        <v>1.7885</v>
      </c>
    </row>
    <row r="35" spans="1:16" x14ac:dyDescent="0.25">
      <c r="A35" s="87"/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2"/>
        <v>0.55299999999999994</v>
      </c>
      <c r="I35" s="79"/>
      <c r="J35" s="97"/>
      <c r="M35" s="66">
        <f>0.3994+0.5006</f>
        <v>0.9</v>
      </c>
      <c r="N35" s="94">
        <f>AVERAGE(M35:M37)</f>
        <v>0.84093333333333342</v>
      </c>
      <c r="O35" s="66">
        <f>STDEVA(M35:M37)</f>
        <v>5.2541919772057591E-2</v>
      </c>
      <c r="P35" s="88"/>
    </row>
    <row r="36" spans="1:16" x14ac:dyDescent="0.25">
      <c r="A36" s="87"/>
      <c r="B36">
        <v>0.25</v>
      </c>
      <c r="C36" s="55"/>
      <c r="D36" s="55"/>
      <c r="E36">
        <v>0.33699999999999997</v>
      </c>
      <c r="F36" s="55"/>
      <c r="G36" s="55"/>
      <c r="H36" s="79">
        <f t="shared" si="2"/>
        <v>0.58699999999999997</v>
      </c>
      <c r="I36" s="79"/>
      <c r="J36" s="97"/>
      <c r="M36">
        <f>0.4009+0.3985</f>
        <v>0.7994</v>
      </c>
      <c r="P36" s="88"/>
    </row>
    <row r="37" spans="1:16" ht="15.75" thickBot="1" x14ac:dyDescent="0.3">
      <c r="A37" s="89"/>
      <c r="B37" s="81">
        <v>0.19700000000000001</v>
      </c>
      <c r="C37" s="90"/>
      <c r="D37" s="90"/>
      <c r="E37" s="81">
        <v>0.35099999999999998</v>
      </c>
      <c r="F37" s="90"/>
      <c r="G37" s="90"/>
      <c r="H37" s="95">
        <f t="shared" si="2"/>
        <v>0.54800000000000004</v>
      </c>
      <c r="I37" s="95"/>
      <c r="J37" s="98"/>
      <c r="K37" s="81"/>
      <c r="L37" s="81"/>
      <c r="M37" s="81">
        <f>0.3852+0.4382</f>
        <v>0.82339999999999991</v>
      </c>
      <c r="N37" s="66"/>
      <c r="O37" s="81"/>
      <c r="P37" s="92"/>
    </row>
    <row r="38" spans="1:16" x14ac:dyDescent="0.25">
      <c r="A38" s="82" t="s">
        <v>25</v>
      </c>
      <c r="B38" s="83">
        <v>0.19800000000000001</v>
      </c>
      <c r="C38" s="84">
        <f>STDEVA(B38:B40)</f>
        <v>1.3316656236958782E-2</v>
      </c>
      <c r="D38" s="84">
        <f>AVERAGE(B38:B40)</f>
        <v>0.21266666666666667</v>
      </c>
      <c r="E38" s="83">
        <v>0.11</v>
      </c>
      <c r="F38" s="84">
        <f>STDEVA(E38:E40)</f>
        <v>7.6376261582597324E-3</v>
      </c>
      <c r="G38" s="84">
        <f>AVERAGE(E38:E40)</f>
        <v>0.11833333333333333</v>
      </c>
      <c r="H38" s="93">
        <f t="shared" si="2"/>
        <v>0.308</v>
      </c>
      <c r="I38" s="93"/>
      <c r="J38" s="99"/>
      <c r="K38" s="83"/>
      <c r="L38" s="83"/>
      <c r="M38" s="83">
        <f>0.4092+0.4338</f>
        <v>0.84299999999999997</v>
      </c>
      <c r="N38" s="94">
        <f>AVERAGE(M38:M40)</f>
        <v>0.83230000000000004</v>
      </c>
      <c r="O38" s="66">
        <f>STDEVA(M38:M40)</f>
        <v>1.2016239012270055E-2</v>
      </c>
      <c r="P38" s="86"/>
    </row>
    <row r="39" spans="1:16" x14ac:dyDescent="0.25">
      <c r="A39" s="87"/>
      <c r="B39">
        <v>0.224</v>
      </c>
      <c r="C39" s="55"/>
      <c r="D39" s="55"/>
      <c r="E39">
        <v>0.125</v>
      </c>
      <c r="F39" s="55"/>
      <c r="G39" s="55"/>
      <c r="H39" s="79">
        <f t="shared" si="2"/>
        <v>0.34899999999999998</v>
      </c>
      <c r="I39" s="79"/>
      <c r="J39" s="97"/>
      <c r="M39">
        <f>0.4008+0.4338</f>
        <v>0.83460000000000001</v>
      </c>
      <c r="P39" s="88"/>
    </row>
    <row r="40" spans="1:16" ht="15.75" thickBot="1" x14ac:dyDescent="0.3">
      <c r="A40" s="87"/>
      <c r="B40">
        <v>0.216</v>
      </c>
      <c r="C40" s="55"/>
      <c r="D40" s="55"/>
      <c r="E40">
        <v>0.12</v>
      </c>
      <c r="F40" s="55"/>
      <c r="G40" s="55"/>
      <c r="H40" s="79">
        <f t="shared" si="2"/>
        <v>0.33599999999999997</v>
      </c>
      <c r="I40" s="79"/>
      <c r="J40" s="97"/>
      <c r="M40">
        <f>0.4321+0.3872</f>
        <v>0.81929999999999992</v>
      </c>
      <c r="P40" s="88"/>
    </row>
    <row r="41" spans="1:16" x14ac:dyDescent="0.25">
      <c r="A41" s="87"/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2"/>
        <v>0.377</v>
      </c>
      <c r="I41" s="79"/>
      <c r="J41">
        <v>0.32650000000000001</v>
      </c>
      <c r="K41" s="94">
        <f>AVERAGE(J41:J43)</f>
        <v>0.32519999999999999</v>
      </c>
      <c r="L41" s="94">
        <f>STDEVA(J41:J43)</f>
        <v>2.4269322199023083E-3</v>
      </c>
      <c r="M41">
        <f>0.2728+0.3667</f>
        <v>0.63949999999999996</v>
      </c>
      <c r="N41" s="94">
        <f>AVERAGE(M41:M43)</f>
        <v>0.79186666666666661</v>
      </c>
      <c r="O41" s="66">
        <f>STDEVA(M41:M43)</f>
        <v>0.14067076218366514</v>
      </c>
      <c r="P41" s="88">
        <f>M41+H41+J41</f>
        <v>1.343</v>
      </c>
    </row>
    <row r="42" spans="1:16" x14ac:dyDescent="0.25">
      <c r="A42" s="87"/>
      <c r="B42">
        <v>0.14000000000000001</v>
      </c>
      <c r="E42">
        <v>0.23599999999999999</v>
      </c>
      <c r="H42" s="79">
        <f t="shared" si="2"/>
        <v>0.376</v>
      </c>
      <c r="I42" s="79"/>
      <c r="J42">
        <v>0.32240000000000002</v>
      </c>
      <c r="M42">
        <f>0.483+0.4338</f>
        <v>0.91680000000000006</v>
      </c>
      <c r="P42" s="88">
        <f>M42+H42+J42</f>
        <v>1.6152000000000002</v>
      </c>
    </row>
    <row r="43" spans="1:16" ht="15.75" thickBot="1" x14ac:dyDescent="0.3">
      <c r="A43" s="89"/>
      <c r="B43" s="81">
        <v>0.20200000000000001</v>
      </c>
      <c r="C43" s="81"/>
      <c r="D43" s="81"/>
      <c r="E43" s="81">
        <v>0.24199999999999999</v>
      </c>
      <c r="F43" s="81"/>
      <c r="G43" s="81"/>
      <c r="H43" s="95">
        <f t="shared" si="2"/>
        <v>0.44400000000000001</v>
      </c>
      <c r="I43" s="95"/>
      <c r="J43" s="81">
        <v>0.32669999999999999</v>
      </c>
      <c r="K43" s="81"/>
      <c r="L43" s="81"/>
      <c r="M43" s="81">
        <f>0.4321+0.3872</f>
        <v>0.81929999999999992</v>
      </c>
      <c r="N43" s="81"/>
      <c r="O43" s="66"/>
      <c r="P43" s="92">
        <f>M43+H43+J43</f>
        <v>1.5899999999999999</v>
      </c>
    </row>
    <row r="44" spans="1:16" x14ac:dyDescent="0.25">
      <c r="A44" s="82" t="s">
        <v>38</v>
      </c>
      <c r="B44" s="75">
        <v>0.105</v>
      </c>
      <c r="C44" s="84">
        <f>STDEVA(B44:B46)</f>
        <v>1.1532562594670798E-2</v>
      </c>
      <c r="D44" s="84">
        <f>AVERAGE(B44:B46)</f>
        <v>0.11599999999999999</v>
      </c>
      <c r="E44" s="83"/>
      <c r="F44" s="83"/>
      <c r="G44" s="83"/>
      <c r="H44" s="93">
        <f t="shared" si="2"/>
        <v>0.105</v>
      </c>
      <c r="I44" s="93"/>
      <c r="J44" s="99"/>
      <c r="K44" s="83"/>
      <c r="L44" s="83"/>
      <c r="M44" s="94">
        <v>1.653</v>
      </c>
      <c r="N44" s="94">
        <f>AVERAGE(M44:M46)</f>
        <v>1.5531333333333333</v>
      </c>
      <c r="O44" s="66">
        <f>STDEVA(M44:M46)</f>
        <v>8.7710736704997183E-2</v>
      </c>
      <c r="P44" s="86"/>
    </row>
    <row r="45" spans="1:16" x14ac:dyDescent="0.25">
      <c r="A45" s="87"/>
      <c r="B45" s="76">
        <v>0.115</v>
      </c>
      <c r="C45" s="55"/>
      <c r="D45" s="55"/>
      <c r="H45" s="79">
        <f t="shared" si="2"/>
        <v>0.115</v>
      </c>
      <c r="I45" s="79"/>
      <c r="J45" s="97"/>
      <c r="M45">
        <v>1.5178</v>
      </c>
      <c r="P45" s="88"/>
    </row>
    <row r="46" spans="1:16" ht="15.75" thickBot="1" x14ac:dyDescent="0.3">
      <c r="A46" s="87"/>
      <c r="B46" s="77">
        <v>0.128</v>
      </c>
      <c r="C46" s="55"/>
      <c r="D46" s="55"/>
      <c r="H46" s="79">
        <f t="shared" si="2"/>
        <v>0.128</v>
      </c>
      <c r="I46" s="79"/>
      <c r="J46" s="97"/>
      <c r="M46">
        <v>1.4885999999999999</v>
      </c>
      <c r="N46" s="66"/>
      <c r="O46" s="81"/>
      <c r="P46" s="88"/>
    </row>
    <row r="47" spans="1:16" x14ac:dyDescent="0.25">
      <c r="A47" s="87"/>
      <c r="B47" s="76">
        <v>0.74399999999999999</v>
      </c>
      <c r="C47" s="55">
        <f>STDEVA(B47:B49)</f>
        <v>4.1327956639543632E-2</v>
      </c>
      <c r="D47" s="55">
        <f>AVERAGE(B47:B49)</f>
        <v>0.70000000000000007</v>
      </c>
      <c r="H47" s="79">
        <f t="shared" si="2"/>
        <v>0.74399999999999999</v>
      </c>
      <c r="I47" s="79"/>
      <c r="J47" s="97"/>
      <c r="M47">
        <v>0.90349999999999997</v>
      </c>
      <c r="N47" s="94">
        <f>AVERAGE(M47:M49)</f>
        <v>0.92903333333333338</v>
      </c>
      <c r="O47" s="66">
        <f>STDEVA(M47:M49)</f>
        <v>2.6065366548992441E-2</v>
      </c>
      <c r="P47" s="88"/>
    </row>
    <row r="48" spans="1:16" x14ac:dyDescent="0.25">
      <c r="A48" s="87"/>
      <c r="B48" s="76">
        <v>0.69399999999999995</v>
      </c>
      <c r="H48" s="79">
        <f t="shared" si="2"/>
        <v>0.69399999999999995</v>
      </c>
      <c r="I48" s="79"/>
      <c r="J48" s="97"/>
      <c r="M48">
        <v>0.9556</v>
      </c>
      <c r="P48" s="88"/>
    </row>
    <row r="49" spans="1:16" ht="15.75" thickBot="1" x14ac:dyDescent="0.3">
      <c r="A49" s="89"/>
      <c r="B49" s="77">
        <v>0.66200000000000003</v>
      </c>
      <c r="C49" s="81"/>
      <c r="D49" s="81"/>
      <c r="E49" s="81"/>
      <c r="F49" s="81"/>
      <c r="G49" s="81"/>
      <c r="H49" s="95">
        <f t="shared" si="2"/>
        <v>0.66200000000000003</v>
      </c>
      <c r="I49" s="95"/>
      <c r="J49" s="98"/>
      <c r="K49" s="81"/>
      <c r="L49" s="81"/>
      <c r="M49" s="96">
        <v>0.92800000000000005</v>
      </c>
      <c r="N49" s="96"/>
      <c r="O49" s="96"/>
      <c r="P49" s="92">
        <f ca="1">A1:P49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FD_solid</vt:lpstr>
      <vt:lpstr>FD_supernatant</vt:lpstr>
      <vt:lpstr>Sheet4</vt:lpstr>
      <vt:lpstr>Sheet5</vt:lpstr>
      <vt:lpstr>Sheet6</vt:lpstr>
      <vt:lpstr>Sheet7</vt:lpstr>
      <vt:lpstr>Sheet8</vt:lpstr>
      <vt:lpstr>Sheet9</vt:lpstr>
      <vt:lpstr>For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35383</dc:creator>
  <cp:lastModifiedBy>John Connor</cp:lastModifiedBy>
  <dcterms:created xsi:type="dcterms:W3CDTF">2021-04-14T12:38:20Z</dcterms:created>
  <dcterms:modified xsi:type="dcterms:W3CDTF">2024-12-28T21:59:57Z</dcterms:modified>
</cp:coreProperties>
</file>