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-4ESAONT\c\from old laptop\yoga_disk\sophy\Galway PhD\experiment 2\extraction\"/>
    </mc:Choice>
  </mc:AlternateContent>
  <xr:revisionPtr revIDLastSave="0" documentId="13_ncr:1_{0EFB272E-C727-4A9A-BA3C-D3846B8DCEB2}" xr6:coauthVersionLast="47" xr6:coauthVersionMax="47" xr10:uidLastSave="{00000000-0000-0000-0000-000000000000}"/>
  <bookViews>
    <workbookView xWindow="-110" yWindow="-110" windowWidth="19420" windowHeight="10420" firstSheet="3" activeTab="7" xr2:uid="{7153C6E9-2814-4423-9AA9-D6FBE2029D4E}"/>
  </bookViews>
  <sheets>
    <sheet name="batch 1 weight" sheetId="1" r:id="rId1"/>
    <sheet name="PVPP FC" sheetId="3" r:id="rId2"/>
    <sheet name="conc alginate" sheetId="2" r:id="rId3"/>
    <sheet name="10 05 2022 batch 2" sheetId="4" r:id="rId4"/>
    <sheet name="14 05 2022 batch 3" sheetId="5" r:id="rId5"/>
    <sheet name="combined weight" sheetId="6" r:id="rId6"/>
    <sheet name="Graph" sheetId="7" r:id="rId7"/>
    <sheet name="Graph alternativ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9" i="8" l="1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P8" i="4"/>
  <c r="I8" i="4"/>
  <c r="J8" i="4"/>
  <c r="H8" i="4"/>
  <c r="C14" i="7" l="1"/>
  <c r="L11" i="1"/>
  <c r="L12" i="1"/>
  <c r="L13" i="1"/>
  <c r="O2" i="5" l="1"/>
  <c r="E38" i="6"/>
  <c r="E35" i="6"/>
  <c r="E33" i="6"/>
  <c r="E31" i="6"/>
  <c r="E29" i="6"/>
  <c r="E26" i="6"/>
  <c r="E23" i="6"/>
  <c r="E20" i="6"/>
  <c r="E17" i="6"/>
  <c r="E14" i="6"/>
  <c r="E8" i="6"/>
  <c r="E5" i="6"/>
  <c r="E2" i="6"/>
  <c r="D38" i="6"/>
  <c r="D35" i="6"/>
  <c r="D33" i="6"/>
  <c r="D31" i="6"/>
  <c r="D29" i="6"/>
  <c r="D26" i="6"/>
  <c r="D23" i="6"/>
  <c r="D20" i="6"/>
  <c r="D17" i="6"/>
  <c r="D14" i="6"/>
  <c r="D11" i="6"/>
  <c r="D8" i="6"/>
  <c r="D5" i="6"/>
  <c r="D2" i="6"/>
  <c r="M3" i="4"/>
  <c r="M4" i="4"/>
  <c r="M5" i="4"/>
  <c r="M6" i="4"/>
  <c r="M7" i="4"/>
  <c r="M8" i="4"/>
  <c r="M9" i="4"/>
  <c r="M10" i="4"/>
  <c r="M11" i="4"/>
  <c r="M12" i="4"/>
  <c r="M13" i="4"/>
  <c r="M2" i="4"/>
  <c r="O13" i="5"/>
  <c r="O3" i="5"/>
  <c r="O4" i="5"/>
  <c r="O5" i="5"/>
  <c r="O6" i="5"/>
  <c r="O7" i="5"/>
  <c r="O8" i="5"/>
  <c r="O9" i="5"/>
  <c r="O10" i="5"/>
  <c r="O11" i="5"/>
  <c r="O12" i="5"/>
  <c r="O14" i="5"/>
  <c r="O15" i="5"/>
  <c r="L13" i="5"/>
  <c r="L12" i="5"/>
  <c r="L11" i="5"/>
  <c r="L10" i="5"/>
  <c r="L9" i="5"/>
  <c r="L8" i="5"/>
  <c r="L7" i="5"/>
  <c r="L6" i="5"/>
  <c r="L5" i="5"/>
  <c r="L4" i="5"/>
  <c r="L3" i="5"/>
  <c r="L2" i="5"/>
  <c r="L3" i="1"/>
  <c r="L4" i="1"/>
  <c r="L5" i="1"/>
  <c r="L6" i="1"/>
  <c r="L7" i="1"/>
  <c r="L8" i="1"/>
  <c r="L9" i="1"/>
  <c r="L10" i="1"/>
  <c r="L2" i="1"/>
  <c r="J2" i="5" l="1"/>
  <c r="Q24" i="5"/>
  <c r="Q23" i="5"/>
  <c r="J1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G8" i="5"/>
  <c r="G7" i="5"/>
  <c r="G6" i="5"/>
  <c r="G5" i="5"/>
  <c r="G3" i="5"/>
  <c r="G4" i="5"/>
  <c r="G2" i="5"/>
  <c r="I2" i="5"/>
  <c r="H12" i="5"/>
  <c r="H13" i="5"/>
  <c r="H14" i="5"/>
  <c r="H15" i="5"/>
  <c r="H16" i="5"/>
  <c r="H11" i="5"/>
  <c r="G11" i="5" l="1"/>
  <c r="G12" i="5"/>
  <c r="G13" i="5"/>
  <c r="G14" i="5"/>
  <c r="G15" i="5"/>
  <c r="G16" i="5"/>
  <c r="F14" i="5"/>
  <c r="F15" i="5"/>
  <c r="F16" i="5"/>
  <c r="E16" i="5"/>
  <c r="E15" i="5"/>
  <c r="E14" i="5"/>
  <c r="E13" i="5"/>
  <c r="F13" i="5" s="1"/>
  <c r="E12" i="5"/>
  <c r="F12" i="5" s="1"/>
  <c r="E11" i="5"/>
  <c r="F11" i="5" s="1"/>
  <c r="H10" i="5"/>
  <c r="E10" i="5"/>
  <c r="F10" i="5" s="1"/>
  <c r="H9" i="5"/>
  <c r="E9" i="5"/>
  <c r="F9" i="5" s="1"/>
  <c r="H8" i="5"/>
  <c r="E8" i="5"/>
  <c r="F8" i="5" s="1"/>
  <c r="H7" i="5"/>
  <c r="E7" i="5"/>
  <c r="F7" i="5" s="1"/>
  <c r="H6" i="5"/>
  <c r="E6" i="5"/>
  <c r="F6" i="5" s="1"/>
  <c r="H5" i="5"/>
  <c r="E5" i="5"/>
  <c r="F5" i="5" s="1"/>
  <c r="H4" i="5"/>
  <c r="E4" i="5"/>
  <c r="F4" i="5" s="1"/>
  <c r="H3" i="5"/>
  <c r="E3" i="5"/>
  <c r="F3" i="5" s="1"/>
  <c r="H2" i="5"/>
  <c r="E2" i="5"/>
  <c r="F2" i="5" s="1"/>
  <c r="G2" i="1"/>
  <c r="E2" i="4"/>
  <c r="F2" i="4" s="1"/>
  <c r="E13" i="4"/>
  <c r="F13" i="4" s="1"/>
  <c r="I13" i="4" s="1"/>
  <c r="E12" i="4"/>
  <c r="F12" i="4" s="1"/>
  <c r="I12" i="4" s="1"/>
  <c r="E11" i="4"/>
  <c r="F11" i="4" s="1"/>
  <c r="I11" i="4" s="1"/>
  <c r="H10" i="4"/>
  <c r="E10" i="4"/>
  <c r="F10" i="4" s="1"/>
  <c r="J10" i="4" s="1"/>
  <c r="H9" i="4"/>
  <c r="E9" i="4"/>
  <c r="F9" i="4" s="1"/>
  <c r="J9" i="4" s="1"/>
  <c r="E8" i="4"/>
  <c r="F8" i="4" s="1"/>
  <c r="H7" i="4"/>
  <c r="E7" i="4"/>
  <c r="F7" i="4" s="1"/>
  <c r="I7" i="4" s="1"/>
  <c r="H6" i="4"/>
  <c r="E6" i="4"/>
  <c r="F6" i="4" s="1"/>
  <c r="J6" i="4" s="1"/>
  <c r="H5" i="4"/>
  <c r="E5" i="4"/>
  <c r="F5" i="4" s="1"/>
  <c r="J5" i="4" s="1"/>
  <c r="H4" i="4"/>
  <c r="E4" i="4"/>
  <c r="F4" i="4" s="1"/>
  <c r="J4" i="4" s="1"/>
  <c r="H3" i="4"/>
  <c r="E3" i="4"/>
  <c r="F3" i="4" s="1"/>
  <c r="J3" i="4" s="1"/>
  <c r="H2" i="4"/>
  <c r="J12" i="1"/>
  <c r="J13" i="1"/>
  <c r="J11" i="1"/>
  <c r="J6" i="1"/>
  <c r="J8" i="1"/>
  <c r="H8" i="1"/>
  <c r="H3" i="1"/>
  <c r="H4" i="1"/>
  <c r="H5" i="1"/>
  <c r="H6" i="1"/>
  <c r="H7" i="1"/>
  <c r="H2" i="1"/>
  <c r="J9" i="1"/>
  <c r="J10" i="1"/>
  <c r="J7" i="1"/>
  <c r="H10" i="1"/>
  <c r="H9" i="1"/>
  <c r="G8" i="1"/>
  <c r="E2" i="1"/>
  <c r="E3" i="1"/>
  <c r="E4" i="1"/>
  <c r="E5" i="1"/>
  <c r="E6" i="1"/>
  <c r="E7" i="1"/>
  <c r="E8" i="1"/>
  <c r="E9" i="1"/>
  <c r="E10" i="1"/>
  <c r="E11" i="1"/>
  <c r="E12" i="1"/>
  <c r="E13" i="1"/>
  <c r="L17" i="2"/>
  <c r="G8" i="4" l="1"/>
  <c r="G7" i="4"/>
  <c r="J13" i="4"/>
  <c r="J12" i="4"/>
  <c r="J11" i="4"/>
  <c r="G2" i="4"/>
  <c r="J2" i="4"/>
  <c r="G6" i="4"/>
  <c r="G5" i="4"/>
  <c r="G4" i="4"/>
  <c r="J7" i="4"/>
  <c r="G3" i="4"/>
  <c r="I3" i="5"/>
  <c r="I5" i="5"/>
  <c r="I7" i="5"/>
  <c r="I8" i="5"/>
  <c r="G9" i="5"/>
  <c r="I9" i="5"/>
  <c r="I4" i="5"/>
  <c r="G10" i="5"/>
  <c r="I10" i="5"/>
  <c r="I6" i="5"/>
  <c r="I12" i="5"/>
  <c r="I13" i="5"/>
  <c r="I11" i="5"/>
  <c r="I3" i="4"/>
  <c r="I10" i="4"/>
  <c r="G10" i="4"/>
  <c r="I5" i="4"/>
  <c r="G9" i="4"/>
  <c r="I9" i="4"/>
  <c r="I6" i="4"/>
  <c r="I2" i="4"/>
  <c r="I4" i="4"/>
  <c r="K9" i="2"/>
  <c r="L9" i="2" s="1"/>
  <c r="J9" i="2"/>
  <c r="K8" i="2"/>
  <c r="L8" i="2" s="1"/>
  <c r="J8" i="2"/>
  <c r="K7" i="2"/>
  <c r="L7" i="2" s="1"/>
  <c r="J7" i="2"/>
  <c r="K6" i="2"/>
  <c r="L6" i="2" s="1"/>
  <c r="J6" i="2"/>
  <c r="K5" i="2"/>
  <c r="L5" i="2" s="1"/>
  <c r="J5" i="2"/>
  <c r="K4" i="2"/>
  <c r="L4" i="2" s="1"/>
  <c r="J4" i="2"/>
  <c r="K3" i="2"/>
  <c r="L3" i="2" s="1"/>
  <c r="J3" i="2"/>
  <c r="L2" i="2"/>
  <c r="J2" i="2"/>
  <c r="C22" i="2"/>
  <c r="D22" i="2" s="1"/>
  <c r="B22" i="2"/>
  <c r="C21" i="2"/>
  <c r="D21" i="2" s="1"/>
  <c r="B21" i="2"/>
  <c r="C20" i="2"/>
  <c r="D20" i="2" s="1"/>
  <c r="B20" i="2"/>
  <c r="C19" i="2"/>
  <c r="D19" i="2" s="1"/>
  <c r="B19" i="2"/>
  <c r="C18" i="2"/>
  <c r="D18" i="2" s="1"/>
  <c r="B18" i="2"/>
  <c r="C17" i="2"/>
  <c r="D17" i="2" s="1"/>
  <c r="B17" i="2"/>
  <c r="C16" i="2"/>
  <c r="D16" i="2" s="1"/>
  <c r="B16" i="2"/>
  <c r="C15" i="2"/>
  <c r="D15" i="2" s="1"/>
  <c r="B15" i="2"/>
  <c r="C14" i="2"/>
  <c r="D14" i="2" s="1"/>
  <c r="B14" i="2"/>
  <c r="D13" i="2"/>
  <c r="B13" i="2"/>
  <c r="C9" i="2"/>
  <c r="D9" i="2" s="1"/>
  <c r="B9" i="2"/>
  <c r="C8" i="2"/>
  <c r="D8" i="2" s="1"/>
  <c r="B8" i="2"/>
  <c r="C7" i="2"/>
  <c r="D7" i="2" s="1"/>
  <c r="B7" i="2"/>
  <c r="C6" i="2"/>
  <c r="D6" i="2" s="1"/>
  <c r="B6" i="2"/>
  <c r="C5" i="2"/>
  <c r="D5" i="2" s="1"/>
  <c r="B5" i="2"/>
  <c r="C4" i="2"/>
  <c r="D4" i="2" s="1"/>
  <c r="B4" i="2"/>
  <c r="C3" i="2"/>
  <c r="D3" i="2" s="1"/>
  <c r="B3" i="2"/>
  <c r="D2" i="2"/>
  <c r="B2" i="2"/>
  <c r="F2" i="1"/>
  <c r="F5" i="1"/>
  <c r="F6" i="1"/>
  <c r="F7" i="1"/>
  <c r="F8" i="1"/>
  <c r="F9" i="1"/>
  <c r="F10" i="1"/>
  <c r="F11" i="1"/>
  <c r="F12" i="1"/>
  <c r="F13" i="1"/>
  <c r="F3" i="1"/>
  <c r="F4" i="1"/>
  <c r="G10" i="1" l="1"/>
  <c r="I10" i="1"/>
  <c r="I8" i="1"/>
  <c r="G3" i="1"/>
  <c r="I3" i="1"/>
  <c r="J3" i="1" s="1"/>
  <c r="G6" i="1"/>
  <c r="I6" i="1"/>
  <c r="I2" i="1"/>
  <c r="J2" i="1" s="1"/>
  <c r="I13" i="1"/>
  <c r="I11" i="1"/>
  <c r="G9" i="1"/>
  <c r="I9" i="1"/>
  <c r="G7" i="1"/>
  <c r="I7" i="1"/>
  <c r="G5" i="1"/>
  <c r="I5" i="1"/>
  <c r="J5" i="1" s="1"/>
  <c r="G4" i="1"/>
  <c r="I4" i="1"/>
  <c r="J4" i="1" s="1"/>
  <c r="I12" i="1"/>
</calcChain>
</file>

<file path=xl/sharedStrings.xml><?xml version="1.0" encoding="utf-8"?>
<sst xmlns="http://schemas.openxmlformats.org/spreadsheetml/2006/main" count="333" uniqueCount="175">
  <si>
    <t>PVPP</t>
  </si>
  <si>
    <t>BSA</t>
  </si>
  <si>
    <t>Control</t>
  </si>
  <si>
    <t>Tube №</t>
  </si>
  <si>
    <t>Weight of falcon tube, mg</t>
  </si>
  <si>
    <t>Weight of falcon tube+dried seweed  after phase 1, mg</t>
  </si>
  <si>
    <t>Weight of extract residue after phase 1, mg</t>
  </si>
  <si>
    <t>Volume of water to add for phase 2 extraction(m:V, 1:25), mL</t>
  </si>
  <si>
    <t>concentration Glc, mg /mL</t>
  </si>
  <si>
    <t>concentration Glc, mg / L−1</t>
  </si>
  <si>
    <t>stock</t>
  </si>
  <si>
    <t>water</t>
  </si>
  <si>
    <t>total</t>
  </si>
  <si>
    <t>Eppi's number</t>
  </si>
  <si>
    <t>for 2 mL solution</t>
  </si>
  <si>
    <t>concentration alginic acid, mg / L−1</t>
  </si>
  <si>
    <t>concentration alginic acid, mg /mL</t>
  </si>
  <si>
    <t>concentration phloroglucinol, μg mL−1</t>
  </si>
  <si>
    <t>uL</t>
  </si>
  <si>
    <t>content</t>
  </si>
  <si>
    <t>sample</t>
  </si>
  <si>
    <t>phenol</t>
  </si>
  <si>
    <t>H2SO4</t>
  </si>
  <si>
    <t>A</t>
  </si>
  <si>
    <t>B</t>
  </si>
  <si>
    <t>C</t>
  </si>
  <si>
    <t>D</t>
  </si>
  <si>
    <t>E</t>
  </si>
  <si>
    <t>F</t>
  </si>
  <si>
    <t>G</t>
  </si>
  <si>
    <t>St 1</t>
  </si>
  <si>
    <t>St 2</t>
  </si>
  <si>
    <t>St 3</t>
  </si>
  <si>
    <t>St 4</t>
  </si>
  <si>
    <t>St 5</t>
  </si>
  <si>
    <t>St 6</t>
  </si>
  <si>
    <t>St 7</t>
  </si>
  <si>
    <t>St 8</t>
  </si>
  <si>
    <t>Blank</t>
  </si>
  <si>
    <t>H</t>
  </si>
  <si>
    <t>PVPP 1.1</t>
  </si>
  <si>
    <t>PVPP 1.2</t>
  </si>
  <si>
    <t>PVPP 2.1</t>
  </si>
  <si>
    <t>PVPP 2.2</t>
  </si>
  <si>
    <t>PVPP 3.1</t>
  </si>
  <si>
    <t>PVPP 3.2</t>
  </si>
  <si>
    <t>PVPP 4.1</t>
  </si>
  <si>
    <t>PVPP 4.2</t>
  </si>
  <si>
    <t>PVPP 5.1</t>
  </si>
  <si>
    <t>PVPP 6.1</t>
  </si>
  <si>
    <t>PVPP 7.1</t>
  </si>
  <si>
    <t>PVPP 8.1</t>
  </si>
  <si>
    <t>PVPP 5.2</t>
  </si>
  <si>
    <t>PVPP 6.2</t>
  </si>
  <si>
    <t>PVPP 7.2</t>
  </si>
  <si>
    <t>PVPP 8.2</t>
  </si>
  <si>
    <t>BSA 1.1</t>
  </si>
  <si>
    <t>BSA 1.2</t>
  </si>
  <si>
    <t>BSA 2.1</t>
  </si>
  <si>
    <t>BSA 3.1</t>
  </si>
  <si>
    <t>BSA 4.1</t>
  </si>
  <si>
    <t>BSA 5.1</t>
  </si>
  <si>
    <t>BSA 6.1</t>
  </si>
  <si>
    <t>BSA 7.1</t>
  </si>
  <si>
    <t>BSA 8.1</t>
  </si>
  <si>
    <t>BSA 3.2</t>
  </si>
  <si>
    <t>BSA 4.2</t>
  </si>
  <si>
    <t>BSA 5.2</t>
  </si>
  <si>
    <t>BSA 6.2</t>
  </si>
  <si>
    <t>BSA 7.2</t>
  </si>
  <si>
    <t>BSA 8.2</t>
  </si>
  <si>
    <t>Contr 1.1</t>
  </si>
  <si>
    <t>Contr 1.2</t>
  </si>
  <si>
    <t>Contr 2.1</t>
  </si>
  <si>
    <t>Contr 2.2</t>
  </si>
  <si>
    <t>Contr 3.1</t>
  </si>
  <si>
    <t>Contr 4.1</t>
  </si>
  <si>
    <t>Contr 5.1</t>
  </si>
  <si>
    <t>Contr 6.1</t>
  </si>
  <si>
    <t>Contr 7.1</t>
  </si>
  <si>
    <t>Contr 8.1</t>
  </si>
  <si>
    <t>Contr 4.2</t>
  </si>
  <si>
    <t>Contr 5.2</t>
  </si>
  <si>
    <t>Contr 6.2</t>
  </si>
  <si>
    <t>Contr 7.2</t>
  </si>
  <si>
    <t>Contr 8.2</t>
  </si>
  <si>
    <t xml:space="preserve"> </t>
  </si>
  <si>
    <t>Contr 3.2</t>
  </si>
  <si>
    <t>Volume of supernatant phase 1+phase 2</t>
  </si>
  <si>
    <t>Volume of ethanol to prec ipitate, mL</t>
  </si>
  <si>
    <t>amount of PVPP to use/BSA</t>
  </si>
  <si>
    <t>amount of PVPP to use for supernatant 1/BSA</t>
  </si>
  <si>
    <t>PVPP filter</t>
  </si>
  <si>
    <t>ising</t>
  </si>
  <si>
    <t>Total</t>
  </si>
  <si>
    <t>1800 L</t>
  </si>
  <si>
    <t>x</t>
  </si>
  <si>
    <t>Weight of falcon extract ph 2, mg</t>
  </si>
  <si>
    <t>PVP (PVPP filter)</t>
  </si>
  <si>
    <t>Extract weight to DW of seaweed, %</t>
  </si>
  <si>
    <t>Weight of falcon tube for freeze drying, mg</t>
  </si>
  <si>
    <t>Weight of falcon tube+extract phase 2, mg</t>
  </si>
  <si>
    <t>Weight of falcon tube, g</t>
  </si>
  <si>
    <t>Weight of falcon tube+dried seweed  after phase 1, g</t>
  </si>
  <si>
    <t>Weight of extract residue after phase 1, g</t>
  </si>
  <si>
    <t>Treatment type</t>
  </si>
  <si>
    <t>Requirement</t>
  </si>
  <si>
    <t>Measurement</t>
  </si>
  <si>
    <t>number of Falcon tube</t>
  </si>
  <si>
    <t>batch 3</t>
  </si>
  <si>
    <t>N of Falcon tubes</t>
  </si>
  <si>
    <t>pH before phase 2</t>
  </si>
  <si>
    <t>1 dose</t>
  </si>
  <si>
    <t>after ph 2</t>
  </si>
  <si>
    <t xml:space="preserve"> neutral</t>
  </si>
  <si>
    <t>1 2 3</t>
  </si>
  <si>
    <t>3 dose</t>
  </si>
  <si>
    <t xml:space="preserve">4 5 </t>
  </si>
  <si>
    <t>PVPP isingglass overnight</t>
  </si>
  <si>
    <t>neutral</t>
  </si>
  <si>
    <t xml:space="preserve">6 7 </t>
  </si>
  <si>
    <t>2 dose</t>
  </si>
  <si>
    <t>8 9</t>
  </si>
  <si>
    <t>Isinglass</t>
  </si>
  <si>
    <t>1 dose after 2 phase</t>
  </si>
  <si>
    <t>10 11 12</t>
  </si>
  <si>
    <t>1 dose before phase 2</t>
  </si>
  <si>
    <t>2 doses</t>
  </si>
  <si>
    <t>13 14 15</t>
  </si>
  <si>
    <t>PVPP 1 dose+1 dose+1 dose</t>
  </si>
  <si>
    <t>PVPP 3 doses</t>
  </si>
  <si>
    <t>BSA 2 doses</t>
  </si>
  <si>
    <t>Isinglass 1 dose after phase 2</t>
  </si>
  <si>
    <t>Isinglass 2 doses after phase 2</t>
  </si>
  <si>
    <t>PVPP + filter 1 dose</t>
  </si>
  <si>
    <t>PVPP 1 dose</t>
  </si>
  <si>
    <t>Weight of  extract ph 2, mg</t>
  </si>
  <si>
    <t>Weight of falcon + extract ph 2, mg</t>
  </si>
  <si>
    <t>Weight of  extract ph 2, g</t>
  </si>
  <si>
    <t>batch 1</t>
  </si>
  <si>
    <t>batch 2</t>
  </si>
  <si>
    <t>PVPP 2 doses</t>
  </si>
  <si>
    <t>BSA 1 dose (1.2 mM – 79 mg/L)</t>
  </si>
  <si>
    <t>BSA 1 dose (7.6 mM – 500 mg/L)</t>
  </si>
  <si>
    <t>BSA 2 doses (7.6 mM – 500 mg/L)</t>
  </si>
  <si>
    <t>AVERAGE</t>
  </si>
  <si>
    <t>ST DEV</t>
  </si>
  <si>
    <t>PVPP 3 doses + filter</t>
  </si>
  <si>
    <t>Isingglass overnight</t>
  </si>
  <si>
    <t>BSA 1 D (79 mg/L)</t>
  </si>
  <si>
    <t>BSA 1 D (500 mg/L)</t>
  </si>
  <si>
    <t>Isinglass 1 D</t>
  </si>
  <si>
    <t>Isinglass 2 D</t>
  </si>
  <si>
    <t>PVPP 1 D</t>
  </si>
  <si>
    <t>PVPP 2 D</t>
  </si>
  <si>
    <t>PVPP 1 D +1 D +1 D</t>
  </si>
  <si>
    <t>PVPP 3 D + filter</t>
  </si>
  <si>
    <t>PVPP 1 D + filter</t>
  </si>
  <si>
    <t>Isinglass 12 h</t>
  </si>
  <si>
    <t>Separation techniques:</t>
  </si>
  <si>
    <t>Polyvinylpolypyrrolidone (PVPP)</t>
  </si>
  <si>
    <t>Bovine Serum Albumin (BSA)</t>
  </si>
  <si>
    <t>Polyvinylpolypyrrolidone (PVPP) coupled with filter</t>
  </si>
  <si>
    <t>1 dose at a time, 2 doses at a time, 1 dose +1 dose +1 dose</t>
  </si>
  <si>
    <t>1 dose at a time, 3 doses at a time</t>
  </si>
  <si>
    <t>1 dose, 6.3 doses, 12.6 doses</t>
  </si>
  <si>
    <t>1 dose, 2 doses, 1 dose overnight</t>
  </si>
  <si>
    <t>no separation technique involved</t>
  </si>
  <si>
    <t>Separation techniques</t>
  </si>
  <si>
    <t>Chemical used</t>
  </si>
  <si>
    <t>Conditions</t>
  </si>
  <si>
    <t>Control 2</t>
  </si>
  <si>
    <t>BSA 2 D (500 mg/L)</t>
  </si>
  <si>
    <t>Control 1</t>
  </si>
  <si>
    <t>Isinglass 1 D 12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</si>
</sst>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111111"/>
      <name val="Roboto"/>
    </font>
    <font>
      <sz val="12"/>
      <color theme="1"/>
      <name val="Times New Roman"/>
      <family val="1"/>
    </font>
    <font>
      <sz val="12"/>
      <color rgb="FF11111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49E9B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5" borderId="0" xfId="0" applyFont="1" applyFill="1" applyAlignment="1">
      <alignment horizontal="center" wrapText="1"/>
    </xf>
    <xf numFmtId="165" fontId="0" fillId="5" borderId="0" xfId="0" applyNumberForma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/>
    <xf numFmtId="164" fontId="0" fillId="6" borderId="0" xfId="0" applyNumberFormat="1" applyFill="1" applyAlignment="1">
      <alignment horizontal="center" vertical="center"/>
    </xf>
    <xf numFmtId="165" fontId="0" fillId="6" borderId="0" xfId="0" applyNumberFormat="1" applyFill="1"/>
    <xf numFmtId="165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/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5" borderId="0" xfId="0" applyFill="1"/>
    <xf numFmtId="0" fontId="0" fillId="7" borderId="0" xfId="0" applyFill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9" fillId="0" borderId="23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1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B27AF"/>
      <color rgb="FF66277D"/>
      <color rgb="FFA54ED6"/>
      <color rgb="FFCA93DD"/>
      <color rgb="FFF4BD5A"/>
      <color rgb="FFFCE088"/>
      <color rgb="FF339933"/>
      <color rgb="FFC06CC2"/>
      <color rgb="FF06CAC5"/>
      <color rgb="FF0ED8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Phenolic</a:t>
            </a:r>
            <a:r>
              <a:rPr lang="en-IE" baseline="0"/>
              <a:t>s separation experiment: weight of extracts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6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1F8F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3-4D30-8192-66E97F916BF0}"/>
              </c:ext>
            </c:extLst>
          </c:dPt>
          <c:dPt>
            <c:idx val="1"/>
            <c:invertIfNegative val="0"/>
            <c:bubble3D val="0"/>
            <c:spPr>
              <a:solidFill>
                <a:srgbClr val="159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93-4D30-8192-66E97F916BF0}"/>
              </c:ext>
            </c:extLst>
          </c:dPt>
          <c:dPt>
            <c:idx val="2"/>
            <c:invertIfNegative val="0"/>
            <c:bubble3D val="0"/>
            <c:spPr>
              <a:solidFill>
                <a:srgbClr val="EB8A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3-4D30-8192-66E97F916BF0}"/>
              </c:ext>
            </c:extLst>
          </c:dPt>
          <c:dPt>
            <c:idx val="3"/>
            <c:invertIfNegative val="0"/>
            <c:bubble3D val="0"/>
            <c:spPr>
              <a:solidFill>
                <a:srgbClr val="33BB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93-4D30-8192-66E97F916BF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3-4D30-8192-66E97F916BF0}"/>
              </c:ext>
            </c:extLst>
          </c:dPt>
          <c:dPt>
            <c:idx val="5"/>
            <c:invertIfNegative val="0"/>
            <c:bubble3D val="0"/>
            <c:spPr>
              <a:solidFill>
                <a:srgbClr val="A648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793-4D30-8192-66E97F916BF0}"/>
              </c:ext>
            </c:extLst>
          </c:dPt>
          <c:dPt>
            <c:idx val="6"/>
            <c:invertIfNegative val="0"/>
            <c:bubble3D val="0"/>
            <c:spPr>
              <a:solidFill>
                <a:srgbClr val="1A7D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93-4D30-8192-66E97F916BF0}"/>
              </c:ext>
            </c:extLst>
          </c:dPt>
          <c:dPt>
            <c:idx val="7"/>
            <c:invertIfNegative val="0"/>
            <c:bubble3D val="0"/>
            <c:spPr>
              <a:solidFill>
                <a:srgbClr val="0F61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793-4D30-8192-66E97F916BF0}"/>
              </c:ext>
            </c:extLst>
          </c:dPt>
          <c:dPt>
            <c:idx val="8"/>
            <c:invertIfNegative val="0"/>
            <c:bubble3D val="0"/>
            <c:spPr>
              <a:solidFill>
                <a:srgbClr val="E3DF4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93-4D30-8192-66E97F916BF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793-4D30-8192-66E97F916BF0}"/>
              </c:ext>
            </c:extLst>
          </c:dPt>
          <c:dPt>
            <c:idx val="10"/>
            <c:invertIfNegative val="0"/>
            <c:bubble3D val="0"/>
            <c:spPr>
              <a:solidFill>
                <a:srgbClr val="59CB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93-4D30-8192-66E97F916BF0}"/>
              </c:ext>
            </c:extLst>
          </c:dPt>
          <c:dPt>
            <c:idx val="11"/>
            <c:invertIfNegative val="0"/>
            <c:bubble3D val="0"/>
            <c:spPr>
              <a:solidFill>
                <a:srgbClr val="2894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793-4D30-8192-66E97F916B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('combined weight'!$D$42:$D$44,'combined weight'!$D$46,'combined weight'!$D$48:$D$55)</c:f>
                <c:numCache>
                  <c:formatCode>General</c:formatCode>
                  <c:ptCount val="12"/>
                  <c:pt idx="0">
                    <c:v>0.49328828623162768</c:v>
                  </c:pt>
                  <c:pt idx="1">
                    <c:v>0.40414518843273994</c:v>
                  </c:pt>
                  <c:pt idx="2">
                    <c:v>0.75718777944003501</c:v>
                  </c:pt>
                  <c:pt idx="3">
                    <c:v>1.5275252316519465</c:v>
                  </c:pt>
                  <c:pt idx="4">
                    <c:v>2</c:v>
                  </c:pt>
                  <c:pt idx="5">
                    <c:v>4.5092497528228943</c:v>
                  </c:pt>
                  <c:pt idx="6">
                    <c:v>4.9328828623171743</c:v>
                  </c:pt>
                  <c:pt idx="7">
                    <c:v>3.5355339059318132</c:v>
                  </c:pt>
                  <c:pt idx="8">
                    <c:v>4.2426406871196471</c:v>
                  </c:pt>
                  <c:pt idx="9">
                    <c:v>2.828427124746562</c:v>
                  </c:pt>
                  <c:pt idx="10">
                    <c:v>2.3094010767585034</c:v>
                  </c:pt>
                  <c:pt idx="11">
                    <c:v>4.2426406871207023</c:v>
                  </c:pt>
                </c:numCache>
              </c:numRef>
            </c:plus>
            <c:minus>
              <c:numRef>
                <c:f>('combined weight'!$D$42:$D$44,'combined weight'!$D$46,'combined weight'!$D$48:$D$55)</c:f>
                <c:numCache>
                  <c:formatCode>General</c:formatCode>
                  <c:ptCount val="12"/>
                  <c:pt idx="0">
                    <c:v>0.49328828623162768</c:v>
                  </c:pt>
                  <c:pt idx="1">
                    <c:v>0.40414518843273994</c:v>
                  </c:pt>
                  <c:pt idx="2">
                    <c:v>0.75718777944003501</c:v>
                  </c:pt>
                  <c:pt idx="3">
                    <c:v>1.5275252316519465</c:v>
                  </c:pt>
                  <c:pt idx="4">
                    <c:v>2</c:v>
                  </c:pt>
                  <c:pt idx="5">
                    <c:v>4.5092497528228943</c:v>
                  </c:pt>
                  <c:pt idx="6">
                    <c:v>4.9328828623171743</c:v>
                  </c:pt>
                  <c:pt idx="7">
                    <c:v>3.5355339059318132</c:v>
                  </c:pt>
                  <c:pt idx="8">
                    <c:v>4.2426406871196471</c:v>
                  </c:pt>
                  <c:pt idx="9">
                    <c:v>2.828427124746562</c:v>
                  </c:pt>
                  <c:pt idx="10">
                    <c:v>2.3094010767585034</c:v>
                  </c:pt>
                  <c:pt idx="11">
                    <c:v>4.2426406871207023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('combined weight'!$E$42:$E$44,'combined weight'!$E$46,'combined weight'!$E$48:$E$55)</c:f>
              <c:strCache>
                <c:ptCount val="12"/>
                <c:pt idx="0">
                  <c:v>PVPP 1 dose</c:v>
                </c:pt>
                <c:pt idx="1">
                  <c:v>PVPP + filter 1 dose</c:v>
                </c:pt>
                <c:pt idx="2">
                  <c:v>BSA 1 dose (1.2 mM – 79 mg/L)</c:v>
                </c:pt>
                <c:pt idx="3">
                  <c:v>PVPP 2 doses</c:v>
                </c:pt>
                <c:pt idx="4">
                  <c:v>BSA 1 dose (7.6 mM – 500 mg/L)</c:v>
                </c:pt>
                <c:pt idx="5">
                  <c:v>Control</c:v>
                </c:pt>
                <c:pt idx="6">
                  <c:v>PVPP 1 dose+1 dose+1 dose</c:v>
                </c:pt>
                <c:pt idx="7">
                  <c:v>PVPP 3 doses + filter</c:v>
                </c:pt>
                <c:pt idx="8">
                  <c:v>Isingglass overnight</c:v>
                </c:pt>
                <c:pt idx="9">
                  <c:v>BSA 2 doses (7.6 mM – 500 mg/L)</c:v>
                </c:pt>
                <c:pt idx="10">
                  <c:v>Isinglass 1 dose after phase 2</c:v>
                </c:pt>
                <c:pt idx="11">
                  <c:v>Isinglass 2 doses after phase 2</c:v>
                </c:pt>
              </c:strCache>
            </c:strRef>
          </c:cat>
          <c:val>
            <c:numRef>
              <c:f>('combined weight'!$C$42:$C$44,'combined weight'!$C$46,'combined weight'!$C$48:$C$55)</c:f>
              <c:numCache>
                <c:formatCode>0.000</c:formatCode>
                <c:ptCount val="12"/>
                <c:pt idx="0">
                  <c:v>50.366666666666674</c:v>
                </c:pt>
                <c:pt idx="1">
                  <c:v>36.733333333333327</c:v>
                </c:pt>
                <c:pt idx="2">
                  <c:v>54.966666666666669</c:v>
                </c:pt>
                <c:pt idx="3">
                  <c:v>46.333333333333336</c:v>
                </c:pt>
                <c:pt idx="4">
                  <c:v>75</c:v>
                </c:pt>
                <c:pt idx="5">
                  <c:v>64.666666666666671</c:v>
                </c:pt>
                <c:pt idx="6">
                  <c:v>44.333333333333037</c:v>
                </c:pt>
                <c:pt idx="7">
                  <c:v>38.499999999999247</c:v>
                </c:pt>
                <c:pt idx="8">
                  <c:v>73.000000000000256</c:v>
                </c:pt>
                <c:pt idx="9">
                  <c:v>34.999999999999737</c:v>
                </c:pt>
                <c:pt idx="10">
                  <c:v>74.333333333333329</c:v>
                </c:pt>
                <c:pt idx="11" formatCode="General">
                  <c:v>49.999999999999822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3-4D30-8192-66E97F916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639039"/>
        <c:axId val="1417640703"/>
      </c:barChart>
      <c:catAx>
        <c:axId val="14176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40703"/>
        <c:crosses val="autoZero"/>
        <c:auto val="1"/>
        <c:lblAlgn val="ctr"/>
        <c:lblOffset val="100"/>
        <c:noMultiLvlLbl val="0"/>
      </c:catAx>
      <c:valAx>
        <c:axId val="14176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/>
                  <a:t>Weight</a:t>
                </a:r>
                <a:r>
                  <a:rPr lang="en-IE" sz="1400" baseline="0"/>
                  <a:t> of extracts, mg</a:t>
                </a:r>
                <a:endParaRPr lang="en-IE" sz="1400"/>
              </a:p>
            </c:rich>
          </c:tx>
          <c:layout>
            <c:manualLayout>
              <c:xMode val="edge"/>
              <c:yMode val="edge"/>
              <c:x val="1.4354069689573463E-2"/>
              <c:y val="0.2220803048388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 b="1">
                <a:latin typeface="Times New Roman" panose="02020603050405020304" pitchFamily="18" charset="0"/>
                <a:cs typeface="Times New Roman" panose="02020603050405020304" pitchFamily="18" charset="0"/>
              </a:rPr>
              <a:t>Phenolic</a:t>
            </a:r>
            <a:r>
              <a:rPr lang="en-IE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 separation experiment: weight of extracts</a:t>
            </a:r>
            <a:endParaRPr lang="en-IE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6D4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1B-4AE5-B90F-4FBEA24F76A5}"/>
              </c:ext>
            </c:extLst>
          </c:dPt>
          <c:dPt>
            <c:idx val="1"/>
            <c:invertIfNegative val="0"/>
            <c:bubble3D val="0"/>
            <c:spPr>
              <a:solidFill>
                <a:srgbClr val="6FAAF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1B-4AE5-B90F-4FBEA24F76A5}"/>
              </c:ext>
            </c:extLst>
          </c:dPt>
          <c:dPt>
            <c:idx val="3"/>
            <c:invertIfNegative val="0"/>
            <c:bubble3D val="0"/>
            <c:spPr>
              <a:solidFill>
                <a:srgbClr val="70F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1B-4AE5-B90F-4FBEA24F76A5}"/>
              </c:ext>
            </c:extLst>
          </c:dPt>
          <c:dPt>
            <c:idx val="4"/>
            <c:invertIfNegative val="0"/>
            <c:bubble3D val="0"/>
            <c:spPr>
              <a:solidFill>
                <a:srgbClr val="0ED8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1B-4AE5-B90F-4FBEA24F76A5}"/>
              </c:ext>
            </c:extLst>
          </c:dPt>
          <c:dPt>
            <c:idx val="5"/>
            <c:invertIfNegative val="0"/>
            <c:bubble3D val="0"/>
            <c:spPr>
              <a:solidFill>
                <a:srgbClr val="FCE08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C1B-4AE5-B90F-4FBEA24F76A5}"/>
              </c:ext>
            </c:extLst>
          </c:dPt>
          <c:dPt>
            <c:idx val="6"/>
            <c:invertIfNegative val="0"/>
            <c:bubble3D val="0"/>
            <c:spPr>
              <a:solidFill>
                <a:srgbClr val="F4BD5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C1B-4AE5-B90F-4FBEA24F76A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C1B-4AE5-B90F-4FBEA24F76A5}"/>
              </c:ext>
            </c:extLst>
          </c:dPt>
          <c:dPt>
            <c:idx val="8"/>
            <c:invertIfNegative val="0"/>
            <c:bubble3D val="0"/>
            <c:spPr>
              <a:solidFill>
                <a:srgbClr val="CA93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C1B-4AE5-B90F-4FBEA24F76A5}"/>
              </c:ext>
            </c:extLst>
          </c:dPt>
          <c:dPt>
            <c:idx val="9"/>
            <c:invertIfNegative val="0"/>
            <c:bubble3D val="0"/>
            <c:spPr>
              <a:solidFill>
                <a:srgbClr val="C06C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C1B-4AE5-B90F-4FBEA24F76A5}"/>
              </c:ext>
            </c:extLst>
          </c:dPt>
          <c:dPt>
            <c:idx val="10"/>
            <c:invertIfNegative val="0"/>
            <c:bubble3D val="0"/>
            <c:spPr>
              <a:solidFill>
                <a:srgbClr val="A54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C1B-4AE5-B90F-4FBEA24F76A5}"/>
              </c:ext>
            </c:extLst>
          </c:dPt>
          <c:dPt>
            <c:idx val="11"/>
            <c:invertIfNegative val="0"/>
            <c:bubble3D val="0"/>
            <c:spPr>
              <a:solidFill>
                <a:srgbClr val="33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C1B-4AE5-B90F-4FBEA24F76A5}"/>
              </c:ext>
            </c:extLst>
          </c:dPt>
          <c:errBars>
            <c:errBarType val="both"/>
            <c:errValType val="cust"/>
            <c:noEndCap val="0"/>
            <c:plus>
              <c:numRef>
                <c:f>Graph!$B$1:$B$12</c:f>
                <c:numCache>
                  <c:formatCode>General</c:formatCode>
                  <c:ptCount val="12"/>
                  <c:pt idx="0">
                    <c:v>0.49328828623162768</c:v>
                  </c:pt>
                  <c:pt idx="1">
                    <c:v>1.5275252316519465</c:v>
                  </c:pt>
                  <c:pt idx="2">
                    <c:v>4.9328828623171743</c:v>
                  </c:pt>
                  <c:pt idx="3">
                    <c:v>0.40414518843273994</c:v>
                  </c:pt>
                  <c:pt idx="4">
                    <c:v>3.5355339059318132</c:v>
                  </c:pt>
                  <c:pt idx="5">
                    <c:v>0.75718777944003501</c:v>
                  </c:pt>
                  <c:pt idx="6">
                    <c:v>2</c:v>
                  </c:pt>
                  <c:pt idx="7">
                    <c:v>2.828427124746562</c:v>
                  </c:pt>
                  <c:pt idx="8">
                    <c:v>4.2426406871196471</c:v>
                  </c:pt>
                  <c:pt idx="9">
                    <c:v>2.3094010767585034</c:v>
                  </c:pt>
                  <c:pt idx="10">
                    <c:v>4.2426406871207023</c:v>
                  </c:pt>
                  <c:pt idx="11">
                    <c:v>4.5092497528228943</c:v>
                  </c:pt>
                </c:numCache>
              </c:numRef>
            </c:plus>
            <c:minus>
              <c:numRef>
                <c:f>Graph!$B$1:$B$12</c:f>
                <c:numCache>
                  <c:formatCode>General</c:formatCode>
                  <c:ptCount val="12"/>
                  <c:pt idx="0">
                    <c:v>0.49328828623162768</c:v>
                  </c:pt>
                  <c:pt idx="1">
                    <c:v>1.5275252316519465</c:v>
                  </c:pt>
                  <c:pt idx="2">
                    <c:v>4.9328828623171743</c:v>
                  </c:pt>
                  <c:pt idx="3">
                    <c:v>0.40414518843273994</c:v>
                  </c:pt>
                  <c:pt idx="4">
                    <c:v>3.5355339059318132</c:v>
                  </c:pt>
                  <c:pt idx="5">
                    <c:v>0.75718777944003501</c:v>
                  </c:pt>
                  <c:pt idx="6">
                    <c:v>2</c:v>
                  </c:pt>
                  <c:pt idx="7">
                    <c:v>2.828427124746562</c:v>
                  </c:pt>
                  <c:pt idx="8">
                    <c:v>4.2426406871196471</c:v>
                  </c:pt>
                  <c:pt idx="9">
                    <c:v>2.3094010767585034</c:v>
                  </c:pt>
                  <c:pt idx="10">
                    <c:v>4.2426406871207023</c:v>
                  </c:pt>
                  <c:pt idx="11">
                    <c:v>4.5092497528228943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Graph!$C$1:$C$12</c:f>
              <c:strCache>
                <c:ptCount val="12"/>
                <c:pt idx="0">
                  <c:v>PVPP 1 D</c:v>
                </c:pt>
                <c:pt idx="1">
                  <c:v>PVPP 2 D</c:v>
                </c:pt>
                <c:pt idx="2">
                  <c:v>PVPP 1 D +1 D +1 D</c:v>
                </c:pt>
                <c:pt idx="3">
                  <c:v>PVPP 1 D + filter</c:v>
                </c:pt>
                <c:pt idx="4">
                  <c:v>PVPP 3 D + filter</c:v>
                </c:pt>
                <c:pt idx="5">
                  <c:v>BSA 1 D (79 mg/L)</c:v>
                </c:pt>
                <c:pt idx="6">
                  <c:v>BSA 1 D (500 mg/L)</c:v>
                </c:pt>
                <c:pt idx="7">
                  <c:v>BSA 2 D (500 mg/L)</c:v>
                </c:pt>
                <c:pt idx="8">
                  <c:v>Isinglass 12 h</c:v>
                </c:pt>
                <c:pt idx="9">
                  <c:v>Isinglass 1 D</c:v>
                </c:pt>
                <c:pt idx="10">
                  <c:v>Isinglass 2 D</c:v>
                </c:pt>
                <c:pt idx="11">
                  <c:v>Control 2</c:v>
                </c:pt>
              </c:strCache>
            </c:strRef>
          </c:cat>
          <c:val>
            <c:numRef>
              <c:f>Graph!$A$1:$A$12</c:f>
              <c:numCache>
                <c:formatCode>0.000</c:formatCode>
                <c:ptCount val="12"/>
                <c:pt idx="0">
                  <c:v>50.366666666666674</c:v>
                </c:pt>
                <c:pt idx="1">
                  <c:v>46.333333333333336</c:v>
                </c:pt>
                <c:pt idx="2">
                  <c:v>44.333333333333037</c:v>
                </c:pt>
                <c:pt idx="3">
                  <c:v>36.733333333333327</c:v>
                </c:pt>
                <c:pt idx="4">
                  <c:v>38.499999999999247</c:v>
                </c:pt>
                <c:pt idx="5">
                  <c:v>54.966666666666669</c:v>
                </c:pt>
                <c:pt idx="6">
                  <c:v>75</c:v>
                </c:pt>
                <c:pt idx="7">
                  <c:v>34.999999999999737</c:v>
                </c:pt>
                <c:pt idx="8">
                  <c:v>73.000000000000256</c:v>
                </c:pt>
                <c:pt idx="9">
                  <c:v>74.333333333333329</c:v>
                </c:pt>
                <c:pt idx="10">
                  <c:v>49.999999999999822</c:v>
                </c:pt>
                <c:pt idx="11">
                  <c:v>64.666666666666671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1B-4AE5-B90F-4FBEA24F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639039"/>
        <c:axId val="1417640703"/>
      </c:barChart>
      <c:catAx>
        <c:axId val="141763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Separation</a:t>
                </a:r>
                <a:r>
                  <a:rPr lang="en-IE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technique</a:t>
                </a:r>
                <a:endParaRPr lang="en-IE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7640703"/>
        <c:crosses val="autoZero"/>
        <c:auto val="1"/>
        <c:lblAlgn val="ctr"/>
        <c:lblOffset val="100"/>
        <c:noMultiLvlLbl val="0"/>
      </c:catAx>
      <c:valAx>
        <c:axId val="14176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r>
                  <a:rPr lang="en-IE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extracts, mg</a:t>
                </a:r>
                <a:endParaRPr lang="en-IE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354069689573463E-2"/>
              <c:y val="0.2220803048388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76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 b="1">
                <a:latin typeface="Times New Roman" panose="02020603050405020304" pitchFamily="18" charset="0"/>
                <a:cs typeface="Times New Roman" panose="02020603050405020304" pitchFamily="18" charset="0"/>
              </a:rPr>
              <a:t>Phenolic</a:t>
            </a:r>
            <a:r>
              <a:rPr lang="en-IE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 separation experiment: weight of extracts</a:t>
            </a:r>
            <a:endParaRPr lang="en-IE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6D4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04-425F-B691-DA271757C6AA}"/>
              </c:ext>
            </c:extLst>
          </c:dPt>
          <c:dPt>
            <c:idx val="1"/>
            <c:invertIfNegative val="0"/>
            <c:bubble3D val="0"/>
            <c:spPr>
              <a:solidFill>
                <a:srgbClr val="6FAAF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4-425F-B691-DA271757C6AA}"/>
              </c:ext>
            </c:extLst>
          </c:dPt>
          <c:dPt>
            <c:idx val="3"/>
            <c:invertIfNegative val="0"/>
            <c:bubble3D val="0"/>
            <c:spPr>
              <a:solidFill>
                <a:srgbClr val="70F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4-425F-B691-DA271757C6AA}"/>
              </c:ext>
            </c:extLst>
          </c:dPt>
          <c:dPt>
            <c:idx val="4"/>
            <c:invertIfNegative val="0"/>
            <c:bubble3D val="0"/>
            <c:spPr>
              <a:solidFill>
                <a:srgbClr val="FCE08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4-425F-B691-DA271757C6AA}"/>
              </c:ext>
            </c:extLst>
          </c:dPt>
          <c:dPt>
            <c:idx val="5"/>
            <c:invertIfNegative val="0"/>
            <c:bubble3D val="0"/>
            <c:spPr>
              <a:solidFill>
                <a:srgbClr val="F4BD5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04-425F-B691-DA271757C6AA}"/>
              </c:ext>
            </c:extLst>
          </c:dPt>
          <c:dPt>
            <c:idx val="6"/>
            <c:invertIfNegative val="0"/>
            <c:bubble3D val="0"/>
            <c:spPr>
              <a:solidFill>
                <a:srgbClr val="CA93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04-425F-B691-DA271757C6AA}"/>
              </c:ext>
            </c:extLst>
          </c:dPt>
          <c:dPt>
            <c:idx val="7"/>
            <c:invertIfNegative val="0"/>
            <c:bubble3D val="0"/>
            <c:spPr>
              <a:solidFill>
                <a:srgbClr val="A54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04-425F-B691-DA271757C6AA}"/>
              </c:ext>
            </c:extLst>
          </c:dPt>
          <c:dPt>
            <c:idx val="8"/>
            <c:invertIfNegative val="0"/>
            <c:bubble3D val="0"/>
            <c:spPr>
              <a:solidFill>
                <a:srgbClr val="7B27A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04-425F-B691-DA271757C6A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04-425F-B691-DA271757C6A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04-425F-B691-DA271757C6AA}"/>
              </c:ext>
            </c:extLst>
          </c:dPt>
          <c:errBars>
            <c:errBarType val="both"/>
            <c:errValType val="cust"/>
            <c:noEndCap val="0"/>
            <c:plus>
              <c:numRef>
                <c:f>Graph!$B$1:$B$12</c:f>
                <c:numCache>
                  <c:formatCode>General</c:formatCode>
                  <c:ptCount val="12"/>
                  <c:pt idx="0">
                    <c:v>0.49328828623162768</c:v>
                  </c:pt>
                  <c:pt idx="1">
                    <c:v>1.5275252316519465</c:v>
                  </c:pt>
                  <c:pt idx="2">
                    <c:v>4.9328828623171743</c:v>
                  </c:pt>
                  <c:pt idx="3">
                    <c:v>0.40414518843273994</c:v>
                  </c:pt>
                  <c:pt idx="4">
                    <c:v>3.5355339059318132</c:v>
                  </c:pt>
                  <c:pt idx="5">
                    <c:v>0.75718777944003501</c:v>
                  </c:pt>
                  <c:pt idx="6">
                    <c:v>2</c:v>
                  </c:pt>
                  <c:pt idx="7">
                    <c:v>2.828427124746562</c:v>
                  </c:pt>
                  <c:pt idx="8">
                    <c:v>4.2426406871196471</c:v>
                  </c:pt>
                  <c:pt idx="9">
                    <c:v>2.3094010767585034</c:v>
                  </c:pt>
                  <c:pt idx="10">
                    <c:v>4.2426406871207023</c:v>
                  </c:pt>
                  <c:pt idx="11">
                    <c:v>4.5092497528228943</c:v>
                  </c:pt>
                </c:numCache>
              </c:numRef>
            </c:plus>
            <c:minus>
              <c:numRef>
                <c:f>Graph!$B$1:$B$12</c:f>
                <c:numCache>
                  <c:formatCode>General</c:formatCode>
                  <c:ptCount val="12"/>
                  <c:pt idx="0">
                    <c:v>0.49328828623162768</c:v>
                  </c:pt>
                  <c:pt idx="1">
                    <c:v>1.5275252316519465</c:v>
                  </c:pt>
                  <c:pt idx="2">
                    <c:v>4.9328828623171743</c:v>
                  </c:pt>
                  <c:pt idx="3">
                    <c:v>0.40414518843273994</c:v>
                  </c:pt>
                  <c:pt idx="4">
                    <c:v>3.5355339059318132</c:v>
                  </c:pt>
                  <c:pt idx="5">
                    <c:v>0.75718777944003501</c:v>
                  </c:pt>
                  <c:pt idx="6">
                    <c:v>2</c:v>
                  </c:pt>
                  <c:pt idx="7">
                    <c:v>2.828427124746562</c:v>
                  </c:pt>
                  <c:pt idx="8">
                    <c:v>4.2426406871196471</c:v>
                  </c:pt>
                  <c:pt idx="9">
                    <c:v>2.3094010767585034</c:v>
                  </c:pt>
                  <c:pt idx="10">
                    <c:v>4.2426406871207023</c:v>
                  </c:pt>
                  <c:pt idx="11">
                    <c:v>4.5092497528228943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alternative'!$C$1:$C$11</c:f>
              <c:strCache>
                <c:ptCount val="11"/>
                <c:pt idx="0">
                  <c:v>PVPP 1 D</c:v>
                </c:pt>
                <c:pt idx="1">
                  <c:v>PVPP 2 D</c:v>
                </c:pt>
                <c:pt idx="2">
                  <c:v>PVPP 1 D +1 D +1 D</c:v>
                </c:pt>
                <c:pt idx="3">
                  <c:v>PVPP 1 D + filter</c:v>
                </c:pt>
                <c:pt idx="4">
                  <c:v>BSA 1 D (500 mg/L)</c:v>
                </c:pt>
                <c:pt idx="5">
                  <c:v>BSA 2 D (500 mg/L)</c:v>
                </c:pt>
                <c:pt idx="6">
                  <c:v>Isinglass 1 D 12 h</c:v>
                </c:pt>
                <c:pt idx="7">
                  <c:v>Isinglass 1 D</c:v>
                </c:pt>
                <c:pt idx="8">
                  <c:v>Isinglass 2 D</c:v>
                </c:pt>
                <c:pt idx="9">
                  <c:v>Control 1</c:v>
                </c:pt>
                <c:pt idx="10">
                  <c:v>Control 2</c:v>
                </c:pt>
              </c:strCache>
            </c:strRef>
          </c:cat>
          <c:val>
            <c:numRef>
              <c:f>'Graph alternative'!$A$1:$A$11</c:f>
              <c:numCache>
                <c:formatCode>0.000</c:formatCode>
                <c:ptCount val="11"/>
                <c:pt idx="0">
                  <c:v>50.366666666666674</c:v>
                </c:pt>
                <c:pt idx="1">
                  <c:v>46.333333333333336</c:v>
                </c:pt>
                <c:pt idx="2">
                  <c:v>44.333333333333037</c:v>
                </c:pt>
                <c:pt idx="3">
                  <c:v>36.733333333333327</c:v>
                </c:pt>
                <c:pt idx="4">
                  <c:v>75</c:v>
                </c:pt>
                <c:pt idx="5">
                  <c:v>34.999999999999737</c:v>
                </c:pt>
                <c:pt idx="6">
                  <c:v>73.000000000000256</c:v>
                </c:pt>
                <c:pt idx="7">
                  <c:v>74.333333333333329</c:v>
                </c:pt>
                <c:pt idx="8">
                  <c:v>49.999999999999822</c:v>
                </c:pt>
                <c:pt idx="9">
                  <c:v>52.7</c:v>
                </c:pt>
                <c:pt idx="10">
                  <c:v>64.666666666666671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04-425F-B691-DA271757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639039"/>
        <c:axId val="1417640703"/>
      </c:barChart>
      <c:catAx>
        <c:axId val="141763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Separation</a:t>
                </a:r>
                <a:r>
                  <a:rPr lang="en-IE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technique</a:t>
                </a:r>
                <a:endParaRPr lang="en-IE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7640703"/>
        <c:crosses val="autoZero"/>
        <c:auto val="1"/>
        <c:lblAlgn val="ctr"/>
        <c:lblOffset val="100"/>
        <c:noMultiLvlLbl val="0"/>
      </c:catAx>
      <c:valAx>
        <c:axId val="14176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r>
                  <a:rPr lang="en-IE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extracts, mg</a:t>
                </a:r>
                <a:endParaRPr lang="en-IE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354069689573463E-2"/>
              <c:y val="0.2220803048388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76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40</xdr:row>
      <xdr:rowOff>9524</xdr:rowOff>
    </xdr:from>
    <xdr:to>
      <xdr:col>15</xdr:col>
      <xdr:colOff>577849</xdr:colOff>
      <xdr:row>63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F20A8-4C45-9E2C-2740-032F9BDB5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0</xdr:rowOff>
    </xdr:from>
    <xdr:to>
      <xdr:col>13</xdr:col>
      <xdr:colOff>355600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D4CB0-736A-41E2-931B-09AA1228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0</xdr:rowOff>
    </xdr:from>
    <xdr:to>
      <xdr:col>13</xdr:col>
      <xdr:colOff>355600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B6A11-8E5F-463A-9741-66712FB83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2F42-233E-4E57-9396-B846E9998A92}">
  <dimension ref="A1:N19"/>
  <sheetViews>
    <sheetView topLeftCell="A4" zoomScale="120" zoomScaleNormal="120" workbookViewId="0">
      <selection activeCell="L16" sqref="L16"/>
    </sheetView>
  </sheetViews>
  <sheetFormatPr defaultRowHeight="14.5" x14ac:dyDescent="0.35"/>
  <cols>
    <col min="2" max="2" width="5.90625" customWidth="1"/>
  </cols>
  <sheetData>
    <row r="1" spans="1:13" ht="116" x14ac:dyDescent="0.35">
      <c r="B1" s="5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90</v>
      </c>
      <c r="H1" s="3" t="s">
        <v>91</v>
      </c>
      <c r="I1" s="3" t="s">
        <v>88</v>
      </c>
      <c r="J1" s="3" t="s">
        <v>89</v>
      </c>
      <c r="K1" s="3" t="s">
        <v>97</v>
      </c>
      <c r="L1" s="3" t="s">
        <v>99</v>
      </c>
    </row>
    <row r="2" spans="1:13" x14ac:dyDescent="0.35">
      <c r="A2" s="90" t="s">
        <v>0</v>
      </c>
      <c r="B2" s="1">
        <v>1</v>
      </c>
      <c r="C2" s="4">
        <v>13.2897</v>
      </c>
      <c r="D2">
        <v>14.122</v>
      </c>
      <c r="E2" s="2">
        <f>D2-C2</f>
        <v>0.83230000000000004</v>
      </c>
      <c r="F2">
        <f>E2*25</f>
        <v>20.807500000000001</v>
      </c>
      <c r="G2" s="46">
        <f>F2*10</f>
        <v>208.07500000000002</v>
      </c>
      <c r="H2" s="46">
        <f>10*10</f>
        <v>100</v>
      </c>
      <c r="I2" s="46">
        <f>F2+10</f>
        <v>30.807500000000001</v>
      </c>
      <c r="J2" s="42">
        <f>80*I2/20</f>
        <v>123.22999999999999</v>
      </c>
      <c r="K2" s="74">
        <v>50.7</v>
      </c>
      <c r="L2" s="1">
        <f>K2*100/1000</f>
        <v>5.07</v>
      </c>
      <c r="M2" t="s">
        <v>86</v>
      </c>
    </row>
    <row r="3" spans="1:13" x14ac:dyDescent="0.35">
      <c r="A3" s="90"/>
      <c r="B3" s="1">
        <v>2</v>
      </c>
      <c r="C3" s="4">
        <v>13.2789</v>
      </c>
      <c r="D3" s="2">
        <v>14.1326</v>
      </c>
      <c r="E3" s="2">
        <f t="shared" ref="E3:E13" si="0">D3-C3</f>
        <v>0.8536999999999999</v>
      </c>
      <c r="F3">
        <f t="shared" ref="F3:F13" si="1">E3*25</f>
        <v>21.342499999999998</v>
      </c>
      <c r="G3" s="46">
        <f t="shared" ref="G3:G7" si="2">F3*10</f>
        <v>213.42499999999998</v>
      </c>
      <c r="H3" s="46">
        <f t="shared" ref="H3:H7" si="3">10*10</f>
        <v>100</v>
      </c>
      <c r="I3" s="46">
        <f t="shared" ref="I3:I13" si="4">F3+10</f>
        <v>31.342499999999998</v>
      </c>
      <c r="J3" s="42">
        <f t="shared" ref="J3:J5" si="5">80*I3/20</f>
        <v>125.36999999999998</v>
      </c>
      <c r="K3" s="74">
        <v>50.6</v>
      </c>
      <c r="L3" s="1">
        <f t="shared" ref="L3:L13" si="6">K3*100/1000</f>
        <v>5.0599999999999996</v>
      </c>
    </row>
    <row r="4" spans="1:13" x14ac:dyDescent="0.35">
      <c r="A4" s="90"/>
      <c r="B4" s="1">
        <v>3</v>
      </c>
      <c r="C4" s="4">
        <v>13.314399999999999</v>
      </c>
      <c r="D4">
        <v>14.156499999999999</v>
      </c>
      <c r="E4" s="2">
        <f t="shared" si="0"/>
        <v>0.84210000000000029</v>
      </c>
      <c r="F4">
        <f t="shared" si="1"/>
        <v>21.052500000000009</v>
      </c>
      <c r="G4" s="46">
        <f t="shared" si="2"/>
        <v>210.52500000000009</v>
      </c>
      <c r="H4" s="46">
        <f t="shared" si="3"/>
        <v>100</v>
      </c>
      <c r="I4" s="46">
        <f t="shared" si="4"/>
        <v>31.052500000000009</v>
      </c>
      <c r="J4" s="42">
        <f t="shared" si="5"/>
        <v>124.21000000000004</v>
      </c>
      <c r="K4" s="74">
        <v>49.8</v>
      </c>
      <c r="L4" s="1">
        <f t="shared" si="6"/>
        <v>4.9800000000000004</v>
      </c>
    </row>
    <row r="5" spans="1:13" x14ac:dyDescent="0.35">
      <c r="A5" s="91" t="s">
        <v>98</v>
      </c>
      <c r="B5" s="1">
        <v>1</v>
      </c>
      <c r="C5" s="4">
        <v>13.2845</v>
      </c>
      <c r="D5">
        <v>14.136100000000001</v>
      </c>
      <c r="E5" s="2">
        <f t="shared" si="0"/>
        <v>0.85160000000000124</v>
      </c>
      <c r="F5">
        <f t="shared" si="1"/>
        <v>21.290000000000031</v>
      </c>
      <c r="G5" s="46">
        <f t="shared" si="2"/>
        <v>212.90000000000032</v>
      </c>
      <c r="H5" s="46">
        <f t="shared" si="3"/>
        <v>100</v>
      </c>
      <c r="I5" s="46">
        <f t="shared" si="4"/>
        <v>31.290000000000031</v>
      </c>
      <c r="J5" s="42">
        <f t="shared" si="5"/>
        <v>125.16000000000012</v>
      </c>
      <c r="K5" s="74">
        <v>36.799999999999997</v>
      </c>
      <c r="L5" s="1">
        <f t="shared" si="6"/>
        <v>3.6799999999999997</v>
      </c>
    </row>
    <row r="6" spans="1:13" x14ac:dyDescent="0.35">
      <c r="A6" s="91"/>
      <c r="B6" s="1">
        <v>2</v>
      </c>
      <c r="C6" s="4">
        <v>13.2121</v>
      </c>
      <c r="D6">
        <v>14.131600000000001</v>
      </c>
      <c r="E6" s="2">
        <f t="shared" si="0"/>
        <v>0.91950000000000109</v>
      </c>
      <c r="F6">
        <f t="shared" si="1"/>
        <v>22.987500000000026</v>
      </c>
      <c r="G6" s="46">
        <f t="shared" si="2"/>
        <v>229.87500000000026</v>
      </c>
      <c r="H6" s="46">
        <f t="shared" si="3"/>
        <v>100</v>
      </c>
      <c r="I6" s="46">
        <f t="shared" si="4"/>
        <v>32.987500000000026</v>
      </c>
      <c r="J6" s="42">
        <f>80*I6/20</f>
        <v>131.9500000000001</v>
      </c>
      <c r="K6" s="74">
        <v>36.299999999999997</v>
      </c>
      <c r="L6" s="1">
        <f t="shared" si="6"/>
        <v>3.6299999999999994</v>
      </c>
    </row>
    <row r="7" spans="1:13" x14ac:dyDescent="0.35">
      <c r="A7" s="91"/>
      <c r="B7" s="1">
        <v>3</v>
      </c>
      <c r="C7" s="4">
        <v>13.281599999999999</v>
      </c>
      <c r="D7">
        <v>14.160399999999999</v>
      </c>
      <c r="E7" s="2">
        <f t="shared" si="0"/>
        <v>0.87880000000000003</v>
      </c>
      <c r="F7">
        <f t="shared" si="1"/>
        <v>21.97</v>
      </c>
      <c r="G7" s="46">
        <f t="shared" si="2"/>
        <v>219.7</v>
      </c>
      <c r="H7" s="46">
        <f t="shared" si="3"/>
        <v>100</v>
      </c>
      <c r="I7" s="46">
        <f t="shared" si="4"/>
        <v>31.97</v>
      </c>
      <c r="J7" s="42">
        <f>80*I7/20</f>
        <v>127.88</v>
      </c>
      <c r="K7" s="74">
        <v>37.1</v>
      </c>
      <c r="L7" s="1">
        <f t="shared" si="6"/>
        <v>3.71</v>
      </c>
    </row>
    <row r="8" spans="1:13" x14ac:dyDescent="0.35">
      <c r="A8" s="90" t="s">
        <v>1</v>
      </c>
      <c r="B8" s="1">
        <v>1</v>
      </c>
      <c r="C8" s="4">
        <v>13.278600000000001</v>
      </c>
      <c r="D8">
        <v>14.1807</v>
      </c>
      <c r="E8" s="2">
        <f t="shared" si="0"/>
        <v>0.90209999999999901</v>
      </c>
      <c r="F8">
        <f t="shared" si="1"/>
        <v>22.552499999999974</v>
      </c>
      <c r="G8" s="46">
        <f>F8/25</f>
        <v>0.9020999999999989</v>
      </c>
      <c r="H8" s="46">
        <f>10/25</f>
        <v>0.4</v>
      </c>
      <c r="I8" s="46">
        <f t="shared" si="4"/>
        <v>32.552499999999974</v>
      </c>
      <c r="J8" s="42">
        <f>80*(G8+I8+H8)/20</f>
        <v>135.41839999999988</v>
      </c>
      <c r="K8" s="74">
        <v>54.1</v>
      </c>
      <c r="L8" s="1">
        <f t="shared" si="6"/>
        <v>5.41</v>
      </c>
    </row>
    <row r="9" spans="1:13" x14ac:dyDescent="0.35">
      <c r="A9" s="90"/>
      <c r="B9" s="1">
        <v>2</v>
      </c>
      <c r="C9" s="4">
        <v>13.2735</v>
      </c>
      <c r="D9">
        <v>14.1464</v>
      </c>
      <c r="E9" s="2">
        <f t="shared" si="0"/>
        <v>0.87289999999999957</v>
      </c>
      <c r="F9">
        <f t="shared" si="1"/>
        <v>21.822499999999991</v>
      </c>
      <c r="G9" s="46">
        <f>F9/25</f>
        <v>0.87289999999999968</v>
      </c>
      <c r="H9" s="46">
        <f>10/25</f>
        <v>0.4</v>
      </c>
      <c r="I9" s="46">
        <f t="shared" si="4"/>
        <v>31.822499999999991</v>
      </c>
      <c r="J9" s="42">
        <f t="shared" ref="J9:J10" si="7">80*(G9+I9+H9)/20</f>
        <v>132.38159999999996</v>
      </c>
      <c r="K9" s="74">
        <v>55.3</v>
      </c>
      <c r="L9" s="1">
        <f t="shared" si="6"/>
        <v>5.53</v>
      </c>
    </row>
    <row r="10" spans="1:13" x14ac:dyDescent="0.35">
      <c r="A10" s="90"/>
      <c r="B10" s="1">
        <v>3</v>
      </c>
      <c r="C10" s="4">
        <v>13.176500000000001</v>
      </c>
      <c r="D10">
        <v>14.022399999999999</v>
      </c>
      <c r="E10" s="2">
        <f t="shared" si="0"/>
        <v>0.84589999999999854</v>
      </c>
      <c r="F10">
        <f t="shared" si="1"/>
        <v>21.147499999999965</v>
      </c>
      <c r="G10" s="46">
        <f t="shared" ref="G10" si="8">F10/25</f>
        <v>0.84589999999999865</v>
      </c>
      <c r="H10" s="46">
        <f>10/25</f>
        <v>0.4</v>
      </c>
      <c r="I10" s="46">
        <f t="shared" si="4"/>
        <v>31.147499999999965</v>
      </c>
      <c r="J10" s="42">
        <f t="shared" si="7"/>
        <v>129.57359999999986</v>
      </c>
      <c r="K10" s="74">
        <v>55.5</v>
      </c>
      <c r="L10" s="1">
        <f t="shared" si="6"/>
        <v>5.55</v>
      </c>
    </row>
    <row r="11" spans="1:13" x14ac:dyDescent="0.35">
      <c r="A11" s="90" t="s">
        <v>2</v>
      </c>
      <c r="B11" s="1">
        <v>1</v>
      </c>
      <c r="C11" s="4">
        <v>13.2171</v>
      </c>
      <c r="D11">
        <v>14.1168</v>
      </c>
      <c r="E11" s="2">
        <f t="shared" si="0"/>
        <v>0.89969999999999928</v>
      </c>
      <c r="F11">
        <f t="shared" si="1"/>
        <v>22.492499999999982</v>
      </c>
      <c r="G11" s="46">
        <v>0</v>
      </c>
      <c r="H11" s="46">
        <v>0</v>
      </c>
      <c r="I11" s="46">
        <f t="shared" si="4"/>
        <v>32.492499999999978</v>
      </c>
      <c r="J11" s="42">
        <f>80*I11/20</f>
        <v>129.96999999999991</v>
      </c>
      <c r="K11" s="85">
        <v>52.4</v>
      </c>
      <c r="L11" s="1">
        <f t="shared" si="6"/>
        <v>5.24</v>
      </c>
    </row>
    <row r="12" spans="1:13" x14ac:dyDescent="0.35">
      <c r="A12" s="90"/>
      <c r="B12" s="1">
        <v>2</v>
      </c>
      <c r="C12" s="4">
        <v>13.2507</v>
      </c>
      <c r="D12">
        <v>14.108499999999999</v>
      </c>
      <c r="E12" s="2">
        <f t="shared" si="0"/>
        <v>0.85779999999999923</v>
      </c>
      <c r="F12">
        <f t="shared" si="1"/>
        <v>21.444999999999979</v>
      </c>
      <c r="G12" s="46">
        <v>0</v>
      </c>
      <c r="H12" s="46">
        <v>0</v>
      </c>
      <c r="I12" s="46">
        <f t="shared" si="4"/>
        <v>31.444999999999979</v>
      </c>
      <c r="J12" s="42">
        <f t="shared" ref="J12:J13" si="9">80*I12/20</f>
        <v>125.77999999999993</v>
      </c>
      <c r="K12" s="85">
        <v>53.8</v>
      </c>
      <c r="L12" s="1">
        <f t="shared" si="6"/>
        <v>5.38</v>
      </c>
    </row>
    <row r="13" spans="1:13" x14ac:dyDescent="0.35">
      <c r="A13" s="90"/>
      <c r="B13" s="1">
        <v>3</v>
      </c>
      <c r="C13" s="4">
        <v>13.3025</v>
      </c>
      <c r="D13">
        <v>14.082000000000001</v>
      </c>
      <c r="E13" s="2">
        <f t="shared" si="0"/>
        <v>0.77950000000000053</v>
      </c>
      <c r="F13">
        <f t="shared" si="1"/>
        <v>19.487500000000011</v>
      </c>
      <c r="G13" s="46">
        <v>0</v>
      </c>
      <c r="H13" s="46">
        <v>0</v>
      </c>
      <c r="I13" s="46">
        <f t="shared" si="4"/>
        <v>29.487500000000011</v>
      </c>
      <c r="J13" s="42">
        <f t="shared" si="9"/>
        <v>117.95000000000005</v>
      </c>
      <c r="K13" s="85">
        <v>51.9</v>
      </c>
      <c r="L13" s="1">
        <f t="shared" si="6"/>
        <v>5.19</v>
      </c>
    </row>
    <row r="18" spans="11:14" x14ac:dyDescent="0.35">
      <c r="K18" s="85"/>
      <c r="L18" s="85"/>
      <c r="M18" s="85"/>
    </row>
    <row r="19" spans="11:14" x14ac:dyDescent="0.35">
      <c r="L19" s="74"/>
      <c r="M19" s="74"/>
      <c r="N19" s="74"/>
    </row>
  </sheetData>
  <mergeCells count="4">
    <mergeCell ref="A2:A4"/>
    <mergeCell ref="A5:A7"/>
    <mergeCell ref="A8:A10"/>
    <mergeCell ref="A11:A1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06AE-7EAA-4982-AC76-D549AF99ACE0}">
  <dimension ref="A1:M13"/>
  <sheetViews>
    <sheetView workbookViewId="0">
      <selection activeCell="E19" sqref="E19"/>
    </sheetView>
  </sheetViews>
  <sheetFormatPr defaultRowHeight="14.5" x14ac:dyDescent="0.35"/>
  <sheetData>
    <row r="1" spans="1:13" x14ac:dyDescent="0.35"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</row>
    <row r="2" spans="1:13" x14ac:dyDescent="0.35">
      <c r="A2" s="20" t="s">
        <v>23</v>
      </c>
      <c r="B2" s="43" t="s">
        <v>40</v>
      </c>
      <c r="C2" s="43" t="s">
        <v>42</v>
      </c>
      <c r="D2" s="43" t="s">
        <v>44</v>
      </c>
      <c r="E2" s="43" t="s">
        <v>46</v>
      </c>
      <c r="F2" s="43" t="s">
        <v>48</v>
      </c>
      <c r="G2" s="43" t="s">
        <v>49</v>
      </c>
      <c r="H2" s="43" t="s">
        <v>50</v>
      </c>
      <c r="I2" s="43" t="s">
        <v>51</v>
      </c>
      <c r="J2" s="40"/>
      <c r="K2" s="40"/>
      <c r="L2" s="40"/>
      <c r="M2" s="40"/>
    </row>
    <row r="3" spans="1:13" x14ac:dyDescent="0.35">
      <c r="A3" s="20" t="s">
        <v>24</v>
      </c>
      <c r="B3" s="43" t="s">
        <v>41</v>
      </c>
      <c r="C3" s="43" t="s">
        <v>43</v>
      </c>
      <c r="D3" s="43" t="s">
        <v>45</v>
      </c>
      <c r="E3" s="43" t="s">
        <v>47</v>
      </c>
      <c r="F3" s="43" t="s">
        <v>52</v>
      </c>
      <c r="G3" s="43" t="s">
        <v>53</v>
      </c>
      <c r="H3" s="43" t="s">
        <v>54</v>
      </c>
      <c r="I3" s="43" t="s">
        <v>55</v>
      </c>
      <c r="J3" s="40"/>
      <c r="K3" s="40"/>
      <c r="L3" s="40"/>
      <c r="M3" s="40"/>
    </row>
    <row r="4" spans="1:13" x14ac:dyDescent="0.35">
      <c r="A4" s="20" t="s">
        <v>25</v>
      </c>
      <c r="B4" s="44" t="s">
        <v>56</v>
      </c>
      <c r="C4" s="44" t="s">
        <v>58</v>
      </c>
      <c r="D4" s="44" t="s">
        <v>59</v>
      </c>
      <c r="E4" s="44" t="s">
        <v>60</v>
      </c>
      <c r="F4" s="44" t="s">
        <v>61</v>
      </c>
      <c r="G4" s="44" t="s">
        <v>62</v>
      </c>
      <c r="H4" s="44" t="s">
        <v>63</v>
      </c>
      <c r="I4" s="44" t="s">
        <v>64</v>
      </c>
      <c r="J4" s="40"/>
      <c r="K4" s="40"/>
      <c r="L4" s="40"/>
      <c r="M4" s="40"/>
    </row>
    <row r="5" spans="1:13" x14ac:dyDescent="0.35">
      <c r="A5" s="20" t="s">
        <v>26</v>
      </c>
      <c r="B5" s="44" t="s">
        <v>57</v>
      </c>
      <c r="C5" s="44" t="s">
        <v>43</v>
      </c>
      <c r="D5" s="44" t="s">
        <v>65</v>
      </c>
      <c r="E5" s="44" t="s">
        <v>66</v>
      </c>
      <c r="F5" s="44" t="s">
        <v>67</v>
      </c>
      <c r="G5" s="44" t="s">
        <v>68</v>
      </c>
      <c r="H5" s="44" t="s">
        <v>69</v>
      </c>
      <c r="I5" s="44" t="s">
        <v>70</v>
      </c>
      <c r="J5" s="40"/>
      <c r="K5" s="41"/>
      <c r="L5" s="41"/>
      <c r="M5" s="41"/>
    </row>
    <row r="6" spans="1:13" x14ac:dyDescent="0.35">
      <c r="A6" s="20" t="s">
        <v>27</v>
      </c>
      <c r="B6" s="45" t="s">
        <v>71</v>
      </c>
      <c r="C6" s="45" t="s">
        <v>73</v>
      </c>
      <c r="D6" s="45" t="s">
        <v>75</v>
      </c>
      <c r="E6" s="45" t="s">
        <v>76</v>
      </c>
      <c r="F6" s="45" t="s">
        <v>77</v>
      </c>
      <c r="G6" s="45" t="s">
        <v>78</v>
      </c>
      <c r="H6" s="45" t="s">
        <v>79</v>
      </c>
      <c r="I6" s="45" t="s">
        <v>80</v>
      </c>
      <c r="J6" s="40"/>
      <c r="K6" s="40"/>
      <c r="L6" s="40"/>
      <c r="M6" s="40"/>
    </row>
    <row r="7" spans="1:13" x14ac:dyDescent="0.35">
      <c r="A7" s="20" t="s">
        <v>28</v>
      </c>
      <c r="B7" s="45" t="s">
        <v>72</v>
      </c>
      <c r="C7" s="45" t="s">
        <v>74</v>
      </c>
      <c r="D7" s="45" t="s">
        <v>87</v>
      </c>
      <c r="E7" s="45" t="s">
        <v>81</v>
      </c>
      <c r="F7" s="45" t="s">
        <v>82</v>
      </c>
      <c r="G7" s="45" t="s">
        <v>83</v>
      </c>
      <c r="H7" s="45" t="s">
        <v>84</v>
      </c>
      <c r="I7" s="45" t="s">
        <v>85</v>
      </c>
      <c r="J7" s="40"/>
      <c r="K7" s="40"/>
      <c r="L7" s="40"/>
      <c r="M7" s="40"/>
    </row>
    <row r="8" spans="1:13" x14ac:dyDescent="0.35">
      <c r="A8" s="20" t="s">
        <v>29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38</v>
      </c>
    </row>
    <row r="9" spans="1:13" x14ac:dyDescent="0.35">
      <c r="A9" s="20" t="s">
        <v>39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K9" t="s">
        <v>38</v>
      </c>
    </row>
    <row r="13" spans="1:13" x14ac:dyDescent="0.35">
      <c r="M13" t="s">
        <v>86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8785-0F87-4964-A566-B01EB3C9E4ED}">
  <dimension ref="A1:S22"/>
  <sheetViews>
    <sheetView workbookViewId="0">
      <selection activeCell="R2" sqref="R2"/>
    </sheetView>
  </sheetViews>
  <sheetFormatPr defaultRowHeight="14.5" x14ac:dyDescent="0.35"/>
  <cols>
    <col min="9" max="9" width="10.36328125" customWidth="1"/>
  </cols>
  <sheetData>
    <row r="1" spans="1:19" ht="72.5" x14ac:dyDescent="0.35">
      <c r="A1" s="8" t="s">
        <v>9</v>
      </c>
      <c r="B1" s="9" t="s">
        <v>8</v>
      </c>
      <c r="C1" s="10" t="s">
        <v>10</v>
      </c>
      <c r="D1" s="10" t="s">
        <v>11</v>
      </c>
      <c r="E1" s="10" t="s">
        <v>12</v>
      </c>
      <c r="F1" s="11" t="s">
        <v>13</v>
      </c>
      <c r="I1" s="8" t="s">
        <v>15</v>
      </c>
      <c r="J1" s="9" t="s">
        <v>16</v>
      </c>
      <c r="K1" s="10" t="s">
        <v>10</v>
      </c>
      <c r="L1" s="10" t="s">
        <v>11</v>
      </c>
      <c r="M1" s="10" t="s">
        <v>12</v>
      </c>
      <c r="N1" s="11" t="s">
        <v>13</v>
      </c>
      <c r="P1" s="29" t="s">
        <v>17</v>
      </c>
      <c r="Q1" s="30" t="s">
        <v>10</v>
      </c>
      <c r="R1" s="31" t="s">
        <v>11</v>
      </c>
    </row>
    <row r="2" spans="1:19" x14ac:dyDescent="0.35">
      <c r="A2" s="12">
        <v>0</v>
      </c>
      <c r="B2" s="13">
        <f t="shared" ref="B2:B9" si="0">A2/1000</f>
        <v>0</v>
      </c>
      <c r="C2" s="14">
        <v>0</v>
      </c>
      <c r="D2" s="14">
        <f t="shared" ref="D2:D9" si="1">E2-C2</f>
        <v>1000</v>
      </c>
      <c r="E2" s="14">
        <v>1000</v>
      </c>
      <c r="F2" s="15">
        <v>1</v>
      </c>
      <c r="I2" s="12">
        <v>0</v>
      </c>
      <c r="J2" s="13">
        <f t="shared" ref="J2:J9" si="2">I2/1000</f>
        <v>0</v>
      </c>
      <c r="K2" s="14">
        <v>0</v>
      </c>
      <c r="L2" s="14">
        <f t="shared" ref="L2:L9" si="3">M2-K2</f>
        <v>1000</v>
      </c>
      <c r="M2" s="14">
        <v>1000</v>
      </c>
      <c r="N2" s="15">
        <v>1</v>
      </c>
      <c r="P2" s="6">
        <v>0</v>
      </c>
      <c r="Q2" s="6">
        <v>0</v>
      </c>
      <c r="R2" s="32">
        <v>1000</v>
      </c>
      <c r="S2" s="15">
        <v>1</v>
      </c>
    </row>
    <row r="3" spans="1:19" x14ac:dyDescent="0.35">
      <c r="A3" s="12">
        <v>10</v>
      </c>
      <c r="B3" s="13">
        <f t="shared" si="0"/>
        <v>0.01</v>
      </c>
      <c r="C3" s="14">
        <f t="shared" ref="C3:C9" si="4">((A3*100)/$A$9)*10</f>
        <v>10</v>
      </c>
      <c r="D3" s="14">
        <f t="shared" si="1"/>
        <v>990</v>
      </c>
      <c r="E3" s="14">
        <v>1000</v>
      </c>
      <c r="F3" s="15">
        <v>2</v>
      </c>
      <c r="I3" s="12">
        <v>10</v>
      </c>
      <c r="J3" s="13">
        <f t="shared" si="2"/>
        <v>0.01</v>
      </c>
      <c r="K3" s="14">
        <f t="shared" ref="K3:K9" si="5">((I3*100)/$A$9)*10</f>
        <v>10</v>
      </c>
      <c r="L3" s="14">
        <f t="shared" si="3"/>
        <v>990</v>
      </c>
      <c r="M3" s="14">
        <v>1000</v>
      </c>
      <c r="N3" s="15">
        <v>2</v>
      </c>
      <c r="P3" s="6">
        <v>5</v>
      </c>
      <c r="Q3" s="6">
        <v>50</v>
      </c>
      <c r="R3" s="32">
        <v>950</v>
      </c>
      <c r="S3" s="15">
        <v>2</v>
      </c>
    </row>
    <row r="4" spans="1:19" x14ac:dyDescent="0.35">
      <c r="A4" s="12">
        <v>40</v>
      </c>
      <c r="B4" s="13">
        <f t="shared" si="0"/>
        <v>0.04</v>
      </c>
      <c r="C4" s="14">
        <f t="shared" si="4"/>
        <v>40</v>
      </c>
      <c r="D4" s="14">
        <f t="shared" si="1"/>
        <v>960</v>
      </c>
      <c r="E4" s="14">
        <v>1000</v>
      </c>
      <c r="F4" s="15">
        <v>3</v>
      </c>
      <c r="I4" s="12">
        <v>40</v>
      </c>
      <c r="J4" s="13">
        <f t="shared" si="2"/>
        <v>0.04</v>
      </c>
      <c r="K4" s="14">
        <f t="shared" si="5"/>
        <v>40</v>
      </c>
      <c r="L4" s="14">
        <f t="shared" si="3"/>
        <v>960</v>
      </c>
      <c r="M4" s="14">
        <v>1000</v>
      </c>
      <c r="N4" s="15">
        <v>3</v>
      </c>
      <c r="P4" s="6">
        <v>10</v>
      </c>
      <c r="Q4" s="6">
        <v>100</v>
      </c>
      <c r="R4" s="32">
        <v>900</v>
      </c>
      <c r="S4" s="15">
        <v>3</v>
      </c>
    </row>
    <row r="5" spans="1:19" x14ac:dyDescent="0.35">
      <c r="A5" s="12">
        <v>100</v>
      </c>
      <c r="B5" s="13">
        <f t="shared" si="0"/>
        <v>0.1</v>
      </c>
      <c r="C5" s="14">
        <f t="shared" si="4"/>
        <v>100</v>
      </c>
      <c r="D5" s="14">
        <f t="shared" si="1"/>
        <v>900</v>
      </c>
      <c r="E5" s="14">
        <v>1000</v>
      </c>
      <c r="F5" s="15">
        <v>4</v>
      </c>
      <c r="I5" s="12">
        <v>100</v>
      </c>
      <c r="J5" s="13">
        <f t="shared" si="2"/>
        <v>0.1</v>
      </c>
      <c r="K5" s="14">
        <f t="shared" si="5"/>
        <v>100</v>
      </c>
      <c r="L5" s="14">
        <f t="shared" si="3"/>
        <v>900</v>
      </c>
      <c r="M5" s="14">
        <v>1000</v>
      </c>
      <c r="N5" s="15">
        <v>4</v>
      </c>
      <c r="P5" s="6">
        <v>20</v>
      </c>
      <c r="Q5" s="6">
        <v>200</v>
      </c>
      <c r="R5" s="32">
        <v>800</v>
      </c>
      <c r="S5" s="15">
        <v>4</v>
      </c>
    </row>
    <row r="6" spans="1:19" x14ac:dyDescent="0.35">
      <c r="A6" s="12">
        <v>250</v>
      </c>
      <c r="B6" s="13">
        <f t="shared" si="0"/>
        <v>0.25</v>
      </c>
      <c r="C6" s="14">
        <f t="shared" si="4"/>
        <v>250</v>
      </c>
      <c r="D6" s="14">
        <f t="shared" si="1"/>
        <v>750</v>
      </c>
      <c r="E6" s="14">
        <v>1000</v>
      </c>
      <c r="F6" s="15">
        <v>5</v>
      </c>
      <c r="I6" s="12">
        <v>250</v>
      </c>
      <c r="J6" s="13">
        <f t="shared" si="2"/>
        <v>0.25</v>
      </c>
      <c r="K6" s="14">
        <f t="shared" si="5"/>
        <v>250</v>
      </c>
      <c r="L6" s="14">
        <f t="shared" si="3"/>
        <v>750</v>
      </c>
      <c r="M6" s="14">
        <v>1000</v>
      </c>
      <c r="N6" s="15">
        <v>5</v>
      </c>
      <c r="P6" s="6">
        <v>30</v>
      </c>
      <c r="Q6" s="6">
        <v>300</v>
      </c>
      <c r="R6" s="32">
        <v>700</v>
      </c>
      <c r="S6" s="15">
        <v>5</v>
      </c>
    </row>
    <row r="7" spans="1:19" x14ac:dyDescent="0.35">
      <c r="A7" s="12">
        <v>400</v>
      </c>
      <c r="B7" s="13">
        <f t="shared" si="0"/>
        <v>0.4</v>
      </c>
      <c r="C7" s="14">
        <f t="shared" si="4"/>
        <v>400</v>
      </c>
      <c r="D7" s="14">
        <f t="shared" si="1"/>
        <v>600</v>
      </c>
      <c r="E7" s="14">
        <v>1000</v>
      </c>
      <c r="F7" s="15">
        <v>6</v>
      </c>
      <c r="I7" s="12">
        <v>400</v>
      </c>
      <c r="J7" s="13">
        <f t="shared" si="2"/>
        <v>0.4</v>
      </c>
      <c r="K7" s="14">
        <f t="shared" si="5"/>
        <v>400</v>
      </c>
      <c r="L7" s="14">
        <f t="shared" si="3"/>
        <v>600</v>
      </c>
      <c r="M7" s="14">
        <v>1000</v>
      </c>
      <c r="N7" s="15">
        <v>6</v>
      </c>
      <c r="P7" s="6">
        <v>50</v>
      </c>
      <c r="Q7" s="6">
        <v>500</v>
      </c>
      <c r="R7" s="32">
        <v>500</v>
      </c>
      <c r="S7" s="15">
        <v>6</v>
      </c>
    </row>
    <row r="8" spans="1:19" x14ac:dyDescent="0.35">
      <c r="A8" s="12">
        <v>700</v>
      </c>
      <c r="B8" s="13">
        <f t="shared" si="0"/>
        <v>0.7</v>
      </c>
      <c r="C8" s="14">
        <f t="shared" si="4"/>
        <v>700</v>
      </c>
      <c r="D8" s="14">
        <f t="shared" si="1"/>
        <v>300</v>
      </c>
      <c r="E8" s="14">
        <v>1000</v>
      </c>
      <c r="F8" s="15">
        <v>7</v>
      </c>
      <c r="I8" s="12">
        <v>700</v>
      </c>
      <c r="J8" s="13">
        <f t="shared" si="2"/>
        <v>0.7</v>
      </c>
      <c r="K8" s="14">
        <f t="shared" si="5"/>
        <v>700</v>
      </c>
      <c r="L8" s="14">
        <f t="shared" si="3"/>
        <v>300</v>
      </c>
      <c r="M8" s="14">
        <v>1000</v>
      </c>
      <c r="N8" s="15">
        <v>7</v>
      </c>
      <c r="P8" s="33">
        <v>70</v>
      </c>
      <c r="Q8" s="33">
        <v>700</v>
      </c>
      <c r="R8" s="34">
        <v>300</v>
      </c>
      <c r="S8" s="15">
        <v>7</v>
      </c>
    </row>
    <row r="9" spans="1:19" ht="15" thickBot="1" x14ac:dyDescent="0.4">
      <c r="A9" s="16">
        <v>1000</v>
      </c>
      <c r="B9" s="17">
        <f t="shared" si="0"/>
        <v>1</v>
      </c>
      <c r="C9" s="18">
        <f t="shared" si="4"/>
        <v>1000</v>
      </c>
      <c r="D9" s="18">
        <f t="shared" si="1"/>
        <v>0</v>
      </c>
      <c r="E9" s="18">
        <v>1000</v>
      </c>
      <c r="F9" s="19">
        <v>8</v>
      </c>
      <c r="I9" s="16">
        <v>1000</v>
      </c>
      <c r="J9" s="17">
        <f t="shared" si="2"/>
        <v>1</v>
      </c>
      <c r="K9" s="18">
        <f t="shared" si="5"/>
        <v>1000</v>
      </c>
      <c r="L9" s="18">
        <f t="shared" si="3"/>
        <v>0</v>
      </c>
      <c r="M9" s="18">
        <v>1000</v>
      </c>
      <c r="N9" s="19">
        <v>8</v>
      </c>
      <c r="P9" s="7">
        <v>100</v>
      </c>
      <c r="Q9" s="7">
        <v>1000</v>
      </c>
      <c r="R9" s="35">
        <v>0</v>
      </c>
      <c r="S9" s="19">
        <v>8</v>
      </c>
    </row>
    <row r="11" spans="1:19" ht="15" thickBot="1" x14ac:dyDescent="0.4">
      <c r="A11" s="20"/>
      <c r="B11" s="20"/>
      <c r="C11" t="s">
        <v>14</v>
      </c>
    </row>
    <row r="12" spans="1:19" ht="44" thickBot="1" x14ac:dyDescent="0.4">
      <c r="A12" s="21" t="s">
        <v>9</v>
      </c>
      <c r="B12" s="22" t="s">
        <v>8</v>
      </c>
      <c r="C12" s="23" t="s">
        <v>10</v>
      </c>
      <c r="D12" s="23" t="s">
        <v>11</v>
      </c>
      <c r="E12" s="23" t="s">
        <v>12</v>
      </c>
      <c r="F12" s="24" t="s">
        <v>13</v>
      </c>
    </row>
    <row r="13" spans="1:19" ht="15" thickBot="1" x14ac:dyDescent="0.4">
      <c r="A13" s="25">
        <v>0</v>
      </c>
      <c r="B13" s="26">
        <f t="shared" ref="B13:B22" si="6">A13/1000</f>
        <v>0</v>
      </c>
      <c r="C13" s="27">
        <v>0</v>
      </c>
      <c r="D13" s="27">
        <f t="shared" ref="D13:D21" si="7">E13-C13</f>
        <v>2000</v>
      </c>
      <c r="E13" s="27">
        <v>2000</v>
      </c>
      <c r="F13" s="28">
        <v>1</v>
      </c>
      <c r="I13" s="36" t="s">
        <v>18</v>
      </c>
      <c r="J13" s="37" t="s">
        <v>19</v>
      </c>
      <c r="L13" s="36" t="s">
        <v>18</v>
      </c>
      <c r="M13" s="37" t="s">
        <v>19</v>
      </c>
    </row>
    <row r="14" spans="1:19" ht="15" thickBot="1" x14ac:dyDescent="0.4">
      <c r="A14" s="12">
        <v>10</v>
      </c>
      <c r="B14" s="13">
        <f t="shared" si="6"/>
        <v>0.01</v>
      </c>
      <c r="C14" s="14">
        <f>((A14*100)/$A$9)*10*2</f>
        <v>20</v>
      </c>
      <c r="D14" s="14">
        <f t="shared" si="7"/>
        <v>1980</v>
      </c>
      <c r="E14" s="14">
        <v>2000</v>
      </c>
      <c r="F14" s="15">
        <v>2</v>
      </c>
      <c r="I14" s="38">
        <v>600</v>
      </c>
      <c r="J14" s="39" t="s">
        <v>20</v>
      </c>
      <c r="L14" s="38">
        <v>400</v>
      </c>
      <c r="M14" s="39" t="s">
        <v>20</v>
      </c>
    </row>
    <row r="15" spans="1:19" ht="15" thickBot="1" x14ac:dyDescent="0.4">
      <c r="A15" s="12">
        <v>40</v>
      </c>
      <c r="B15" s="13">
        <f t="shared" si="6"/>
        <v>0.04</v>
      </c>
      <c r="C15" s="14">
        <f t="shared" ref="C15:C22" si="8">((A15*100)/$A$9)*10*2</f>
        <v>80</v>
      </c>
      <c r="D15" s="14">
        <f t="shared" si="7"/>
        <v>1920</v>
      </c>
      <c r="E15" s="14">
        <v>2000</v>
      </c>
      <c r="F15" s="15">
        <v>3</v>
      </c>
      <c r="I15" s="38">
        <v>15</v>
      </c>
      <c r="J15" s="39" t="s">
        <v>21</v>
      </c>
      <c r="L15" s="38">
        <v>10</v>
      </c>
      <c r="M15" s="39" t="s">
        <v>21</v>
      </c>
    </row>
    <row r="16" spans="1:19" ht="15" thickBot="1" x14ac:dyDescent="0.4">
      <c r="A16" s="12">
        <v>80</v>
      </c>
      <c r="B16" s="13">
        <f t="shared" si="6"/>
        <v>0.08</v>
      </c>
      <c r="C16" s="14">
        <f t="shared" si="8"/>
        <v>160</v>
      </c>
      <c r="D16" s="14">
        <f t="shared" si="7"/>
        <v>1840</v>
      </c>
      <c r="E16" s="14">
        <v>2000</v>
      </c>
      <c r="F16" s="15">
        <v>4</v>
      </c>
      <c r="I16" s="38">
        <v>1500</v>
      </c>
      <c r="J16" s="39" t="s">
        <v>22</v>
      </c>
      <c r="L16" s="38">
        <v>1000</v>
      </c>
      <c r="M16" s="39" t="s">
        <v>22</v>
      </c>
    </row>
    <row r="17" spans="1:13" ht="15" thickBot="1" x14ac:dyDescent="0.4">
      <c r="A17" s="12">
        <v>120</v>
      </c>
      <c r="B17" s="13">
        <f t="shared" si="6"/>
        <v>0.12</v>
      </c>
      <c r="C17" s="14">
        <f t="shared" si="8"/>
        <v>240</v>
      </c>
      <c r="D17" s="14">
        <f t="shared" si="7"/>
        <v>1760</v>
      </c>
      <c r="E17" s="14">
        <v>2000</v>
      </c>
      <c r="F17" s="15">
        <v>5</v>
      </c>
      <c r="I17" s="38">
        <v>2115</v>
      </c>
      <c r="J17" s="39" t="s">
        <v>12</v>
      </c>
      <c r="L17" s="38">
        <f>SUM(L14:L16)</f>
        <v>1410</v>
      </c>
      <c r="M17" s="39" t="s">
        <v>12</v>
      </c>
    </row>
    <row r="18" spans="1:13" x14ac:dyDescent="0.35">
      <c r="A18" s="12">
        <v>280</v>
      </c>
      <c r="B18" s="13">
        <f t="shared" si="6"/>
        <v>0.28000000000000003</v>
      </c>
      <c r="C18" s="14">
        <f t="shared" si="8"/>
        <v>560</v>
      </c>
      <c r="D18" s="14">
        <f t="shared" si="7"/>
        <v>1440</v>
      </c>
      <c r="E18" s="14">
        <v>2000</v>
      </c>
      <c r="F18" s="15">
        <v>6</v>
      </c>
    </row>
    <row r="19" spans="1:13" x14ac:dyDescent="0.35">
      <c r="A19" s="12">
        <v>400</v>
      </c>
      <c r="B19" s="13">
        <f t="shared" si="6"/>
        <v>0.4</v>
      </c>
      <c r="C19" s="14">
        <f t="shared" si="8"/>
        <v>800</v>
      </c>
      <c r="D19" s="14">
        <f t="shared" si="7"/>
        <v>1200</v>
      </c>
      <c r="E19" s="14">
        <v>2000</v>
      </c>
      <c r="F19" s="15">
        <v>7</v>
      </c>
    </row>
    <row r="20" spans="1:13" x14ac:dyDescent="0.35">
      <c r="A20" s="12">
        <v>600</v>
      </c>
      <c r="B20" s="13">
        <f t="shared" si="6"/>
        <v>0.6</v>
      </c>
      <c r="C20" s="14">
        <f t="shared" si="8"/>
        <v>1200</v>
      </c>
      <c r="D20" s="14">
        <f t="shared" si="7"/>
        <v>800</v>
      </c>
      <c r="E20" s="14">
        <v>2000</v>
      </c>
      <c r="F20" s="15">
        <v>8</v>
      </c>
    </row>
    <row r="21" spans="1:13" x14ac:dyDescent="0.35">
      <c r="A21" s="12">
        <v>800</v>
      </c>
      <c r="B21" s="13">
        <f t="shared" si="6"/>
        <v>0.8</v>
      </c>
      <c r="C21" s="14">
        <f t="shared" si="8"/>
        <v>1600</v>
      </c>
      <c r="D21" s="14">
        <f t="shared" si="7"/>
        <v>400</v>
      </c>
      <c r="E21" s="14">
        <v>2000</v>
      </c>
      <c r="F21" s="15">
        <v>9</v>
      </c>
    </row>
    <row r="22" spans="1:13" ht="15" thickBot="1" x14ac:dyDescent="0.4">
      <c r="A22" s="16">
        <v>1000</v>
      </c>
      <c r="B22" s="17">
        <f t="shared" si="6"/>
        <v>1</v>
      </c>
      <c r="C22" s="14">
        <f t="shared" si="8"/>
        <v>2000</v>
      </c>
      <c r="D22" s="18">
        <f>E22-C22</f>
        <v>0</v>
      </c>
      <c r="E22" s="18">
        <v>2000</v>
      </c>
      <c r="F22" s="19">
        <v>10</v>
      </c>
    </row>
  </sheetData>
  <sortState xmlns:xlrd2="http://schemas.microsoft.com/office/spreadsheetml/2017/richdata2" ref="P2:R9">
    <sortCondition ref="P2:P9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2AD-3FEE-4F96-AA68-4E8AFDCF244E}">
  <dimension ref="A1:P13"/>
  <sheetViews>
    <sheetView workbookViewId="0">
      <selection activeCell="M8" sqref="M8:M10"/>
    </sheetView>
  </sheetViews>
  <sheetFormatPr defaultRowHeight="14.5" x14ac:dyDescent="0.35"/>
  <sheetData>
    <row r="1" spans="1:16" ht="116" x14ac:dyDescent="0.35">
      <c r="B1" s="5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90</v>
      </c>
      <c r="H1" s="49" t="s">
        <v>91</v>
      </c>
      <c r="I1" s="3" t="s">
        <v>88</v>
      </c>
      <c r="J1" s="3" t="s">
        <v>89</v>
      </c>
      <c r="K1" s="3" t="s">
        <v>137</v>
      </c>
      <c r="L1" s="3" t="s">
        <v>138</v>
      </c>
      <c r="M1" s="3" t="s">
        <v>136</v>
      </c>
      <c r="N1" s="3" t="s">
        <v>99</v>
      </c>
    </row>
    <row r="2" spans="1:16" x14ac:dyDescent="0.35">
      <c r="A2" s="90" t="s">
        <v>0</v>
      </c>
      <c r="B2" s="1">
        <v>1</v>
      </c>
      <c r="C2" s="4">
        <v>13.26</v>
      </c>
      <c r="D2">
        <v>14.069800000000001</v>
      </c>
      <c r="E2" s="51">
        <f>D2-C2</f>
        <v>0.80980000000000096</v>
      </c>
      <c r="F2" s="48">
        <f>E2*25</f>
        <v>20.245000000000026</v>
      </c>
      <c r="G2" s="46">
        <f>F2*20</f>
        <v>404.90000000000055</v>
      </c>
      <c r="H2" s="50">
        <f>10*10</f>
        <v>100</v>
      </c>
      <c r="I2" s="46">
        <f>F2+10</f>
        <v>30.245000000000026</v>
      </c>
      <c r="J2" s="47">
        <f>80*F2/20</f>
        <v>80.980000000000103</v>
      </c>
      <c r="K2" s="74"/>
      <c r="L2" s="74">
        <v>4.8000000000000001E-2</v>
      </c>
      <c r="M2" s="74">
        <f>L2*1000</f>
        <v>48</v>
      </c>
      <c r="N2" s="1"/>
    </row>
    <row r="3" spans="1:16" x14ac:dyDescent="0.35">
      <c r="A3" s="90"/>
      <c r="B3" s="1">
        <v>2</v>
      </c>
      <c r="C3" s="4">
        <v>13.3855</v>
      </c>
      <c r="D3" s="2">
        <v>14.225199999999999</v>
      </c>
      <c r="E3" s="51">
        <f t="shared" ref="E3:E13" si="0">D3-C3</f>
        <v>0.83969999999999878</v>
      </c>
      <c r="F3" s="48">
        <f t="shared" ref="F3:F13" si="1">E3*25</f>
        <v>20.992499999999971</v>
      </c>
      <c r="G3" s="46">
        <f t="shared" ref="G3:G7" si="2">F3*20</f>
        <v>419.84999999999945</v>
      </c>
      <c r="H3" s="50">
        <f t="shared" ref="H3:H7" si="3">10*10</f>
        <v>100</v>
      </c>
      <c r="I3" s="46">
        <f t="shared" ref="I3:I13" si="4">F3+10</f>
        <v>30.992499999999971</v>
      </c>
      <c r="J3" s="47">
        <f t="shared" ref="J3:J13" si="5">80*F3/20</f>
        <v>83.969999999999885</v>
      </c>
      <c r="K3" s="74"/>
      <c r="L3" s="74">
        <v>4.4999999999999998E-2</v>
      </c>
      <c r="M3" s="74">
        <f t="shared" ref="M3:M13" si="6">L3*1000</f>
        <v>45</v>
      </c>
      <c r="N3" s="1"/>
    </row>
    <row r="4" spans="1:16" x14ac:dyDescent="0.35">
      <c r="A4" s="90"/>
      <c r="B4" s="1">
        <v>3</v>
      </c>
      <c r="C4" s="4">
        <v>13.2502</v>
      </c>
      <c r="D4">
        <v>14.0631</v>
      </c>
      <c r="E4" s="51">
        <f t="shared" si="0"/>
        <v>0.81290000000000084</v>
      </c>
      <c r="F4" s="48">
        <f t="shared" si="1"/>
        <v>20.322500000000019</v>
      </c>
      <c r="G4" s="46">
        <f t="shared" si="2"/>
        <v>406.45000000000039</v>
      </c>
      <c r="H4" s="50">
        <f t="shared" si="3"/>
        <v>100</v>
      </c>
      <c r="I4" s="46">
        <f t="shared" si="4"/>
        <v>30.322500000000019</v>
      </c>
      <c r="J4" s="47">
        <f t="shared" si="5"/>
        <v>81.290000000000077</v>
      </c>
      <c r="K4" s="74"/>
      <c r="L4" s="74">
        <v>4.5999999999999999E-2</v>
      </c>
      <c r="M4" s="74">
        <f t="shared" si="6"/>
        <v>46</v>
      </c>
      <c r="N4" s="1"/>
    </row>
    <row r="5" spans="1:16" x14ac:dyDescent="0.35">
      <c r="A5" s="90" t="s">
        <v>92</v>
      </c>
      <c r="B5" s="1">
        <v>1</v>
      </c>
      <c r="C5" s="4">
        <v>13.334899999999999</v>
      </c>
      <c r="D5">
        <v>14.1411</v>
      </c>
      <c r="E5" s="51">
        <f t="shared" si="0"/>
        <v>0.80620000000000047</v>
      </c>
      <c r="F5" s="48">
        <f t="shared" si="1"/>
        <v>20.155000000000012</v>
      </c>
      <c r="G5" s="46">
        <f t="shared" si="2"/>
        <v>403.10000000000025</v>
      </c>
      <c r="H5" s="50">
        <f t="shared" si="3"/>
        <v>100</v>
      </c>
      <c r="I5" s="46">
        <f t="shared" si="4"/>
        <v>30.155000000000012</v>
      </c>
      <c r="J5" s="47">
        <f t="shared" si="5"/>
        <v>80.620000000000047</v>
      </c>
      <c r="K5" s="74"/>
      <c r="L5" s="74">
        <v>4.3999999999999997E-2</v>
      </c>
      <c r="M5" s="74">
        <f t="shared" si="6"/>
        <v>44</v>
      </c>
      <c r="N5" s="1"/>
    </row>
    <row r="6" spans="1:16" x14ac:dyDescent="0.35">
      <c r="A6" s="90"/>
      <c r="B6" s="1">
        <v>2</v>
      </c>
      <c r="C6" s="4">
        <v>13.257099999999999</v>
      </c>
      <c r="D6">
        <v>14.0899</v>
      </c>
      <c r="E6" s="51">
        <f t="shared" si="0"/>
        <v>0.83280000000000065</v>
      </c>
      <c r="F6" s="48">
        <f t="shared" si="1"/>
        <v>20.820000000000014</v>
      </c>
      <c r="G6" s="46">
        <f t="shared" si="2"/>
        <v>416.40000000000032</v>
      </c>
      <c r="H6" s="50">
        <f t="shared" si="3"/>
        <v>100</v>
      </c>
      <c r="I6" s="46">
        <f t="shared" si="4"/>
        <v>30.820000000000014</v>
      </c>
      <c r="J6" s="47">
        <f t="shared" si="5"/>
        <v>83.280000000000058</v>
      </c>
      <c r="K6" s="74"/>
      <c r="L6" s="74">
        <v>4.4999999999999998E-2</v>
      </c>
      <c r="M6" s="74">
        <f t="shared" si="6"/>
        <v>45</v>
      </c>
      <c r="N6" s="1"/>
    </row>
    <row r="7" spans="1:16" x14ac:dyDescent="0.35">
      <c r="A7" s="90"/>
      <c r="B7" s="1">
        <v>3</v>
      </c>
      <c r="C7" s="4">
        <v>13.249000000000001</v>
      </c>
      <c r="D7">
        <v>14.0769</v>
      </c>
      <c r="E7" s="51">
        <f t="shared" si="0"/>
        <v>0.82789999999999964</v>
      </c>
      <c r="F7" s="48">
        <f t="shared" si="1"/>
        <v>20.697499999999991</v>
      </c>
      <c r="G7" s="46">
        <f t="shared" si="2"/>
        <v>413.94999999999982</v>
      </c>
      <c r="H7" s="50">
        <f t="shared" si="3"/>
        <v>100</v>
      </c>
      <c r="I7" s="46">
        <f t="shared" si="4"/>
        <v>30.697499999999991</v>
      </c>
      <c r="J7" s="47">
        <f t="shared" si="5"/>
        <v>82.789999999999964</v>
      </c>
      <c r="K7" s="74"/>
      <c r="L7" s="74">
        <v>4.4999999999999998E-2</v>
      </c>
      <c r="M7" s="74">
        <f t="shared" si="6"/>
        <v>45</v>
      </c>
      <c r="N7" s="1"/>
    </row>
    <row r="8" spans="1:16" x14ac:dyDescent="0.35">
      <c r="A8" s="92" t="s">
        <v>1</v>
      </c>
      <c r="B8" s="52">
        <v>1</v>
      </c>
      <c r="C8" s="53">
        <v>13.158799999999999</v>
      </c>
      <c r="D8" s="54">
        <v>13.9976</v>
      </c>
      <c r="E8" s="55">
        <f t="shared" si="0"/>
        <v>0.83880000000000088</v>
      </c>
      <c r="F8" s="56">
        <f t="shared" si="1"/>
        <v>20.97000000000002</v>
      </c>
      <c r="G8" s="57">
        <f>F8/25</f>
        <v>0.83880000000000077</v>
      </c>
      <c r="H8" s="57">
        <f>10/25</f>
        <v>0.4</v>
      </c>
      <c r="I8" s="57">
        <f>F8+10</f>
        <v>30.97000000000002</v>
      </c>
      <c r="J8" s="58">
        <f>80*F8/20</f>
        <v>83.880000000000081</v>
      </c>
      <c r="K8" s="74"/>
      <c r="L8" s="74">
        <v>7.2999999999999995E-2</v>
      </c>
      <c r="M8" s="74">
        <f t="shared" si="6"/>
        <v>73</v>
      </c>
      <c r="N8" s="1"/>
      <c r="P8">
        <f>0.4*500</f>
        <v>200</v>
      </c>
    </row>
    <row r="9" spans="1:16" x14ac:dyDescent="0.35">
      <c r="A9" s="92"/>
      <c r="B9" s="52">
        <v>2</v>
      </c>
      <c r="C9" s="53">
        <v>13.091900000000001</v>
      </c>
      <c r="D9" s="54">
        <v>13.917400000000001</v>
      </c>
      <c r="E9" s="55">
        <f t="shared" si="0"/>
        <v>0.8254999999999999</v>
      </c>
      <c r="F9" s="56">
        <f t="shared" si="1"/>
        <v>20.637499999999996</v>
      </c>
      <c r="G9" s="57">
        <f>F9/25</f>
        <v>0.82549999999999979</v>
      </c>
      <c r="H9" s="57">
        <f>10/25</f>
        <v>0.4</v>
      </c>
      <c r="I9" s="57">
        <f t="shared" si="4"/>
        <v>30.637499999999996</v>
      </c>
      <c r="J9" s="58">
        <f t="shared" si="5"/>
        <v>82.549999999999983</v>
      </c>
      <c r="K9" s="74"/>
      <c r="L9" s="74">
        <v>7.4999999999999997E-2</v>
      </c>
      <c r="M9" s="74">
        <f t="shared" si="6"/>
        <v>75</v>
      </c>
      <c r="N9" s="1"/>
    </row>
    <row r="10" spans="1:16" x14ac:dyDescent="0.35">
      <c r="A10" s="92"/>
      <c r="B10" s="52">
        <v>3</v>
      </c>
      <c r="C10" s="53">
        <v>13.335100000000001</v>
      </c>
      <c r="D10" s="54">
        <v>14.164999999999999</v>
      </c>
      <c r="E10" s="55">
        <f t="shared" si="0"/>
        <v>0.82989999999999853</v>
      </c>
      <c r="F10" s="56">
        <f t="shared" si="1"/>
        <v>20.747499999999963</v>
      </c>
      <c r="G10" s="57">
        <f t="shared" ref="G10" si="7">F10/25</f>
        <v>0.82989999999999853</v>
      </c>
      <c r="H10" s="57">
        <f>10/25</f>
        <v>0.4</v>
      </c>
      <c r="I10" s="57">
        <f t="shared" si="4"/>
        <v>30.747499999999963</v>
      </c>
      <c r="J10" s="58">
        <f t="shared" si="5"/>
        <v>82.989999999999853</v>
      </c>
      <c r="K10" s="74"/>
      <c r="L10" s="74">
        <v>7.6999999999999999E-2</v>
      </c>
      <c r="M10" s="74">
        <f t="shared" si="6"/>
        <v>77</v>
      </c>
      <c r="N10" s="1"/>
    </row>
    <row r="11" spans="1:16" x14ac:dyDescent="0.35">
      <c r="A11" s="90" t="s">
        <v>2</v>
      </c>
      <c r="B11" s="1">
        <v>1</v>
      </c>
      <c r="C11" s="4">
        <v>13.347899999999999</v>
      </c>
      <c r="D11">
        <v>14.208500000000001</v>
      </c>
      <c r="E11" s="51">
        <f t="shared" si="0"/>
        <v>0.86060000000000159</v>
      </c>
      <c r="F11" s="48">
        <f t="shared" si="1"/>
        <v>21.51500000000004</v>
      </c>
      <c r="G11" s="46">
        <v>0</v>
      </c>
      <c r="H11" s="50">
        <v>0</v>
      </c>
      <c r="I11" s="46">
        <f t="shared" si="4"/>
        <v>31.51500000000004</v>
      </c>
      <c r="J11" s="47">
        <f t="shared" si="5"/>
        <v>86.060000000000159</v>
      </c>
      <c r="K11" s="74"/>
      <c r="L11" s="74">
        <v>6.9000000000000006E-2</v>
      </c>
      <c r="M11" s="74">
        <f t="shared" si="6"/>
        <v>69</v>
      </c>
      <c r="N11" s="1"/>
    </row>
    <row r="12" spans="1:16" x14ac:dyDescent="0.35">
      <c r="A12" s="90"/>
      <c r="B12" s="1">
        <v>2</v>
      </c>
      <c r="C12" s="4">
        <v>13.273300000000001</v>
      </c>
      <c r="D12">
        <v>14.1233</v>
      </c>
      <c r="E12" s="51">
        <f t="shared" si="0"/>
        <v>0.84999999999999964</v>
      </c>
      <c r="F12" s="48">
        <f t="shared" si="1"/>
        <v>21.249999999999993</v>
      </c>
      <c r="G12" s="46">
        <v>0</v>
      </c>
      <c r="H12" s="50">
        <v>0</v>
      </c>
      <c r="I12" s="46">
        <f t="shared" si="4"/>
        <v>31.249999999999993</v>
      </c>
      <c r="J12" s="47">
        <f t="shared" si="5"/>
        <v>84.999999999999972</v>
      </c>
      <c r="K12" s="74"/>
      <c r="L12" s="74">
        <v>0.06</v>
      </c>
      <c r="M12" s="74">
        <f t="shared" si="6"/>
        <v>60</v>
      </c>
      <c r="N12" s="1"/>
    </row>
    <row r="13" spans="1:16" x14ac:dyDescent="0.35">
      <c r="A13" s="90"/>
      <c r="B13" s="1">
        <v>3</v>
      </c>
      <c r="C13" s="4">
        <v>13.3439</v>
      </c>
      <c r="D13">
        <v>14.177300000000001</v>
      </c>
      <c r="E13" s="51">
        <f t="shared" si="0"/>
        <v>0.83340000000000103</v>
      </c>
      <c r="F13" s="48">
        <f t="shared" si="1"/>
        <v>20.835000000000026</v>
      </c>
      <c r="G13" s="46">
        <v>0</v>
      </c>
      <c r="H13" s="50">
        <v>0</v>
      </c>
      <c r="I13" s="46">
        <f t="shared" si="4"/>
        <v>30.835000000000026</v>
      </c>
      <c r="J13" s="47">
        <f t="shared" si="5"/>
        <v>83.340000000000103</v>
      </c>
      <c r="K13" s="74"/>
      <c r="L13" s="74">
        <v>6.5000000000000002E-2</v>
      </c>
      <c r="M13" s="74">
        <f t="shared" si="6"/>
        <v>65</v>
      </c>
      <c r="N13" s="1"/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3FF3-BD3C-440A-B6C1-DA624F18226C}">
  <dimension ref="A1:Q33"/>
  <sheetViews>
    <sheetView zoomScale="90" zoomScaleNormal="90" workbookViewId="0">
      <selection activeCell="H10" sqref="H10"/>
    </sheetView>
  </sheetViews>
  <sheetFormatPr defaultRowHeight="14.5" x14ac:dyDescent="0.35"/>
  <sheetData>
    <row r="1" spans="1:17" ht="116" x14ac:dyDescent="0.35">
      <c r="A1" s="40"/>
      <c r="B1" s="59" t="s">
        <v>3</v>
      </c>
      <c r="C1" s="60" t="s">
        <v>102</v>
      </c>
      <c r="D1" s="60" t="s">
        <v>103</v>
      </c>
      <c r="E1" s="60" t="s">
        <v>104</v>
      </c>
      <c r="F1" s="60" t="s">
        <v>7</v>
      </c>
      <c r="G1" s="60" t="s">
        <v>90</v>
      </c>
      <c r="H1" s="60" t="s">
        <v>91</v>
      </c>
      <c r="I1" s="60" t="s">
        <v>88</v>
      </c>
      <c r="J1" s="60" t="s">
        <v>89</v>
      </c>
      <c r="K1" s="3" t="s">
        <v>97</v>
      </c>
      <c r="L1" s="3" t="s">
        <v>99</v>
      </c>
      <c r="M1" s="60" t="s">
        <v>100</v>
      </c>
      <c r="N1" s="60" t="s">
        <v>101</v>
      </c>
      <c r="O1" s="60" t="s">
        <v>6</v>
      </c>
      <c r="P1" s="60" t="s">
        <v>6</v>
      </c>
      <c r="Q1" s="60" t="s">
        <v>105</v>
      </c>
    </row>
    <row r="2" spans="1:17" x14ac:dyDescent="0.35">
      <c r="A2" s="93"/>
      <c r="B2" s="61">
        <v>1</v>
      </c>
      <c r="C2" s="62">
        <v>13.293799999999999</v>
      </c>
      <c r="D2" s="40">
        <v>14.099</v>
      </c>
      <c r="E2" s="63">
        <f>D2-C2</f>
        <v>0.80520000000000103</v>
      </c>
      <c r="F2" s="64">
        <f>E2*25</f>
        <v>20.130000000000024</v>
      </c>
      <c r="G2" s="65">
        <f>F2*10</f>
        <v>201.30000000000024</v>
      </c>
      <c r="H2" s="65">
        <f>10*10</f>
        <v>100</v>
      </c>
      <c r="I2" s="65">
        <f>F2+10</f>
        <v>30.130000000000024</v>
      </c>
      <c r="J2" s="66">
        <f>80*(F2+10)/20</f>
        <v>120.5200000000001</v>
      </c>
      <c r="K2" s="68">
        <v>50.7</v>
      </c>
      <c r="L2" s="1">
        <f>K2*100/1000</f>
        <v>5.07</v>
      </c>
      <c r="M2" s="40">
        <v>13.127000000000001</v>
      </c>
      <c r="N2" s="40">
        <v>13.167999999999999</v>
      </c>
      <c r="O2" s="69">
        <f>(N2-M2)*1000</f>
        <v>40.999999999998593</v>
      </c>
      <c r="P2" s="69">
        <v>40.9999999999986</v>
      </c>
      <c r="Q2" t="s">
        <v>129</v>
      </c>
    </row>
    <row r="3" spans="1:17" x14ac:dyDescent="0.35">
      <c r="A3" s="93"/>
      <c r="B3" s="61">
        <v>2</v>
      </c>
      <c r="C3" s="62">
        <v>13.2706</v>
      </c>
      <c r="D3" s="67">
        <v>14.066000000000001</v>
      </c>
      <c r="E3" s="63">
        <f t="shared" ref="E3:E15" si="0">D3-C3</f>
        <v>0.79540000000000077</v>
      </c>
      <c r="F3" s="64">
        <f t="shared" ref="F3:F16" si="1">E3*25</f>
        <v>19.885000000000019</v>
      </c>
      <c r="G3" s="65">
        <f t="shared" ref="G3:G4" si="2">F3*10</f>
        <v>198.85000000000019</v>
      </c>
      <c r="H3" s="65">
        <f t="shared" ref="H3:H7" si="3">10*10</f>
        <v>100</v>
      </c>
      <c r="I3" s="65">
        <f t="shared" ref="I3:I13" si="4">F3+10</f>
        <v>29.885000000000019</v>
      </c>
      <c r="J3" s="66">
        <f t="shared" ref="J3:J16" si="5">80*(F3+10)/20</f>
        <v>119.54000000000008</v>
      </c>
      <c r="K3" s="68">
        <v>50.6</v>
      </c>
      <c r="L3" s="1">
        <f t="shared" ref="L3:L13" si="6">K3*100/1000</f>
        <v>5.0599999999999996</v>
      </c>
      <c r="M3" s="40">
        <v>13.193</v>
      </c>
      <c r="N3" s="40">
        <v>13.234999999999999</v>
      </c>
      <c r="O3" s="69">
        <f t="shared" ref="O3:O15" si="7">(N3-M3)*1000</f>
        <v>41.999999999999815</v>
      </c>
      <c r="P3" s="69">
        <v>41.999999999999815</v>
      </c>
      <c r="Q3" t="s">
        <v>129</v>
      </c>
    </row>
    <row r="4" spans="1:17" x14ac:dyDescent="0.35">
      <c r="A4" s="93"/>
      <c r="B4" s="61">
        <v>3</v>
      </c>
      <c r="C4" s="62">
        <v>13.1972</v>
      </c>
      <c r="D4" s="40">
        <v>14.000999999999999</v>
      </c>
      <c r="E4" s="63">
        <f t="shared" si="0"/>
        <v>0.80379999999999896</v>
      </c>
      <c r="F4" s="64">
        <f t="shared" si="1"/>
        <v>20.094999999999974</v>
      </c>
      <c r="G4" s="65">
        <f t="shared" si="2"/>
        <v>200.94999999999973</v>
      </c>
      <c r="H4" s="65">
        <f t="shared" si="3"/>
        <v>100</v>
      </c>
      <c r="I4" s="65">
        <f t="shared" si="4"/>
        <v>30.094999999999974</v>
      </c>
      <c r="J4" s="66">
        <f t="shared" si="5"/>
        <v>120.37999999999991</v>
      </c>
      <c r="K4" s="68">
        <v>49.8</v>
      </c>
      <c r="L4" s="1">
        <f t="shared" si="6"/>
        <v>4.9800000000000004</v>
      </c>
      <c r="M4" s="40">
        <v>13.234999999999999</v>
      </c>
      <c r="N4" s="40">
        <v>13.285</v>
      </c>
      <c r="O4" s="69">
        <f t="shared" si="7"/>
        <v>50.000000000000711</v>
      </c>
      <c r="P4" s="69">
        <v>50.000000000000711</v>
      </c>
      <c r="Q4" t="s">
        <v>129</v>
      </c>
    </row>
    <row r="5" spans="1:17" x14ac:dyDescent="0.35">
      <c r="A5" s="93"/>
      <c r="B5" s="61">
        <v>4</v>
      </c>
      <c r="C5" s="62">
        <v>13.1793</v>
      </c>
      <c r="D5" s="40">
        <v>13.984</v>
      </c>
      <c r="E5" s="63">
        <f t="shared" si="0"/>
        <v>0.80470000000000041</v>
      </c>
      <c r="F5" s="64">
        <f t="shared" si="1"/>
        <v>20.11750000000001</v>
      </c>
      <c r="G5" s="65">
        <f>F5*30</f>
        <v>603.52500000000032</v>
      </c>
      <c r="H5" s="65">
        <f t="shared" si="3"/>
        <v>100</v>
      </c>
      <c r="I5" s="65">
        <f t="shared" si="4"/>
        <v>30.11750000000001</v>
      </c>
      <c r="J5" s="66">
        <f t="shared" si="5"/>
        <v>120.47000000000006</v>
      </c>
      <c r="K5" s="68">
        <v>36.799999999999997</v>
      </c>
      <c r="L5" s="1">
        <f t="shared" si="6"/>
        <v>3.6799999999999997</v>
      </c>
      <c r="M5" s="40">
        <v>13.153</v>
      </c>
      <c r="N5" s="40">
        <v>13.166</v>
      </c>
      <c r="O5" s="69">
        <f t="shared" si="7"/>
        <v>12.999999999999901</v>
      </c>
      <c r="P5" s="69">
        <v>12.999999999999901</v>
      </c>
      <c r="Q5" t="s">
        <v>130</v>
      </c>
    </row>
    <row r="6" spans="1:17" x14ac:dyDescent="0.35">
      <c r="A6" s="93"/>
      <c r="B6" s="61">
        <v>5</v>
      </c>
      <c r="C6" s="62">
        <v>13.2735</v>
      </c>
      <c r="D6" s="40">
        <v>14.073</v>
      </c>
      <c r="E6" s="63">
        <f t="shared" si="0"/>
        <v>0.7995000000000001</v>
      </c>
      <c r="F6" s="64">
        <f t="shared" si="1"/>
        <v>19.987500000000004</v>
      </c>
      <c r="G6" s="65">
        <f>F6*30</f>
        <v>599.62500000000011</v>
      </c>
      <c r="H6" s="65">
        <f t="shared" si="3"/>
        <v>100</v>
      </c>
      <c r="I6" s="65">
        <f t="shared" si="4"/>
        <v>29.987500000000004</v>
      </c>
      <c r="J6" s="66">
        <f t="shared" si="5"/>
        <v>119.95000000000002</v>
      </c>
      <c r="K6" s="68">
        <v>36.299999999999997</v>
      </c>
      <c r="L6" s="1">
        <f t="shared" si="6"/>
        <v>3.6299999999999994</v>
      </c>
      <c r="M6" s="40">
        <v>13.156000000000001</v>
      </c>
      <c r="N6" s="40">
        <v>13.196999999999999</v>
      </c>
      <c r="O6" s="69">
        <f t="shared" si="7"/>
        <v>40.999999999998593</v>
      </c>
      <c r="P6" s="69">
        <v>40.999999999998593</v>
      </c>
      <c r="Q6" t="s">
        <v>130</v>
      </c>
    </row>
    <row r="7" spans="1:17" x14ac:dyDescent="0.35">
      <c r="A7" s="93"/>
      <c r="B7" s="61">
        <v>6</v>
      </c>
      <c r="C7" s="62">
        <v>13.2559</v>
      </c>
      <c r="D7" s="40">
        <v>14.045999999999999</v>
      </c>
      <c r="E7" s="63">
        <f t="shared" si="0"/>
        <v>0.79009999999999891</v>
      </c>
      <c r="F7" s="64">
        <f t="shared" si="1"/>
        <v>19.752499999999973</v>
      </c>
      <c r="G7" s="65">
        <f>F7*10</f>
        <v>197.52499999999972</v>
      </c>
      <c r="H7" s="65">
        <f t="shared" si="3"/>
        <v>100</v>
      </c>
      <c r="I7" s="65">
        <f t="shared" si="4"/>
        <v>29.752499999999973</v>
      </c>
      <c r="J7" s="66">
        <f t="shared" si="5"/>
        <v>119.00999999999991</v>
      </c>
      <c r="K7" s="68">
        <v>37.1</v>
      </c>
      <c r="L7" s="1">
        <f t="shared" si="6"/>
        <v>3.71</v>
      </c>
      <c r="M7" s="40">
        <v>13.166</v>
      </c>
      <c r="N7" s="40">
        <v>13.242000000000001</v>
      </c>
      <c r="O7" s="69">
        <f t="shared" si="7"/>
        <v>76.000000000000512</v>
      </c>
      <c r="P7" s="69">
        <v>76.000000000000512</v>
      </c>
      <c r="Q7" t="s">
        <v>118</v>
      </c>
    </row>
    <row r="8" spans="1:17" x14ac:dyDescent="0.35">
      <c r="A8" s="93"/>
      <c r="B8" s="61">
        <v>7</v>
      </c>
      <c r="C8" s="62">
        <v>13.342000000000001</v>
      </c>
      <c r="D8" s="40">
        <v>14.134</v>
      </c>
      <c r="E8" s="63">
        <f t="shared" si="0"/>
        <v>0.79199999999999982</v>
      </c>
      <c r="F8" s="64">
        <f t="shared" si="1"/>
        <v>19.799999999999997</v>
      </c>
      <c r="G8" s="65">
        <f>F8*10</f>
        <v>197.99999999999997</v>
      </c>
      <c r="H8" s="65">
        <f>10/25</f>
        <v>0.4</v>
      </c>
      <c r="I8" s="65">
        <f t="shared" si="4"/>
        <v>29.799999999999997</v>
      </c>
      <c r="J8" s="66">
        <f t="shared" si="5"/>
        <v>119.2</v>
      </c>
      <c r="K8" s="68">
        <v>54.1</v>
      </c>
      <c r="L8" s="1">
        <f t="shared" si="6"/>
        <v>5.41</v>
      </c>
      <c r="M8" s="40"/>
      <c r="N8" s="40"/>
      <c r="O8" s="69">
        <f t="shared" si="7"/>
        <v>0</v>
      </c>
      <c r="P8" s="69">
        <v>0</v>
      </c>
      <c r="Q8" t="s">
        <v>118</v>
      </c>
    </row>
    <row r="9" spans="1:17" x14ac:dyDescent="0.35">
      <c r="A9" s="93"/>
      <c r="B9" s="61">
        <v>8</v>
      </c>
      <c r="C9" s="62">
        <v>13.261799999999999</v>
      </c>
      <c r="D9" s="40">
        <v>14.065</v>
      </c>
      <c r="E9" s="63">
        <f t="shared" si="0"/>
        <v>0.80320000000000036</v>
      </c>
      <c r="F9" s="64">
        <f t="shared" si="1"/>
        <v>20.080000000000009</v>
      </c>
      <c r="G9" s="65">
        <f>F9/25</f>
        <v>0.80320000000000036</v>
      </c>
      <c r="H9" s="65">
        <f>10/25</f>
        <v>0.4</v>
      </c>
      <c r="I9" s="65">
        <f t="shared" si="4"/>
        <v>30.080000000000009</v>
      </c>
      <c r="J9" s="66">
        <f t="shared" si="5"/>
        <v>120.32000000000002</v>
      </c>
      <c r="K9" s="68">
        <v>55.3</v>
      </c>
      <c r="L9" s="1">
        <f t="shared" si="6"/>
        <v>5.53</v>
      </c>
      <c r="M9" s="40">
        <v>13.253</v>
      </c>
      <c r="N9" s="40">
        <v>13.246</v>
      </c>
      <c r="O9" s="69">
        <f t="shared" si="7"/>
        <v>-6.9999999999996732</v>
      </c>
      <c r="P9" s="73">
        <v>-6.9999999999996732</v>
      </c>
      <c r="Q9" t="s">
        <v>131</v>
      </c>
    </row>
    <row r="10" spans="1:17" x14ac:dyDescent="0.35">
      <c r="A10" s="93"/>
      <c r="B10" s="61">
        <v>9</v>
      </c>
      <c r="C10" s="62">
        <v>13.3157</v>
      </c>
      <c r="D10" s="40">
        <v>14.119</v>
      </c>
      <c r="E10" s="63">
        <f t="shared" si="0"/>
        <v>0.80330000000000013</v>
      </c>
      <c r="F10" s="64">
        <f t="shared" si="1"/>
        <v>20.082500000000003</v>
      </c>
      <c r="G10" s="65">
        <f t="shared" ref="G10:G16" si="8">F10/25</f>
        <v>0.80330000000000013</v>
      </c>
      <c r="H10" s="65">
        <f>10/25</f>
        <v>0.4</v>
      </c>
      <c r="I10" s="65">
        <f t="shared" si="4"/>
        <v>30.082500000000003</v>
      </c>
      <c r="J10" s="66">
        <f t="shared" si="5"/>
        <v>120.33000000000001</v>
      </c>
      <c r="K10" s="68">
        <v>55.5</v>
      </c>
      <c r="L10" s="1">
        <f t="shared" si="6"/>
        <v>5.55</v>
      </c>
      <c r="M10" s="40">
        <v>13.275</v>
      </c>
      <c r="N10" s="40">
        <v>13.308</v>
      </c>
      <c r="O10" s="69">
        <f t="shared" si="7"/>
        <v>32.999999999999474</v>
      </c>
      <c r="P10" s="73">
        <v>32.999999999999474</v>
      </c>
      <c r="Q10" t="s">
        <v>131</v>
      </c>
    </row>
    <row r="11" spans="1:17" x14ac:dyDescent="0.35">
      <c r="A11" s="93" t="s">
        <v>93</v>
      </c>
      <c r="B11" s="61">
        <v>10</v>
      </c>
      <c r="C11" s="62">
        <v>13.2623</v>
      </c>
      <c r="D11" s="40">
        <v>14.063000000000001</v>
      </c>
      <c r="E11" s="63">
        <f t="shared" si="0"/>
        <v>0.80070000000000086</v>
      </c>
      <c r="F11" s="64">
        <f t="shared" si="1"/>
        <v>20.01750000000002</v>
      </c>
      <c r="G11" s="65">
        <f t="shared" si="8"/>
        <v>0.80070000000000074</v>
      </c>
      <c r="H11" s="65">
        <f>F11/100</f>
        <v>0.20017500000000019</v>
      </c>
      <c r="I11" s="65">
        <f t="shared" si="4"/>
        <v>30.01750000000002</v>
      </c>
      <c r="J11" s="66">
        <f t="shared" si="5"/>
        <v>120.07000000000008</v>
      </c>
      <c r="K11" s="68">
        <v>50.4</v>
      </c>
      <c r="L11" s="1">
        <f t="shared" si="6"/>
        <v>5.04</v>
      </c>
      <c r="M11" s="40">
        <v>13.26</v>
      </c>
      <c r="N11" s="40">
        <v>13.347</v>
      </c>
      <c r="O11" s="69">
        <f t="shared" si="7"/>
        <v>86.999999999999744</v>
      </c>
      <c r="P11" s="69">
        <v>77</v>
      </c>
      <c r="Q11" t="s">
        <v>132</v>
      </c>
    </row>
    <row r="12" spans="1:17" x14ac:dyDescent="0.35">
      <c r="A12" s="93"/>
      <c r="B12" s="61">
        <v>11</v>
      </c>
      <c r="C12" s="62">
        <v>13.2791</v>
      </c>
      <c r="D12" s="40">
        <v>14.082000000000001</v>
      </c>
      <c r="E12" s="63">
        <f t="shared" si="0"/>
        <v>0.80290000000000106</v>
      </c>
      <c r="F12" s="64">
        <f t="shared" si="1"/>
        <v>20.072500000000026</v>
      </c>
      <c r="G12" s="65">
        <f t="shared" si="8"/>
        <v>0.80290000000000106</v>
      </c>
      <c r="H12" s="65">
        <f t="shared" ref="H12:H16" si="9">F12/100</f>
        <v>0.20072500000000026</v>
      </c>
      <c r="I12" s="65">
        <f t="shared" si="4"/>
        <v>30.072500000000026</v>
      </c>
      <c r="J12" s="66">
        <f t="shared" si="5"/>
        <v>120.29000000000011</v>
      </c>
      <c r="K12" s="68">
        <v>50.8</v>
      </c>
      <c r="L12" s="1">
        <f t="shared" si="6"/>
        <v>5.08</v>
      </c>
      <c r="M12" s="40">
        <v>13.188000000000001</v>
      </c>
      <c r="N12" s="40">
        <v>13.253</v>
      </c>
      <c r="O12" s="69">
        <f t="shared" si="7"/>
        <v>64.999999999999503</v>
      </c>
      <c r="P12" s="69">
        <v>73</v>
      </c>
      <c r="Q12" t="s">
        <v>132</v>
      </c>
    </row>
    <row r="13" spans="1:17" x14ac:dyDescent="0.35">
      <c r="A13" s="93"/>
      <c r="B13" s="61">
        <v>12</v>
      </c>
      <c r="C13" s="62">
        <v>13.3026</v>
      </c>
      <c r="D13" s="40">
        <v>14.103</v>
      </c>
      <c r="E13" s="63">
        <f t="shared" si="0"/>
        <v>0.80039999999999978</v>
      </c>
      <c r="F13" s="64">
        <f t="shared" si="1"/>
        <v>20.009999999999994</v>
      </c>
      <c r="G13" s="65">
        <f t="shared" si="8"/>
        <v>0.80039999999999978</v>
      </c>
      <c r="H13" s="65">
        <f t="shared" si="9"/>
        <v>0.20009999999999994</v>
      </c>
      <c r="I13" s="65">
        <f t="shared" si="4"/>
        <v>30.009999999999994</v>
      </c>
      <c r="J13" s="66">
        <f t="shared" si="5"/>
        <v>120.03999999999999</v>
      </c>
      <c r="K13" s="68">
        <v>51.2</v>
      </c>
      <c r="L13" s="1">
        <f t="shared" si="6"/>
        <v>5.12</v>
      </c>
      <c r="M13" s="40">
        <v>13.205</v>
      </c>
      <c r="N13" s="40">
        <v>13.276</v>
      </c>
      <c r="O13" s="69">
        <f>(N13-M13)*1000</f>
        <v>70.99999999999973</v>
      </c>
      <c r="P13" s="69">
        <v>73</v>
      </c>
      <c r="Q13" t="s">
        <v>132</v>
      </c>
    </row>
    <row r="14" spans="1:17" x14ac:dyDescent="0.35">
      <c r="A14" s="93" t="s">
        <v>93</v>
      </c>
      <c r="B14" s="61">
        <v>13</v>
      </c>
      <c r="C14" s="62">
        <v>13.3339</v>
      </c>
      <c r="D14" s="40">
        <v>14.131</v>
      </c>
      <c r="E14" s="63">
        <f t="shared" si="0"/>
        <v>0.79710000000000036</v>
      </c>
      <c r="F14" s="64">
        <f t="shared" si="1"/>
        <v>19.927500000000009</v>
      </c>
      <c r="G14" s="65">
        <f t="shared" si="8"/>
        <v>0.79710000000000036</v>
      </c>
      <c r="H14" s="65">
        <f t="shared" si="9"/>
        <v>0.19927500000000009</v>
      </c>
      <c r="I14" s="40"/>
      <c r="J14" s="66">
        <f t="shared" si="5"/>
        <v>119.71000000000004</v>
      </c>
      <c r="K14" s="40"/>
      <c r="L14" s="64"/>
      <c r="M14" s="40">
        <v>13.23</v>
      </c>
      <c r="N14" s="40">
        <v>13.276999999999999</v>
      </c>
      <c r="O14" s="69">
        <f t="shared" si="7"/>
        <v>46.99999999999882</v>
      </c>
      <c r="P14" s="69">
        <v>46.99999999999882</v>
      </c>
      <c r="Q14" t="s">
        <v>133</v>
      </c>
    </row>
    <row r="15" spans="1:17" x14ac:dyDescent="0.35">
      <c r="A15" s="93"/>
      <c r="B15" s="61">
        <v>14</v>
      </c>
      <c r="C15" s="62">
        <v>13.3269</v>
      </c>
      <c r="D15" s="40">
        <v>14.125</v>
      </c>
      <c r="E15" s="63">
        <f t="shared" si="0"/>
        <v>0.79809999999999981</v>
      </c>
      <c r="F15" s="64">
        <f t="shared" si="1"/>
        <v>19.952499999999993</v>
      </c>
      <c r="G15" s="65">
        <f t="shared" si="8"/>
        <v>0.7980999999999997</v>
      </c>
      <c r="H15" s="65">
        <f t="shared" si="9"/>
        <v>0.19952499999999992</v>
      </c>
      <c r="I15" s="40"/>
      <c r="J15" s="66">
        <f t="shared" si="5"/>
        <v>119.80999999999997</v>
      </c>
      <c r="K15" s="40"/>
      <c r="L15" s="64"/>
      <c r="M15" s="40">
        <v>13.231999999999999</v>
      </c>
      <c r="N15" s="40">
        <v>13.285</v>
      </c>
      <c r="O15" s="69">
        <f t="shared" si="7"/>
        <v>53.000000000000824</v>
      </c>
      <c r="P15" s="69">
        <v>53.000000000000824</v>
      </c>
      <c r="Q15" t="s">
        <v>133</v>
      </c>
    </row>
    <row r="16" spans="1:17" x14ac:dyDescent="0.35">
      <c r="A16" s="93"/>
      <c r="B16" s="61">
        <v>15</v>
      </c>
      <c r="C16" s="62">
        <v>13.172700000000001</v>
      </c>
      <c r="D16" s="40">
        <v>13.968999999999999</v>
      </c>
      <c r="E16" s="63">
        <f>D16-C16</f>
        <v>0.79629999999999868</v>
      </c>
      <c r="F16" s="64">
        <f t="shared" si="1"/>
        <v>19.907499999999967</v>
      </c>
      <c r="G16" s="65">
        <f t="shared" si="8"/>
        <v>0.79629999999999868</v>
      </c>
      <c r="H16" s="65">
        <f t="shared" si="9"/>
        <v>0.19907499999999967</v>
      </c>
      <c r="I16" s="40"/>
      <c r="J16" s="66">
        <f t="shared" si="5"/>
        <v>119.62999999999985</v>
      </c>
      <c r="K16" s="40"/>
      <c r="L16" s="64"/>
      <c r="M16" s="40"/>
      <c r="N16" s="40"/>
    </row>
    <row r="17" spans="4:17" x14ac:dyDescent="0.35">
      <c r="I17" t="s">
        <v>94</v>
      </c>
      <c r="J17" s="66">
        <f>SUM(J2:J16)</f>
        <v>1799.2700000000002</v>
      </c>
      <c r="K17" t="s">
        <v>95</v>
      </c>
    </row>
    <row r="23" spans="4:17" x14ac:dyDescent="0.35">
      <c r="N23">
        <v>1800</v>
      </c>
      <c r="O23">
        <v>100</v>
      </c>
      <c r="Q23">
        <f>N23*O24/O23</f>
        <v>1440</v>
      </c>
    </row>
    <row r="24" spans="4:17" x14ac:dyDescent="0.35">
      <c r="N24" t="s">
        <v>96</v>
      </c>
      <c r="O24">
        <v>80</v>
      </c>
      <c r="Q24">
        <f>N23-Q23</f>
        <v>360</v>
      </c>
    </row>
    <row r="26" spans="4:17" x14ac:dyDescent="0.35">
      <c r="K26" t="s">
        <v>106</v>
      </c>
      <c r="M26" t="s">
        <v>107</v>
      </c>
      <c r="O26" t="s">
        <v>108</v>
      </c>
    </row>
    <row r="27" spans="4:17" x14ac:dyDescent="0.35">
      <c r="D27" s="70" t="s">
        <v>109</v>
      </c>
      <c r="H27" t="s">
        <v>110</v>
      </c>
      <c r="K27" t="s">
        <v>111</v>
      </c>
    </row>
    <row r="28" spans="4:17" x14ac:dyDescent="0.35">
      <c r="D28" t="s">
        <v>0</v>
      </c>
      <c r="E28" t="s">
        <v>112</v>
      </c>
      <c r="F28" t="s">
        <v>112</v>
      </c>
      <c r="G28" t="s">
        <v>112</v>
      </c>
      <c r="H28">
        <v>3</v>
      </c>
      <c r="J28" t="s">
        <v>113</v>
      </c>
      <c r="K28" s="1" t="s">
        <v>114</v>
      </c>
      <c r="O28" t="s">
        <v>115</v>
      </c>
    </row>
    <row r="29" spans="4:17" x14ac:dyDescent="0.35">
      <c r="D29" t="s">
        <v>92</v>
      </c>
      <c r="E29" t="s">
        <v>116</v>
      </c>
      <c r="H29">
        <v>2</v>
      </c>
      <c r="J29" t="s">
        <v>113</v>
      </c>
      <c r="K29" s="1" t="s">
        <v>114</v>
      </c>
      <c r="O29" t="s">
        <v>117</v>
      </c>
    </row>
    <row r="30" spans="4:17" x14ac:dyDescent="0.35">
      <c r="D30" t="s">
        <v>118</v>
      </c>
      <c r="E30" t="s">
        <v>112</v>
      </c>
      <c r="H30">
        <v>2</v>
      </c>
      <c r="J30" t="s">
        <v>113</v>
      </c>
      <c r="K30" s="1" t="s">
        <v>119</v>
      </c>
      <c r="O30" s="71" t="s">
        <v>120</v>
      </c>
    </row>
    <row r="31" spans="4:17" x14ac:dyDescent="0.35">
      <c r="D31" s="72" t="s">
        <v>1</v>
      </c>
      <c r="E31" s="72" t="s">
        <v>121</v>
      </c>
      <c r="H31">
        <v>2</v>
      </c>
      <c r="J31" t="s">
        <v>113</v>
      </c>
      <c r="K31" s="1" t="s">
        <v>119</v>
      </c>
      <c r="O31" t="s">
        <v>122</v>
      </c>
    </row>
    <row r="32" spans="4:17" x14ac:dyDescent="0.35">
      <c r="D32" t="s">
        <v>123</v>
      </c>
      <c r="E32" t="s">
        <v>124</v>
      </c>
      <c r="G32" t="s">
        <v>112</v>
      </c>
      <c r="H32">
        <v>3</v>
      </c>
      <c r="J32" t="s">
        <v>113</v>
      </c>
      <c r="K32" s="1">
        <v>4.4000000000000004</v>
      </c>
      <c r="O32" t="s">
        <v>125</v>
      </c>
    </row>
    <row r="33" spans="4:15" x14ac:dyDescent="0.35">
      <c r="D33" t="s">
        <v>123</v>
      </c>
      <c r="E33" t="s">
        <v>126</v>
      </c>
      <c r="G33" t="s">
        <v>127</v>
      </c>
      <c r="H33">
        <v>3</v>
      </c>
      <c r="J33" t="s">
        <v>113</v>
      </c>
      <c r="K33" s="1">
        <v>4.4000000000000004</v>
      </c>
      <c r="O33" s="71" t="s">
        <v>128</v>
      </c>
    </row>
  </sheetData>
  <mergeCells count="5">
    <mergeCell ref="A2:A4"/>
    <mergeCell ref="A5:A7"/>
    <mergeCell ref="A8:A10"/>
    <mergeCell ref="A11:A13"/>
    <mergeCell ref="A14:A16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3AE8-654F-4BDB-A564-5C98E454A65C}">
  <dimension ref="A1:F55"/>
  <sheetViews>
    <sheetView topLeftCell="A46" workbookViewId="0">
      <selection activeCell="S55" sqref="S55"/>
    </sheetView>
  </sheetViews>
  <sheetFormatPr defaultRowHeight="14.5" x14ac:dyDescent="0.35"/>
  <cols>
    <col min="1" max="1" width="28.36328125" customWidth="1"/>
    <col min="3" max="3" width="9.36328125" bestFit="1" customWidth="1"/>
    <col min="4" max="4" width="9.453125" bestFit="1" customWidth="1"/>
    <col min="5" max="5" width="9.36328125" customWidth="1"/>
  </cols>
  <sheetData>
    <row r="1" spans="1:6" ht="101.5" x14ac:dyDescent="0.35">
      <c r="A1" s="60" t="s">
        <v>105</v>
      </c>
      <c r="B1" s="60" t="s">
        <v>6</v>
      </c>
      <c r="D1" t="s">
        <v>145</v>
      </c>
      <c r="E1" t="s">
        <v>146</v>
      </c>
    </row>
    <row r="2" spans="1:6" x14ac:dyDescent="0.35">
      <c r="A2" t="s">
        <v>135</v>
      </c>
      <c r="B2" s="74">
        <v>50.7</v>
      </c>
      <c r="C2" s="94" t="s">
        <v>139</v>
      </c>
      <c r="D2" s="75">
        <f>AVERAGE(B2:B4)</f>
        <v>50.366666666666674</v>
      </c>
      <c r="E2" s="75">
        <f>STDEVA(B2:B4)</f>
        <v>0.49328828623162768</v>
      </c>
      <c r="F2" t="s">
        <v>135</v>
      </c>
    </row>
    <row r="3" spans="1:6" x14ac:dyDescent="0.35">
      <c r="A3" t="s">
        <v>135</v>
      </c>
      <c r="B3" s="74">
        <v>50.6</v>
      </c>
      <c r="C3" s="94"/>
      <c r="D3" s="75"/>
      <c r="E3" s="75"/>
    </row>
    <row r="4" spans="1:6" x14ac:dyDescent="0.35">
      <c r="A4" t="s">
        <v>135</v>
      </c>
      <c r="B4" s="74">
        <v>49.8</v>
      </c>
      <c r="C4" s="94"/>
      <c r="D4" s="75"/>
      <c r="E4" s="75"/>
    </row>
    <row r="5" spans="1:6" x14ac:dyDescent="0.35">
      <c r="A5" t="s">
        <v>134</v>
      </c>
      <c r="B5" s="74">
        <v>36.799999999999997</v>
      </c>
      <c r="C5" s="94"/>
      <c r="D5" s="75">
        <f>AVERAGE(B5:B7)</f>
        <v>36.733333333333327</v>
      </c>
      <c r="E5" s="75">
        <f>STDEVA(B5:B7)</f>
        <v>0.40414518843273994</v>
      </c>
      <c r="F5" t="s">
        <v>134</v>
      </c>
    </row>
    <row r="6" spans="1:6" x14ac:dyDescent="0.35">
      <c r="A6" t="s">
        <v>134</v>
      </c>
      <c r="B6" s="74">
        <v>36.299999999999997</v>
      </c>
      <c r="C6" s="94"/>
    </row>
    <row r="7" spans="1:6" x14ac:dyDescent="0.35">
      <c r="A7" t="s">
        <v>134</v>
      </c>
      <c r="B7" s="74">
        <v>37.1</v>
      </c>
      <c r="C7" s="94"/>
    </row>
    <row r="8" spans="1:6" x14ac:dyDescent="0.35">
      <c r="A8" t="s">
        <v>142</v>
      </c>
      <c r="B8" s="74">
        <v>54.1</v>
      </c>
      <c r="C8" s="94"/>
      <c r="D8" s="75">
        <f>AVERAGE(B8:B10)</f>
        <v>54.966666666666669</v>
      </c>
      <c r="E8" s="75">
        <f>STDEVA(B8:B10)</f>
        <v>0.75718777944003501</v>
      </c>
      <c r="F8" t="s">
        <v>142</v>
      </c>
    </row>
    <row r="9" spans="1:6" x14ac:dyDescent="0.35">
      <c r="A9" t="s">
        <v>142</v>
      </c>
      <c r="B9" s="74">
        <v>55.3</v>
      </c>
      <c r="C9" s="94"/>
    </row>
    <row r="10" spans="1:6" x14ac:dyDescent="0.35">
      <c r="A10" t="s">
        <v>142</v>
      </c>
      <c r="B10" s="74">
        <v>55.5</v>
      </c>
      <c r="C10" s="94"/>
    </row>
    <row r="11" spans="1:6" x14ac:dyDescent="0.35">
      <c r="A11" t="s">
        <v>2</v>
      </c>
      <c r="B11" s="74">
        <v>50.4</v>
      </c>
      <c r="C11" s="94"/>
      <c r="D11" s="76">
        <f>AVERAGE(B11:B13)</f>
        <v>50.79999999999999</v>
      </c>
      <c r="E11" s="76"/>
      <c r="F11" s="71" t="s">
        <v>2</v>
      </c>
    </row>
    <row r="12" spans="1:6" x14ac:dyDescent="0.35">
      <c r="A12" t="s">
        <v>2</v>
      </c>
      <c r="B12" s="74">
        <v>50.8</v>
      </c>
      <c r="C12" s="94"/>
    </row>
    <row r="13" spans="1:6" x14ac:dyDescent="0.35">
      <c r="A13" t="s">
        <v>2</v>
      </c>
      <c r="B13" s="74">
        <v>51.2</v>
      </c>
      <c r="C13" s="94"/>
    </row>
    <row r="14" spans="1:6" x14ac:dyDescent="0.35">
      <c r="A14" t="s">
        <v>141</v>
      </c>
      <c r="B14" s="69">
        <v>48</v>
      </c>
      <c r="C14" s="94" t="s">
        <v>140</v>
      </c>
      <c r="D14" s="75">
        <f>AVERAGE(B14:B16)</f>
        <v>46.333333333333336</v>
      </c>
      <c r="E14" s="75">
        <f>STDEVA(B14:B16)</f>
        <v>1.5275252316519465</v>
      </c>
      <c r="F14" t="s">
        <v>141</v>
      </c>
    </row>
    <row r="15" spans="1:6" x14ac:dyDescent="0.35">
      <c r="A15" t="s">
        <v>141</v>
      </c>
      <c r="B15" s="69">
        <v>45</v>
      </c>
      <c r="C15" s="94"/>
    </row>
    <row r="16" spans="1:6" x14ac:dyDescent="0.35">
      <c r="A16" t="s">
        <v>141</v>
      </c>
      <c r="B16" s="69">
        <v>46</v>
      </c>
      <c r="C16" s="94"/>
    </row>
    <row r="17" spans="1:6" x14ac:dyDescent="0.35">
      <c r="A17" t="s">
        <v>141</v>
      </c>
      <c r="B17" s="69">
        <v>44</v>
      </c>
      <c r="C17" s="94"/>
      <c r="D17" s="75">
        <f>AVERAGE(B17:B19)</f>
        <v>44.666666666666664</v>
      </c>
      <c r="E17" s="75">
        <f>STDEVA(B17:B19)</f>
        <v>0.57735026918962584</v>
      </c>
    </row>
    <row r="18" spans="1:6" x14ac:dyDescent="0.35">
      <c r="A18" t="s">
        <v>141</v>
      </c>
      <c r="B18" s="69">
        <v>45</v>
      </c>
      <c r="C18" s="94"/>
    </row>
    <row r="19" spans="1:6" x14ac:dyDescent="0.35">
      <c r="A19" t="s">
        <v>141</v>
      </c>
      <c r="B19" s="69">
        <v>45</v>
      </c>
      <c r="C19" s="94"/>
    </row>
    <row r="20" spans="1:6" x14ac:dyDescent="0.35">
      <c r="A20" t="s">
        <v>143</v>
      </c>
      <c r="B20" s="69">
        <v>73</v>
      </c>
      <c r="C20" s="94"/>
      <c r="D20" s="75">
        <f>AVERAGE(B20:B22)</f>
        <v>75</v>
      </c>
      <c r="E20" s="75">
        <f>STDEVA(B20:B22)</f>
        <v>2</v>
      </c>
      <c r="F20" t="s">
        <v>143</v>
      </c>
    </row>
    <row r="21" spans="1:6" x14ac:dyDescent="0.35">
      <c r="A21" t="s">
        <v>143</v>
      </c>
      <c r="B21" s="69">
        <v>75</v>
      </c>
      <c r="C21" s="94"/>
    </row>
    <row r="22" spans="1:6" x14ac:dyDescent="0.35">
      <c r="A22" t="s">
        <v>143</v>
      </c>
      <c r="B22" s="69">
        <v>77</v>
      </c>
      <c r="C22" s="94"/>
    </row>
    <row r="23" spans="1:6" x14ac:dyDescent="0.35">
      <c r="A23" t="s">
        <v>2</v>
      </c>
      <c r="B23" s="69">
        <v>69</v>
      </c>
      <c r="C23" s="94"/>
      <c r="D23" s="75">
        <f>AVERAGE(B23:B25)</f>
        <v>64.666666666666671</v>
      </c>
      <c r="E23" s="75">
        <f>STDEVA(B23:B25)</f>
        <v>4.5092497528228943</v>
      </c>
      <c r="F23" t="s">
        <v>2</v>
      </c>
    </row>
    <row r="24" spans="1:6" x14ac:dyDescent="0.35">
      <c r="A24" t="s">
        <v>2</v>
      </c>
      <c r="B24" s="69">
        <v>60</v>
      </c>
      <c r="C24" s="94"/>
    </row>
    <row r="25" spans="1:6" x14ac:dyDescent="0.35">
      <c r="A25" t="s">
        <v>2</v>
      </c>
      <c r="B25" s="69">
        <v>65</v>
      </c>
      <c r="C25" s="94"/>
    </row>
    <row r="26" spans="1:6" x14ac:dyDescent="0.35">
      <c r="A26" t="s">
        <v>129</v>
      </c>
      <c r="B26" s="69">
        <v>40.999999999998593</v>
      </c>
      <c r="C26" s="94" t="s">
        <v>109</v>
      </c>
      <c r="D26" s="75">
        <f>AVERAGE(B26:B28)</f>
        <v>44.333333333333037</v>
      </c>
      <c r="E26" s="75">
        <f>STDEVA(B26:B28)</f>
        <v>4.9328828623171743</v>
      </c>
      <c r="F26" t="s">
        <v>129</v>
      </c>
    </row>
    <row r="27" spans="1:6" x14ac:dyDescent="0.35">
      <c r="A27" t="s">
        <v>129</v>
      </c>
      <c r="B27" s="69">
        <v>41.999999999999815</v>
      </c>
      <c r="C27" s="94"/>
    </row>
    <row r="28" spans="1:6" x14ac:dyDescent="0.35">
      <c r="A28" t="s">
        <v>129</v>
      </c>
      <c r="B28" s="69">
        <v>50.000000000000711</v>
      </c>
      <c r="C28" s="94"/>
    </row>
    <row r="29" spans="1:6" x14ac:dyDescent="0.35">
      <c r="A29" t="s">
        <v>130</v>
      </c>
      <c r="B29" s="69">
        <v>35.999999999999901</v>
      </c>
      <c r="C29" s="94"/>
      <c r="D29" s="75">
        <f>AVERAGE(B29:B30)</f>
        <v>38.499999999999247</v>
      </c>
      <c r="E29" s="75">
        <f>STDEVA(B29:B30)</f>
        <v>3.5355339059318132</v>
      </c>
      <c r="F29" t="s">
        <v>130</v>
      </c>
    </row>
    <row r="30" spans="1:6" x14ac:dyDescent="0.35">
      <c r="A30" t="s">
        <v>130</v>
      </c>
      <c r="B30" s="69">
        <v>40.999999999998593</v>
      </c>
      <c r="C30" s="94"/>
    </row>
    <row r="31" spans="1:6" x14ac:dyDescent="0.35">
      <c r="A31" t="s">
        <v>118</v>
      </c>
      <c r="B31" s="69">
        <v>76.000000000000512</v>
      </c>
      <c r="C31" s="94"/>
      <c r="D31" s="75">
        <f>AVERAGE(B31:B32)</f>
        <v>73.000000000000256</v>
      </c>
      <c r="E31" s="75">
        <f>STDEVA(B31:B32)</f>
        <v>4.2426406871196471</v>
      </c>
      <c r="F31" t="s">
        <v>118</v>
      </c>
    </row>
    <row r="32" spans="1:6" x14ac:dyDescent="0.35">
      <c r="A32" t="s">
        <v>118</v>
      </c>
      <c r="B32" s="69">
        <v>70</v>
      </c>
      <c r="C32" s="94"/>
    </row>
    <row r="33" spans="1:6" x14ac:dyDescent="0.35">
      <c r="A33" t="s">
        <v>144</v>
      </c>
      <c r="B33" s="73">
        <v>37</v>
      </c>
      <c r="C33" s="94"/>
      <c r="D33" s="75">
        <f>AVERAGE(B33:B34)</f>
        <v>34.999999999999737</v>
      </c>
      <c r="E33" s="75">
        <f>STDEVA(B33:B34)</f>
        <v>2.828427124746562</v>
      </c>
      <c r="F33" t="s">
        <v>144</v>
      </c>
    </row>
    <row r="34" spans="1:6" x14ac:dyDescent="0.35">
      <c r="A34" t="s">
        <v>144</v>
      </c>
      <c r="B34" s="73">
        <v>32.999999999999474</v>
      </c>
      <c r="C34" s="94"/>
    </row>
    <row r="35" spans="1:6" x14ac:dyDescent="0.35">
      <c r="A35" t="s">
        <v>132</v>
      </c>
      <c r="B35" s="69">
        <v>77</v>
      </c>
      <c r="C35" s="94"/>
      <c r="D35" s="75">
        <f>AVERAGE(B35:B37)</f>
        <v>74.333333333333329</v>
      </c>
      <c r="E35" s="75">
        <f>STDEVA(B35:B37)</f>
        <v>2.3094010767585034</v>
      </c>
      <c r="F35" t="s">
        <v>132</v>
      </c>
    </row>
    <row r="36" spans="1:6" x14ac:dyDescent="0.35">
      <c r="A36" t="s">
        <v>132</v>
      </c>
      <c r="B36" s="69">
        <v>73</v>
      </c>
      <c r="C36" s="94"/>
    </row>
    <row r="37" spans="1:6" x14ac:dyDescent="0.35">
      <c r="A37" t="s">
        <v>132</v>
      </c>
      <c r="B37" s="69">
        <v>73</v>
      </c>
      <c r="C37" s="94"/>
    </row>
    <row r="38" spans="1:6" x14ac:dyDescent="0.35">
      <c r="A38" t="s">
        <v>133</v>
      </c>
      <c r="B38" s="69">
        <v>46.99999999999882</v>
      </c>
      <c r="D38" s="75">
        <f>AVERAGE(B38:B39)</f>
        <v>49.999999999999822</v>
      </c>
      <c r="E38" s="75">
        <f>STDEVA(B38:B39)</f>
        <v>4.2426406871207023</v>
      </c>
      <c r="F38" t="s">
        <v>133</v>
      </c>
    </row>
    <row r="39" spans="1:6" x14ac:dyDescent="0.35">
      <c r="A39" t="s">
        <v>133</v>
      </c>
      <c r="B39" s="69">
        <v>53.000000000000824</v>
      </c>
    </row>
    <row r="42" spans="1:6" x14ac:dyDescent="0.35">
      <c r="C42" s="77">
        <v>50.366666666666674</v>
      </c>
      <c r="D42" s="77">
        <v>0.49328828623162768</v>
      </c>
      <c r="E42" t="s">
        <v>135</v>
      </c>
    </row>
    <row r="43" spans="1:6" x14ac:dyDescent="0.35">
      <c r="C43" s="77">
        <v>36.733333333333327</v>
      </c>
      <c r="D43" s="77">
        <v>0.40414518843273994</v>
      </c>
      <c r="E43" t="s">
        <v>134</v>
      </c>
    </row>
    <row r="44" spans="1:6" x14ac:dyDescent="0.35">
      <c r="C44" s="77">
        <v>54.966666666666669</v>
      </c>
      <c r="D44" s="77">
        <v>0.75718777944003501</v>
      </c>
      <c r="E44" t="s">
        <v>142</v>
      </c>
    </row>
    <row r="45" spans="1:6" x14ac:dyDescent="0.35">
      <c r="C45" s="77">
        <v>50.79999999999999</v>
      </c>
      <c r="D45" s="77"/>
      <c r="E45" t="s">
        <v>2</v>
      </c>
    </row>
    <row r="46" spans="1:6" x14ac:dyDescent="0.35">
      <c r="C46" s="77">
        <v>46.333333333333336</v>
      </c>
      <c r="D46" s="77">
        <v>1.5275252316519465</v>
      </c>
      <c r="E46" t="s">
        <v>141</v>
      </c>
    </row>
    <row r="47" spans="1:6" x14ac:dyDescent="0.35">
      <c r="C47" s="77">
        <v>44.666666666666664</v>
      </c>
      <c r="D47" s="77">
        <v>0.57735026918962584</v>
      </c>
    </row>
    <row r="48" spans="1:6" x14ac:dyDescent="0.35">
      <c r="C48" s="77">
        <v>75</v>
      </c>
      <c r="D48" s="77">
        <v>2</v>
      </c>
      <c r="E48" t="s">
        <v>143</v>
      </c>
    </row>
    <row r="49" spans="3:5" x14ac:dyDescent="0.35">
      <c r="C49" s="77">
        <v>64.666666666666671</v>
      </c>
      <c r="D49" s="77">
        <v>4.5092497528228943</v>
      </c>
      <c r="E49" t="s">
        <v>2</v>
      </c>
    </row>
    <row r="50" spans="3:5" x14ac:dyDescent="0.35">
      <c r="C50" s="77">
        <v>44.333333333333037</v>
      </c>
      <c r="D50" s="77">
        <v>4.9328828623171743</v>
      </c>
      <c r="E50" t="s">
        <v>129</v>
      </c>
    </row>
    <row r="51" spans="3:5" x14ac:dyDescent="0.35">
      <c r="C51" s="77">
        <v>38.499999999999247</v>
      </c>
      <c r="D51" s="77">
        <v>3.5355339059318132</v>
      </c>
      <c r="E51" t="s">
        <v>147</v>
      </c>
    </row>
    <row r="52" spans="3:5" x14ac:dyDescent="0.35">
      <c r="C52" s="77">
        <v>73.000000000000256</v>
      </c>
      <c r="D52" s="77">
        <v>4.2426406871196471</v>
      </c>
      <c r="E52" t="s">
        <v>148</v>
      </c>
    </row>
    <row r="53" spans="3:5" x14ac:dyDescent="0.35">
      <c r="C53" s="77">
        <v>34.999999999999737</v>
      </c>
      <c r="D53" s="77">
        <v>2.828427124746562</v>
      </c>
      <c r="E53" t="s">
        <v>144</v>
      </c>
    </row>
    <row r="54" spans="3:5" x14ac:dyDescent="0.35">
      <c r="C54" s="77">
        <v>74.333333333333329</v>
      </c>
      <c r="D54" s="77">
        <v>2.3094010767585034</v>
      </c>
      <c r="E54" t="s">
        <v>132</v>
      </c>
    </row>
    <row r="55" spans="3:5" x14ac:dyDescent="0.35">
      <c r="C55" s="1">
        <v>49.999999999999822</v>
      </c>
      <c r="D55">
        <v>4.2426406871207023</v>
      </c>
      <c r="E55" t="s">
        <v>133</v>
      </c>
    </row>
  </sheetData>
  <mergeCells count="3">
    <mergeCell ref="C2:C13"/>
    <mergeCell ref="C14:C25"/>
    <mergeCell ref="C26:C37"/>
  </mergeCells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CD3D-82F2-4EA3-8D41-3EA20F3D0D5F}">
  <dimension ref="A1:Q29"/>
  <sheetViews>
    <sheetView workbookViewId="0">
      <selection activeCell="C15" sqref="C15"/>
    </sheetView>
  </sheetViews>
  <sheetFormatPr defaultRowHeight="14.5" x14ac:dyDescent="0.35"/>
  <cols>
    <col min="1" max="1" width="10.36328125" bestFit="1" customWidth="1"/>
    <col min="2" max="2" width="9.36328125" bestFit="1" customWidth="1"/>
    <col min="3" max="3" width="19.1796875" customWidth="1"/>
    <col min="16" max="16" width="31.90625" customWidth="1"/>
    <col min="17" max="17" width="53.1796875" customWidth="1"/>
  </cols>
  <sheetData>
    <row r="1" spans="1:3" x14ac:dyDescent="0.35">
      <c r="A1" s="77">
        <v>50.366666666666674</v>
      </c>
      <c r="B1" s="77">
        <v>0.49328828623162768</v>
      </c>
      <c r="C1" t="s">
        <v>153</v>
      </c>
    </row>
    <row r="2" spans="1:3" x14ac:dyDescent="0.35">
      <c r="A2" s="77">
        <v>46.333333333333336</v>
      </c>
      <c r="B2" s="77">
        <v>1.5275252316519465</v>
      </c>
      <c r="C2" t="s">
        <v>154</v>
      </c>
    </row>
    <row r="3" spans="1:3" x14ac:dyDescent="0.35">
      <c r="A3" s="77">
        <v>44.333333333333037</v>
      </c>
      <c r="B3" s="77">
        <v>4.9328828623171743</v>
      </c>
      <c r="C3" t="s">
        <v>155</v>
      </c>
    </row>
    <row r="4" spans="1:3" x14ac:dyDescent="0.35">
      <c r="A4" s="77">
        <v>36.733333333333327</v>
      </c>
      <c r="B4" s="77">
        <v>0.40414518843273994</v>
      </c>
      <c r="C4" t="s">
        <v>157</v>
      </c>
    </row>
    <row r="5" spans="1:3" x14ac:dyDescent="0.35">
      <c r="A5" s="77">
        <v>38.499999999999247</v>
      </c>
      <c r="B5" s="77">
        <v>3.5355339059318132</v>
      </c>
      <c r="C5" t="s">
        <v>156</v>
      </c>
    </row>
    <row r="6" spans="1:3" x14ac:dyDescent="0.35">
      <c r="A6" s="77">
        <v>54.966666666666669</v>
      </c>
      <c r="B6" s="77">
        <v>0.75718777944003501</v>
      </c>
      <c r="C6" t="s">
        <v>149</v>
      </c>
    </row>
    <row r="7" spans="1:3" x14ac:dyDescent="0.35">
      <c r="A7" s="77">
        <v>75</v>
      </c>
      <c r="B7" s="77">
        <v>2</v>
      </c>
      <c r="C7" t="s">
        <v>150</v>
      </c>
    </row>
    <row r="8" spans="1:3" x14ac:dyDescent="0.35">
      <c r="A8" s="77">
        <v>34.999999999999737</v>
      </c>
      <c r="B8" s="77">
        <v>2.828427124746562</v>
      </c>
      <c r="C8" t="s">
        <v>172</v>
      </c>
    </row>
    <row r="9" spans="1:3" x14ac:dyDescent="0.35">
      <c r="A9" s="77">
        <v>73.000000000000256</v>
      </c>
      <c r="B9" s="77">
        <v>4.2426406871196471</v>
      </c>
      <c r="C9" t="s">
        <v>158</v>
      </c>
    </row>
    <row r="10" spans="1:3" x14ac:dyDescent="0.35">
      <c r="A10" s="77">
        <v>74.333333333333329</v>
      </c>
      <c r="B10" s="77">
        <v>2.3094010767585034</v>
      </c>
      <c r="C10" t="s">
        <v>151</v>
      </c>
    </row>
    <row r="11" spans="1:3" x14ac:dyDescent="0.35">
      <c r="A11" s="77">
        <v>49.999999999999822</v>
      </c>
      <c r="B11" s="77">
        <v>4.2426406871207023</v>
      </c>
      <c r="C11" t="s">
        <v>152</v>
      </c>
    </row>
    <row r="12" spans="1:3" x14ac:dyDescent="0.35">
      <c r="A12" s="77">
        <v>64.666666666666671</v>
      </c>
      <c r="B12" s="77">
        <v>4.5092497528228943</v>
      </c>
      <c r="C12" t="s">
        <v>171</v>
      </c>
    </row>
    <row r="14" spans="1:3" x14ac:dyDescent="0.35">
      <c r="C14">
        <f>500/79</f>
        <v>6.3291139240506329</v>
      </c>
    </row>
    <row r="19" spans="1:17" ht="15" thickBot="1" x14ac:dyDescent="0.4"/>
    <row r="20" spans="1:17" ht="15.5" thickBot="1" x14ac:dyDescent="0.4">
      <c r="P20" s="95" t="s">
        <v>168</v>
      </c>
      <c r="Q20" s="96"/>
    </row>
    <row r="21" spans="1:17" ht="15.5" thickBot="1" x14ac:dyDescent="0.4">
      <c r="P21" s="82" t="s">
        <v>169</v>
      </c>
      <c r="Q21" s="82" t="s">
        <v>170</v>
      </c>
    </row>
    <row r="22" spans="1:17" ht="31.5" thickBot="1" x14ac:dyDescent="0.4">
      <c r="P22" s="83" t="s">
        <v>160</v>
      </c>
      <c r="Q22" s="84" t="s">
        <v>163</v>
      </c>
    </row>
    <row r="23" spans="1:17" ht="31.5" thickBot="1" x14ac:dyDescent="0.4">
      <c r="P23" s="83" t="s">
        <v>162</v>
      </c>
      <c r="Q23" s="84" t="s">
        <v>164</v>
      </c>
    </row>
    <row r="24" spans="1:17" ht="16" thickBot="1" x14ac:dyDescent="0.4">
      <c r="P24" s="84" t="s">
        <v>161</v>
      </c>
      <c r="Q24" s="84" t="s">
        <v>165</v>
      </c>
    </row>
    <row r="25" spans="1:17" ht="16" thickBot="1" x14ac:dyDescent="0.4">
      <c r="A25" s="78"/>
      <c r="C25" s="79" t="s">
        <v>159</v>
      </c>
      <c r="P25" s="84" t="s">
        <v>123</v>
      </c>
      <c r="Q25" s="84" t="s">
        <v>166</v>
      </c>
    </row>
    <row r="26" spans="1:17" ht="31.5" thickBot="1" x14ac:dyDescent="0.4">
      <c r="A26" s="78"/>
      <c r="C26" s="80" t="s">
        <v>160</v>
      </c>
      <c r="D26" t="s">
        <v>163</v>
      </c>
      <c r="P26" s="81" t="s">
        <v>2</v>
      </c>
      <c r="Q26" s="81" t="s">
        <v>167</v>
      </c>
    </row>
    <row r="27" spans="1:17" ht="46.5" x14ac:dyDescent="0.35">
      <c r="C27" s="80" t="s">
        <v>162</v>
      </c>
      <c r="D27" t="s">
        <v>164</v>
      </c>
    </row>
    <row r="28" spans="1:17" ht="15.5" x14ac:dyDescent="0.35">
      <c r="C28" s="79" t="s">
        <v>161</v>
      </c>
      <c r="D28" t="s">
        <v>165</v>
      </c>
    </row>
    <row r="29" spans="1:17" ht="15.5" x14ac:dyDescent="0.35">
      <c r="C29" s="79" t="s">
        <v>123</v>
      </c>
      <c r="D29" t="s">
        <v>166</v>
      </c>
    </row>
  </sheetData>
  <mergeCells count="1">
    <mergeCell ref="P20:Q20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E702-B6BF-4674-842A-A951A784B27F}">
  <dimension ref="A1:V19"/>
  <sheetViews>
    <sheetView tabSelected="1" workbookViewId="0">
      <selection activeCell="D19" sqref="D19"/>
    </sheetView>
  </sheetViews>
  <sheetFormatPr defaultRowHeight="14.5" x14ac:dyDescent="0.35"/>
  <sheetData>
    <row r="1" spans="1:22" x14ac:dyDescent="0.35">
      <c r="A1" s="77">
        <v>50.366666666666674</v>
      </c>
      <c r="B1" s="77">
        <v>0.49328828623162768</v>
      </c>
      <c r="C1" t="s">
        <v>153</v>
      </c>
    </row>
    <row r="2" spans="1:22" x14ac:dyDescent="0.35">
      <c r="A2" s="77">
        <v>46.333333333333336</v>
      </c>
      <c r="B2" s="77">
        <v>1.5275252316519465</v>
      </c>
      <c r="C2" t="s">
        <v>154</v>
      </c>
    </row>
    <row r="3" spans="1:22" x14ac:dyDescent="0.35">
      <c r="A3" s="77">
        <v>44.333333333333037</v>
      </c>
      <c r="B3" s="77">
        <v>4.9328828623171743</v>
      </c>
      <c r="C3" t="s">
        <v>155</v>
      </c>
    </row>
    <row r="4" spans="1:22" x14ac:dyDescent="0.35">
      <c r="A4" s="77">
        <v>36.733333333333327</v>
      </c>
      <c r="B4" s="77">
        <v>0.40414518843273994</v>
      </c>
      <c r="C4" t="s">
        <v>157</v>
      </c>
    </row>
    <row r="5" spans="1:22" x14ac:dyDescent="0.35">
      <c r="A5" s="77">
        <v>75</v>
      </c>
      <c r="B5" s="77">
        <v>2</v>
      </c>
      <c r="C5" t="s">
        <v>150</v>
      </c>
    </row>
    <row r="6" spans="1:22" x14ac:dyDescent="0.35">
      <c r="A6" s="77">
        <v>34.999999999999737</v>
      </c>
      <c r="B6" s="77">
        <v>2.828427124746562</v>
      </c>
      <c r="C6" t="s">
        <v>172</v>
      </c>
    </row>
    <row r="7" spans="1:22" x14ac:dyDescent="0.35">
      <c r="A7" s="77">
        <v>73.000000000000256</v>
      </c>
      <c r="B7" s="77">
        <v>4.2426406871196471</v>
      </c>
      <c r="C7" t="s">
        <v>174</v>
      </c>
    </row>
    <row r="8" spans="1:22" x14ac:dyDescent="0.35">
      <c r="A8" s="77">
        <v>74.333333333333329</v>
      </c>
      <c r="B8" s="77">
        <v>2.3094010767585034</v>
      </c>
      <c r="C8" t="s">
        <v>151</v>
      </c>
    </row>
    <row r="9" spans="1:22" x14ac:dyDescent="0.35">
      <c r="A9" s="77">
        <v>49.999999999999822</v>
      </c>
      <c r="B9" s="77">
        <v>4.2426406871207023</v>
      </c>
      <c r="C9" t="s">
        <v>152</v>
      </c>
      <c r="R9" s="86">
        <v>50.7</v>
      </c>
      <c r="S9" s="86">
        <v>50.6</v>
      </c>
      <c r="T9" s="86">
        <v>49.8</v>
      </c>
      <c r="U9" s="87">
        <f>AVERAGE(R9:T9)</f>
        <v>50.366666666666674</v>
      </c>
      <c r="V9" s="87">
        <f>STDEVA(R9:T9)</f>
        <v>0.49328828623162768</v>
      </c>
    </row>
    <row r="10" spans="1:22" x14ac:dyDescent="0.35">
      <c r="A10" s="77">
        <v>52.7</v>
      </c>
      <c r="B10" s="77">
        <v>0.98499999999999999</v>
      </c>
      <c r="C10" t="s">
        <v>173</v>
      </c>
      <c r="R10" s="88">
        <v>48</v>
      </c>
      <c r="S10" s="88">
        <v>45</v>
      </c>
      <c r="T10" s="88">
        <v>46</v>
      </c>
      <c r="U10" s="87">
        <f t="shared" ref="U10:U19" si="0">AVERAGE(R10:T10)</f>
        <v>46.333333333333336</v>
      </c>
      <c r="V10" s="87">
        <f t="shared" ref="V10:V19" si="1">STDEVA(R10:T10)</f>
        <v>1.5275252316519465</v>
      </c>
    </row>
    <row r="11" spans="1:22" x14ac:dyDescent="0.35">
      <c r="A11" s="77">
        <v>64.666666666666671</v>
      </c>
      <c r="B11" s="77">
        <v>4.5092497528228943</v>
      </c>
      <c r="C11" t="s">
        <v>171</v>
      </c>
      <c r="R11" s="88">
        <v>43.5</v>
      </c>
      <c r="S11" s="88">
        <v>43.3</v>
      </c>
      <c r="T11" s="88">
        <v>47.1</v>
      </c>
      <c r="U11" s="87">
        <f t="shared" si="0"/>
        <v>44.633333333333333</v>
      </c>
      <c r="V11" s="87">
        <f t="shared" si="1"/>
        <v>2.138535324312727</v>
      </c>
    </row>
    <row r="12" spans="1:22" x14ac:dyDescent="0.35">
      <c r="A12" s="77"/>
      <c r="B12" s="77"/>
      <c r="R12" s="88">
        <v>36.799999999999997</v>
      </c>
      <c r="S12" s="88">
        <v>36.299999999999997</v>
      </c>
      <c r="T12" s="88">
        <v>37.1</v>
      </c>
      <c r="U12" s="87">
        <f t="shared" si="0"/>
        <v>36.733333333333327</v>
      </c>
      <c r="V12" s="87">
        <f t="shared" si="1"/>
        <v>0.40414518843273994</v>
      </c>
    </row>
    <row r="13" spans="1:22" x14ac:dyDescent="0.35">
      <c r="A13" s="77"/>
      <c r="B13" s="77"/>
      <c r="R13" s="88">
        <v>54.1</v>
      </c>
      <c r="S13" s="88">
        <v>55.3</v>
      </c>
      <c r="T13" s="88">
        <v>55.5</v>
      </c>
      <c r="U13" s="87">
        <f t="shared" si="0"/>
        <v>54.966666666666669</v>
      </c>
      <c r="V13" s="87">
        <f t="shared" si="1"/>
        <v>0.75718777944003501</v>
      </c>
    </row>
    <row r="14" spans="1:22" x14ac:dyDescent="0.35">
      <c r="R14" s="88">
        <v>36</v>
      </c>
      <c r="S14" s="88">
        <v>33</v>
      </c>
      <c r="T14" s="88">
        <v>33.299999999999997</v>
      </c>
      <c r="U14" s="87">
        <f t="shared" si="0"/>
        <v>34.1</v>
      </c>
      <c r="V14" s="87">
        <f t="shared" si="1"/>
        <v>1.6522711641858312</v>
      </c>
    </row>
    <row r="15" spans="1:22" x14ac:dyDescent="0.35">
      <c r="R15" s="88">
        <v>71</v>
      </c>
      <c r="S15" s="88">
        <v>70.8</v>
      </c>
      <c r="T15" s="88">
        <v>75.2</v>
      </c>
      <c r="U15" s="87">
        <f t="shared" si="0"/>
        <v>72.333333333333329</v>
      </c>
      <c r="V15" s="87">
        <f t="shared" si="1"/>
        <v>2.4846193538112322</v>
      </c>
    </row>
    <row r="16" spans="1:22" x14ac:dyDescent="0.35">
      <c r="R16" s="88">
        <v>77</v>
      </c>
      <c r="S16" s="88">
        <v>74</v>
      </c>
      <c r="T16" s="88">
        <v>72</v>
      </c>
      <c r="U16" s="87">
        <f t="shared" si="0"/>
        <v>74.333333333333329</v>
      </c>
      <c r="V16" s="87">
        <f t="shared" si="1"/>
        <v>2.5166114784235836</v>
      </c>
    </row>
    <row r="17" spans="18:22" x14ac:dyDescent="0.35">
      <c r="R17" s="88">
        <v>48.5</v>
      </c>
      <c r="S17" s="88">
        <v>51.5</v>
      </c>
      <c r="T17" s="88">
        <v>49</v>
      </c>
      <c r="U17" s="87">
        <f t="shared" si="0"/>
        <v>49.666666666666664</v>
      </c>
      <c r="V17" s="87">
        <f t="shared" si="1"/>
        <v>1.607275126832159</v>
      </c>
    </row>
    <row r="18" spans="18:22" x14ac:dyDescent="0.35">
      <c r="R18" s="88">
        <v>52.4</v>
      </c>
      <c r="S18" s="88">
        <v>53.8</v>
      </c>
      <c r="T18" s="88">
        <v>51.9</v>
      </c>
      <c r="U18" s="87">
        <f t="shared" si="0"/>
        <v>52.699999999999996</v>
      </c>
      <c r="V18" s="87">
        <f t="shared" si="1"/>
        <v>0.9848857801796097</v>
      </c>
    </row>
    <row r="19" spans="18:22" ht="15" thickBot="1" x14ac:dyDescent="0.4">
      <c r="R19" s="89">
        <v>67</v>
      </c>
      <c r="S19" s="89">
        <v>63</v>
      </c>
      <c r="T19" s="89">
        <v>65</v>
      </c>
      <c r="U19" s="87">
        <f t="shared" si="0"/>
        <v>65</v>
      </c>
      <c r="V19" s="87">
        <f t="shared" si="1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batch 1 weight</vt:lpstr>
      <vt:lpstr>PVPP FC</vt:lpstr>
      <vt:lpstr>conc alginate</vt:lpstr>
      <vt:lpstr>10 05 2022 batch 2</vt:lpstr>
      <vt:lpstr>14 05 2022 batch 3</vt:lpstr>
      <vt:lpstr>combined weight</vt:lpstr>
      <vt:lpstr>Graph</vt:lpstr>
      <vt:lpstr>Graph 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Sofiia Tr</dc:creator>
  <cp:lastModifiedBy>Sofiia Tr</cp:lastModifiedBy>
  <dcterms:created xsi:type="dcterms:W3CDTF">2022-04-22T07:58:31Z</dcterms:created>
  <dcterms:modified xsi:type="dcterms:W3CDTF">2022-06-13T15:49:16Z</dcterms:modified>
</cp:coreProperties>
</file>