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B551001C-533D-479D-A8C4-C799A9D1DE61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Sheet1!$Q$61</definedName>
    <definedName name="frag_damage">Sheet1!$E$4</definedName>
    <definedName name="fragHitNum">Sheet1!$K$3</definedName>
    <definedName name="fraghitnum2">Sheet1!$K$5</definedName>
    <definedName name="guns_cap">Sheet1!$O$61</definedName>
    <definedName name="health_cap">Sheet1!$N$61</definedName>
    <definedName name="player_radius">Sheet1!$B$60</definedName>
    <definedName name="playerHealth">Sheet1!$B$47</definedName>
    <definedName name="shockWave_damage">Sheet1!$E$6</definedName>
    <definedName name="speed_cap">Sheet1!$P$61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75" i="1"/>
  <c r="V6" i="1"/>
  <c r="W6" i="1" s="1"/>
  <c r="T6" i="1"/>
  <c r="U6" i="1" s="1"/>
  <c r="L6" i="1"/>
  <c r="Q6" i="1"/>
  <c r="P6" i="1"/>
  <c r="O6" i="1"/>
  <c r="N6" i="1"/>
  <c r="M6" i="1"/>
  <c r="V5" i="1"/>
  <c r="W5" i="1" s="1"/>
  <c r="T5" i="1"/>
  <c r="U5" i="1" s="1"/>
  <c r="O5" i="1"/>
  <c r="N5" i="1"/>
  <c r="M5" i="1"/>
  <c r="L5" i="1"/>
  <c r="V3" i="1"/>
  <c r="W3" i="1" s="1"/>
  <c r="T3" i="1"/>
  <c r="U3" i="1" s="1"/>
  <c r="O3" i="1"/>
  <c r="N3" i="1"/>
  <c r="M3" i="1"/>
  <c r="L3" i="1"/>
  <c r="K68" i="1"/>
  <c r="L68" i="1" s="1"/>
  <c r="O68" i="1" s="1"/>
  <c r="K67" i="1"/>
  <c r="L67" i="1" s="1"/>
  <c r="O67" i="1" s="1"/>
  <c r="K70" i="1"/>
  <c r="L70" i="1" s="1"/>
  <c r="O70" i="1" s="1"/>
  <c r="K69" i="1"/>
  <c r="L69" i="1" s="1"/>
  <c r="O69" i="1" s="1"/>
  <c r="I70" i="1"/>
  <c r="N70" i="1"/>
  <c r="P70" i="1"/>
  <c r="Q70" i="1"/>
  <c r="P65" i="1"/>
  <c r="Q65" i="1"/>
  <c r="P66" i="1"/>
  <c r="Q66" i="1"/>
  <c r="P67" i="1"/>
  <c r="Q67" i="1"/>
  <c r="P68" i="1"/>
  <c r="Q68" i="1"/>
  <c r="P69" i="1"/>
  <c r="Q69" i="1"/>
  <c r="Q64" i="1"/>
  <c r="P64" i="1"/>
  <c r="N64" i="1"/>
  <c r="N65" i="1"/>
  <c r="N66" i="1"/>
  <c r="N67" i="1"/>
  <c r="N68" i="1"/>
  <c r="N69" i="1"/>
  <c r="I69" i="1"/>
  <c r="L62" i="1"/>
  <c r="K66" i="1"/>
  <c r="L66" i="1" s="1"/>
  <c r="O66" i="1" s="1"/>
  <c r="K65" i="1"/>
  <c r="L65" i="1" s="1"/>
  <c r="O65" i="1" s="1"/>
  <c r="K64" i="1"/>
  <c r="L64" i="1" s="1"/>
  <c r="O64" i="1" s="1"/>
  <c r="I65" i="1"/>
  <c r="I66" i="1"/>
  <c r="I67" i="1"/>
  <c r="I68" i="1"/>
  <c r="I64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Q3" i="1"/>
  <c r="Q4" i="1"/>
  <c r="P3" i="1"/>
  <c r="P4" i="1"/>
  <c r="P10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  <c r="T69" i="1" l="1"/>
  <c r="T70" i="1"/>
  <c r="T67" i="1"/>
  <c r="T65" i="1"/>
  <c r="T66" i="1"/>
  <c r="R65" i="1"/>
  <c r="T68" i="1"/>
  <c r="T64" i="1"/>
  <c r="R68" i="1"/>
  <c r="R64" i="1"/>
  <c r="R66" i="1"/>
  <c r="R67" i="1"/>
  <c r="R69" i="1"/>
  <c r="R70" i="1"/>
</calcChain>
</file>

<file path=xl/sharedStrings.xml><?xml version="1.0" encoding="utf-8"?>
<sst xmlns="http://schemas.openxmlformats.org/spreadsheetml/2006/main" count="208" uniqueCount="166">
  <si>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</si>
  <si>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</si>
  <si>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</si>
  <si>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</si>
  <si>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</si>
  <si>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</si>
  <si>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</si>
  <si>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</si>
  <si>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</si>
  <si>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</si>
  <si>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</si>
  <si>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</si>
  <si>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</si>
  <si>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</si>
  <si>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</si>
  <si>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</si>
  <si>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</si>
  <si>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</si>
  <si>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</si>
  <si>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</si>
  <si>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</si>
  <si>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</si>
  <si>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</si>
  <si>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</si>
  <si>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</si>
  <si>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</si>
  <si>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</si>
  <si>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</si>
  <si>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</si>
  <si>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</si>
  <si>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</si>
  <si>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</si>
  <si>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</si>
  <si>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</si>
  <si>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</si>
  <si>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</si>
  <si>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</si>
  <si>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</si>
  <si>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</si>
  <si>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</si>
  <si>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</si>
  <si>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</si>
  <si>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</si>
  <si>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</si>
  <si>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</si>
  <si>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</si>
  <si>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</si>
  <si>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</si>
  <si>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</si>
  <si>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</si>
  <si>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</si>
  <si>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</si>
  <si>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</si>
  <si>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</si>
  <si>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</si>
  <si>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</si>
  <si>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</si>
  <si>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</si>
  <si>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</si>
  <si>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</si>
  <si>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</si>
  <si>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</si>
  <si>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</si>
  <si>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</si>
  <si>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</si>
  <si>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</si>
  <si>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</si>
  <si>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</si>
  <si>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</si>
  <si>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</si>
  <si>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</si>
  <si>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</si>
  <si>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</si>
  <si>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</si>
  <si>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</si>
  <si>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</si>
  <si>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</si>
  <si>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</si>
  <si>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</si>
  <si>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</si>
  <si>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</si>
  <si>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</si>
  <si>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</si>
  <si>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</si>
  <si>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</si>
  <si>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</si>
  <si>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</si>
  <si>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</si>
  <si>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</si>
  <si>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</si>
  <si>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</si>
  <si>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</si>
  <si>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Vehicles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</si>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</sst>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2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8" fillId="24" borderId="2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/>
    </xf>
    <xf numFmtId="0" fontId="29" fillId="17" borderId="0" xfId="0" applyFont="1" applyFill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28" fillId="13" borderId="2" xfId="0" applyFont="1" applyFill="1" applyBorder="1" applyAlignment="1">
      <alignment horizontal="center"/>
    </xf>
    <xf numFmtId="0" fontId="32" fillId="3" borderId="0" xfId="0" applyFont="1" applyFill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32" fillId="3" borderId="1" xfId="0" applyFont="1" applyFill="1" applyBorder="1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/>
    </xf>
    <xf numFmtId="0" fontId="28" fillId="0" borderId="2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6"/>
  <sheetViews>
    <sheetView tabSelected="1" zoomScaleNormal="100" workbookViewId="0">
      <selection activeCell="P9" sqref="P9"/>
    </sheetView>
  </sheetViews>
  <sheetFormatPr defaultRowHeight="17" x14ac:dyDescent="0.45"/>
  <cols>
    <col min="1" max="1" width="20.9140625" customWidth="1"/>
    <col min="9" max="9" width="10.6640625" customWidth="1"/>
    <col min="11" max="11" width="10.08203125" customWidth="1"/>
    <col min="14" max="14" width="9.33203125" customWidth="1"/>
  </cols>
  <sheetData>
    <row r="1" spans="1:3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77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91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ROUND(D3*(E3+fragHitNum*frag_damage)/F3*1000,2)</f>
        <v>9.3800000000000008</v>
      </c>
      <c r="M3" s="23">
        <f>ROUND(D3*(E3+fragHitNum*frag_damage)/(F3+I3)*1000,2)</f>
        <v>4.41</v>
      </c>
      <c r="N3" s="23">
        <f>D3*(E3+fragHitNum*frag_damage)*H3</f>
        <v>45</v>
      </c>
      <c r="O3" s="29">
        <f>ROUND(playerHealth/(D3*(E3+fragHitNum*frag_damage)),1)</f>
        <v>0.5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D3*(E3+fragHitNum*frag_damage)*9/10</f>
        <v>13.5</v>
      </c>
      <c r="U3" s="32">
        <f>ROUND(playerHealth/(T3),2)</f>
        <v>0.59</v>
      </c>
      <c r="V3" s="23">
        <f>D3*((E3+fragHitNum*frag_damage)-0.4)</f>
        <v>14.6</v>
      </c>
      <c r="W3" s="32">
        <f>ROUND(playerHealth/(V3),2)</f>
        <v>0.55000000000000004</v>
      </c>
      <c r="X3" s="23"/>
      <c r="Y3" t="s">
        <v>76</v>
      </c>
      <c r="AF3" s="84" t="s">
        <v>90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78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135</v>
      </c>
    </row>
    <row r="5" spans="1:35" x14ac:dyDescent="0.45">
      <c r="A5" s="27" t="s">
        <v>85</v>
      </c>
      <c r="B5" s="57">
        <v>832</v>
      </c>
      <c r="C5" s="28">
        <v>0</v>
      </c>
      <c r="D5" s="73">
        <v>1</v>
      </c>
      <c r="E5" s="28">
        <v>50</v>
      </c>
      <c r="F5" s="28">
        <v>4000</v>
      </c>
      <c r="G5" s="28">
        <v>12</v>
      </c>
      <c r="H5" s="28">
        <v>1</v>
      </c>
      <c r="I5" s="28">
        <v>6000</v>
      </c>
      <c r="J5" s="28" t="s">
        <v>86</v>
      </c>
      <c r="K5" s="28">
        <v>6</v>
      </c>
      <c r="L5" s="23">
        <f>ROUND(D5*(E5+fraghitnum2*shockWave_damage)/F5*1000,2)</f>
        <v>35</v>
      </c>
      <c r="M5" s="23">
        <f>ROUND(D5*(E5+fraghitnum2*shockWave_damage)/(F5+I5)*1000,2)</f>
        <v>14</v>
      </c>
      <c r="N5" s="23">
        <f>D5*(E5+fraghitnum2*shockWave_damage)*H5</f>
        <v>140</v>
      </c>
      <c r="O5" s="29">
        <f>ROUND(playerHealth/(D5*(E5+fraghitnum2*shockWave_damage)),1)</f>
        <v>0.1</v>
      </c>
      <c r="P5" s="23">
        <f t="shared" si="0"/>
        <v>-1</v>
      </c>
      <c r="Q5" s="23">
        <f t="shared" si="1"/>
        <v>0</v>
      </c>
      <c r="R5" s="30" t="s">
        <v>79</v>
      </c>
      <c r="S5" s="23"/>
      <c r="T5" s="23">
        <f xml:space="preserve"> D5*E5*7/10 +D5*fraghitnum2*shockWave_damage*7/10</f>
        <v>98</v>
      </c>
      <c r="U5" s="32">
        <f>ROUND(playerHealth/(T5),2)</f>
        <v>0.08</v>
      </c>
      <c r="V5" s="23">
        <f>D5*((E5+fraghitnum2*shockWave_damage)-0.4)</f>
        <v>139.6</v>
      </c>
      <c r="W5" s="32">
        <f>ROUND(playerHealth/(V5),2)</f>
        <v>0.06</v>
      </c>
      <c r="X5" s="23"/>
      <c r="Y5" t="s">
        <v>87</v>
      </c>
    </row>
    <row r="6" spans="1:35" x14ac:dyDescent="0.45">
      <c r="A6" s="27" t="s">
        <v>134</v>
      </c>
      <c r="B6" s="64">
        <v>192</v>
      </c>
      <c r="C6" s="72">
        <v>6</v>
      </c>
      <c r="D6" s="72">
        <v>1</v>
      </c>
      <c r="E6" s="72">
        <v>15</v>
      </c>
      <c r="F6" s="72">
        <v>300</v>
      </c>
      <c r="G6" s="72">
        <v>18</v>
      </c>
      <c r="H6" s="72">
        <v>1</v>
      </c>
      <c r="I6" s="72">
        <v>1400</v>
      </c>
      <c r="J6" s="72" t="s">
        <v>134</v>
      </c>
      <c r="K6" s="72"/>
      <c r="L6" s="23">
        <f>ROUND(D6*E6/F6*1000,2)</f>
        <v>50</v>
      </c>
      <c r="M6" s="23">
        <f>ROUND(D6*E6/(F6+I6)*1000,2)</f>
        <v>8.82</v>
      </c>
      <c r="N6" s="23">
        <f>D6*E6*H6</f>
        <v>15</v>
      </c>
      <c r="O6" s="38">
        <f>ROUND(playerHealth/(D6*E6),1)</f>
        <v>0.5</v>
      </c>
      <c r="P6" s="23">
        <f t="shared" ref="P6" si="4">-(FLOOR(G6/6,1)-1)</f>
        <v>-2</v>
      </c>
      <c r="Q6" s="23">
        <f t="shared" ref="Q6" si="5">ROUND(C6/G6,3)</f>
        <v>0.33300000000000002</v>
      </c>
      <c r="R6" s="37" t="s">
        <v>78</v>
      </c>
      <c r="S6" s="72"/>
      <c r="T6" s="23">
        <f t="shared" ref="T6" si="6" xml:space="preserve"> D6*E6*7/10</f>
        <v>10.5</v>
      </c>
      <c r="U6" s="39">
        <f>ROUND(playerHealth/(T6),2)</f>
        <v>0.76</v>
      </c>
      <c r="V6" s="23">
        <f t="shared" ref="V6" si="7">D6*(E6-0.4)</f>
        <v>14.6</v>
      </c>
      <c r="W6" s="31">
        <f>ROUND(playerHealth/(V6),2)</f>
        <v>0.55000000000000004</v>
      </c>
      <c r="X6" s="72"/>
      <c r="Y6" t="s">
        <v>136</v>
      </c>
    </row>
    <row r="7" spans="1:35" x14ac:dyDescent="0.45">
      <c r="A7" s="27"/>
      <c r="B7" s="8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8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88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90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11.11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89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85</v>
      </c>
      <c r="G28" s="23">
        <v>16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5.88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0.125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9" xml:space="preserve"> D33*E33*9/10</f>
        <v>0.18</v>
      </c>
      <c r="U33" s="39">
        <f>ROUND(playerHealth/(T33),2)</f>
        <v>44.44</v>
      </c>
      <c r="V33" s="23">
        <f t="shared" ref="V33:V34" si="10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9"/>
        <v>0.36</v>
      </c>
      <c r="U34" s="39">
        <f>ROUND(playerHealth/(T34),2)</f>
        <v>22.22</v>
      </c>
      <c r="V34" s="23">
        <f t="shared" si="10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11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9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84</v>
      </c>
    </row>
    <row r="47" spans="1:25" x14ac:dyDescent="0.45">
      <c r="A47" t="s">
        <v>80</v>
      </c>
      <c r="B47">
        <v>8</v>
      </c>
    </row>
    <row r="48" spans="1:25" x14ac:dyDescent="0.45">
      <c r="A48" t="s">
        <v>71</v>
      </c>
      <c r="B48">
        <v>128</v>
      </c>
    </row>
    <row r="50" spans="1:35" x14ac:dyDescent="0.45">
      <c r="F50" s="51" t="s">
        <v>73</v>
      </c>
      <c r="G50" s="51"/>
      <c r="H50" s="51"/>
      <c r="I50" s="51"/>
      <c r="J50" s="51"/>
      <c r="K50" s="51"/>
      <c r="L50" s="51"/>
    </row>
    <row r="51" spans="1:35" x14ac:dyDescent="0.45">
      <c r="B51" s="70" t="s">
        <v>83</v>
      </c>
      <c r="G51" s="69" t="s">
        <v>81</v>
      </c>
      <c r="H51" s="69"/>
      <c r="I51" s="69"/>
      <c r="J51" s="69"/>
      <c r="K51" s="69"/>
      <c r="L51" s="69"/>
    </row>
    <row r="52" spans="1:35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35" x14ac:dyDescent="0.45">
      <c r="A53" s="50" t="s">
        <v>74</v>
      </c>
      <c r="B53" s="42">
        <f t="shared" ref="B53:L53" si="12">(2+B52)*tilesize</f>
        <v>128</v>
      </c>
      <c r="C53" s="42">
        <f t="shared" si="12"/>
        <v>256</v>
      </c>
      <c r="D53" s="42">
        <f t="shared" si="12"/>
        <v>384</v>
      </c>
      <c r="E53" s="42">
        <f t="shared" si="12"/>
        <v>512</v>
      </c>
      <c r="F53" s="42">
        <f t="shared" si="12"/>
        <v>640</v>
      </c>
      <c r="G53" s="42">
        <f t="shared" si="12"/>
        <v>768</v>
      </c>
      <c r="H53" s="42">
        <f t="shared" si="12"/>
        <v>896</v>
      </c>
      <c r="I53" s="42">
        <f t="shared" si="12"/>
        <v>1024</v>
      </c>
      <c r="J53" s="42">
        <f t="shared" si="12"/>
        <v>1152</v>
      </c>
      <c r="K53" s="42">
        <f t="shared" si="12"/>
        <v>1280</v>
      </c>
      <c r="L53" s="42">
        <f t="shared" si="12"/>
        <v>1408</v>
      </c>
    </row>
    <row r="54" spans="1:35" x14ac:dyDescent="0.45">
      <c r="A54" s="50" t="s">
        <v>75</v>
      </c>
      <c r="B54" s="53">
        <f t="shared" ref="B54:L54" si="13">(2+B52+1)*tilesize+tilesize/2</f>
        <v>320</v>
      </c>
      <c r="C54" s="54">
        <f t="shared" si="13"/>
        <v>448</v>
      </c>
      <c r="D54" s="55">
        <f t="shared" si="13"/>
        <v>576</v>
      </c>
      <c r="E54" s="56">
        <f t="shared" si="13"/>
        <v>704</v>
      </c>
      <c r="F54" s="57">
        <f t="shared" si="13"/>
        <v>832</v>
      </c>
      <c r="G54" s="58">
        <f t="shared" si="13"/>
        <v>960</v>
      </c>
      <c r="H54" s="59">
        <f t="shared" si="13"/>
        <v>1088</v>
      </c>
      <c r="I54" s="60">
        <f t="shared" si="13"/>
        <v>1216</v>
      </c>
      <c r="J54" s="61">
        <f t="shared" si="13"/>
        <v>1344</v>
      </c>
      <c r="K54" s="62">
        <f t="shared" si="13"/>
        <v>1472</v>
      </c>
      <c r="L54" s="63">
        <f t="shared" si="13"/>
        <v>1600</v>
      </c>
    </row>
    <row r="55" spans="1:35" x14ac:dyDescent="0.45">
      <c r="C55" s="67" t="s">
        <v>82</v>
      </c>
      <c r="D55" s="68"/>
      <c r="E55" s="66"/>
    </row>
    <row r="60" spans="1:35" x14ac:dyDescent="0.45">
      <c r="A60" t="s">
        <v>106</v>
      </c>
      <c r="B60">
        <v>16</v>
      </c>
      <c r="C60" t="s">
        <v>107</v>
      </c>
      <c r="N60" t="s">
        <v>117</v>
      </c>
      <c r="O60" t="s">
        <v>120</v>
      </c>
      <c r="P60" t="s">
        <v>118</v>
      </c>
      <c r="Q60" t="s">
        <v>119</v>
      </c>
      <c r="R60" t="s">
        <v>122</v>
      </c>
      <c r="AF60" s="102"/>
      <c r="AG60" s="102"/>
      <c r="AH60" s="102"/>
      <c r="AI60" s="102"/>
    </row>
    <row r="61" spans="1:35" x14ac:dyDescent="0.45">
      <c r="N61">
        <v>200</v>
      </c>
      <c r="O61">
        <v>30</v>
      </c>
      <c r="P61">
        <v>10</v>
      </c>
      <c r="Q61">
        <v>50</v>
      </c>
      <c r="R61">
        <v>10</v>
      </c>
      <c r="AF61" s="98"/>
      <c r="AG61" s="98"/>
      <c r="AH61" s="98"/>
      <c r="AI61" s="98"/>
    </row>
    <row r="62" spans="1:35" x14ac:dyDescent="0.45">
      <c r="H62" t="s">
        <v>104</v>
      </c>
      <c r="I62" s="101" t="s">
        <v>108</v>
      </c>
      <c r="J62" s="101"/>
      <c r="K62" t="s">
        <v>109</v>
      </c>
      <c r="L62" s="94">
        <f>COUNTIF(G3:G35,"&gt;0")</f>
        <v>22</v>
      </c>
      <c r="N62" s="100" t="s">
        <v>114</v>
      </c>
      <c r="O62" s="100"/>
      <c r="P62" s="100"/>
      <c r="Q62" s="100"/>
      <c r="R62" s="100"/>
      <c r="AF62" s="98"/>
      <c r="AG62" s="98"/>
      <c r="AH62" s="98"/>
      <c r="AI62" s="98"/>
    </row>
    <row r="63" spans="1:35" x14ac:dyDescent="0.45">
      <c r="A63" s="48" t="s">
        <v>92</v>
      </c>
      <c r="B63" s="49" t="s">
        <v>97</v>
      </c>
      <c r="C63" s="49" t="s">
        <v>98</v>
      </c>
      <c r="D63" s="49" t="s">
        <v>99</v>
      </c>
      <c r="E63" s="90" t="s">
        <v>100</v>
      </c>
      <c r="F63" s="90"/>
      <c r="G63" s="49"/>
      <c r="H63" s="49" t="s">
        <v>18</v>
      </c>
      <c r="I63" s="90" t="s">
        <v>105</v>
      </c>
      <c r="J63" s="90"/>
      <c r="K63" s="49" t="s">
        <v>110</v>
      </c>
      <c r="L63" s="49" t="s">
        <v>111</v>
      </c>
      <c r="M63" s="49"/>
      <c r="N63" s="92" t="s">
        <v>116</v>
      </c>
      <c r="O63" s="49" t="s">
        <v>58</v>
      </c>
      <c r="P63" s="49" t="s">
        <v>113</v>
      </c>
      <c r="Q63" s="49" t="s">
        <v>115</v>
      </c>
      <c r="R63" s="93" t="s">
        <v>121</v>
      </c>
      <c r="S63" s="49"/>
      <c r="T63" s="102" t="s">
        <v>125</v>
      </c>
      <c r="U63" s="102"/>
      <c r="V63" s="49" t="s">
        <v>24</v>
      </c>
      <c r="W63" s="49" t="s">
        <v>127</v>
      </c>
      <c r="AF63" s="98"/>
      <c r="AG63" s="98"/>
      <c r="AH63" s="98"/>
      <c r="AI63" s="98"/>
    </row>
    <row r="64" spans="1:35" x14ac:dyDescent="0.45">
      <c r="A64" s="22" t="s">
        <v>93</v>
      </c>
      <c r="B64" s="85">
        <v>24</v>
      </c>
      <c r="C64" s="86">
        <v>15</v>
      </c>
      <c r="D64" s="86">
        <v>6</v>
      </c>
      <c r="E64" s="83" t="s">
        <v>103</v>
      </c>
      <c r="F64" s="83"/>
      <c r="G64" s="86"/>
      <c r="H64" s="86">
        <v>0</v>
      </c>
      <c r="I64" s="86">
        <f t="shared" ref="I64:I69" si="14">(B64-player_radius)*2</f>
        <v>16</v>
      </c>
      <c r="J64" s="86"/>
      <c r="K64" s="86">
        <f>COUNTIF(G3:G35,"&gt;16")</f>
        <v>11</v>
      </c>
      <c r="L64" s="86">
        <f>21-K64</f>
        <v>10</v>
      </c>
      <c r="M64" s="86"/>
      <c r="N64" s="87">
        <f t="shared" ref="N64:N70" si="15">ROUND(C64/health_cap,2)*10</f>
        <v>0.8</v>
      </c>
      <c r="O64" s="89">
        <f t="shared" ref="O64:O70" si="16">ROUND(L64/guns_cap,2)*10</f>
        <v>3.3000000000000003</v>
      </c>
      <c r="P64" s="91">
        <f t="shared" ref="P64:P70" si="17">ROUND(D64/speed_cap,2)*10</f>
        <v>6</v>
      </c>
      <c r="Q64" s="88">
        <f t="shared" ref="Q64:Q70" si="18">ROUND(H64/DPS_cap,2)*10</f>
        <v>0</v>
      </c>
      <c r="R64" s="96">
        <f>SUM(N64:Q64)</f>
        <v>10.100000000000001</v>
      </c>
      <c r="S64" s="86"/>
      <c r="T64" s="103">
        <f>Q64+N64+O64</f>
        <v>4.1000000000000005</v>
      </c>
      <c r="U64" s="103"/>
      <c r="V64" s="33" t="s">
        <v>31</v>
      </c>
      <c r="W64" t="s">
        <v>132</v>
      </c>
      <c r="AF64" s="98"/>
      <c r="AG64" s="98"/>
      <c r="AH64" s="98"/>
      <c r="AI64" s="98"/>
    </row>
    <row r="65" spans="1:35" x14ac:dyDescent="0.45">
      <c r="A65" s="22" t="s">
        <v>94</v>
      </c>
      <c r="B65" s="85">
        <v>32</v>
      </c>
      <c r="C65" s="86">
        <v>60</v>
      </c>
      <c r="D65" s="86">
        <v>3</v>
      </c>
      <c r="E65" s="83" t="s">
        <v>103</v>
      </c>
      <c r="F65" s="83"/>
      <c r="G65" s="86"/>
      <c r="H65" s="86">
        <v>0</v>
      </c>
      <c r="I65" s="86">
        <f t="shared" si="14"/>
        <v>32</v>
      </c>
      <c r="J65" s="86"/>
      <c r="K65" s="86">
        <f>COUNTIF(G3:G35,"&gt;32")</f>
        <v>2</v>
      </c>
      <c r="L65" s="86">
        <f t="shared" ref="L65:L68" si="19">21-K65</f>
        <v>19</v>
      </c>
      <c r="M65" s="86"/>
      <c r="N65" s="87">
        <f t="shared" si="15"/>
        <v>3</v>
      </c>
      <c r="O65" s="89">
        <f t="shared" si="16"/>
        <v>6.3</v>
      </c>
      <c r="P65" s="91">
        <f t="shared" si="17"/>
        <v>3</v>
      </c>
      <c r="Q65" s="88">
        <f t="shared" si="18"/>
        <v>0</v>
      </c>
      <c r="R65" s="96">
        <f t="shared" ref="R65:R69" si="20">SUM(N65:Q65)</f>
        <v>12.3</v>
      </c>
      <c r="S65" s="86"/>
      <c r="T65" s="103">
        <f t="shared" ref="T65:T70" si="21">Q65+N65+O65</f>
        <v>9.3000000000000007</v>
      </c>
      <c r="U65" s="103"/>
      <c r="V65" s="33" t="s">
        <v>31</v>
      </c>
      <c r="W65" t="s">
        <v>131</v>
      </c>
      <c r="AF65" s="98"/>
      <c r="AG65" s="98"/>
      <c r="AH65" s="98"/>
      <c r="AI65" s="98"/>
    </row>
    <row r="66" spans="1:35" x14ac:dyDescent="0.45">
      <c r="A66" s="22" t="s">
        <v>95</v>
      </c>
      <c r="B66" s="86">
        <v>30</v>
      </c>
      <c r="C66" s="86">
        <v>50</v>
      </c>
      <c r="D66" s="86">
        <v>4</v>
      </c>
      <c r="E66" s="83" t="s">
        <v>43</v>
      </c>
      <c r="F66" s="83"/>
      <c r="G66" s="86"/>
      <c r="H66" s="86">
        <v>11.11</v>
      </c>
      <c r="I66" s="86">
        <f t="shared" si="14"/>
        <v>28</v>
      </c>
      <c r="J66" s="86"/>
      <c r="K66" s="86">
        <f>COUNTIF(G3:G35,"&gt;28")</f>
        <v>4</v>
      </c>
      <c r="L66" s="86">
        <f t="shared" si="19"/>
        <v>17</v>
      </c>
      <c r="M66" s="86"/>
      <c r="N66" s="87">
        <f t="shared" si="15"/>
        <v>2.5</v>
      </c>
      <c r="O66" s="89">
        <f t="shared" si="16"/>
        <v>5.6999999999999993</v>
      </c>
      <c r="P66" s="91">
        <f t="shared" si="17"/>
        <v>4</v>
      </c>
      <c r="Q66" s="88">
        <f t="shared" si="18"/>
        <v>2.2000000000000002</v>
      </c>
      <c r="R66" s="96">
        <f t="shared" si="20"/>
        <v>14.399999999999999</v>
      </c>
      <c r="S66" s="86"/>
      <c r="T66" s="103">
        <f t="shared" si="21"/>
        <v>10.399999999999999</v>
      </c>
      <c r="U66" s="103"/>
      <c r="V66" s="33" t="s">
        <v>31</v>
      </c>
      <c r="W66" t="s">
        <v>133</v>
      </c>
      <c r="AF66" s="98"/>
      <c r="AG66" s="98"/>
      <c r="AH66" s="98"/>
      <c r="AI66" s="98"/>
    </row>
    <row r="67" spans="1:35" x14ac:dyDescent="0.45">
      <c r="A67" s="22" t="s">
        <v>96</v>
      </c>
      <c r="B67" s="86">
        <v>40</v>
      </c>
      <c r="C67" s="86">
        <v>192</v>
      </c>
      <c r="D67" s="86">
        <v>1</v>
      </c>
      <c r="E67" s="95" t="s">
        <v>102</v>
      </c>
      <c r="F67" s="83"/>
      <c r="G67" s="86"/>
      <c r="H67" s="86">
        <v>5.63</v>
      </c>
      <c r="I67" s="86">
        <f t="shared" si="14"/>
        <v>48</v>
      </c>
      <c r="J67" s="86"/>
      <c r="K67" s="86">
        <f>COUNTIF(G3:G35,"&gt;48")</f>
        <v>0</v>
      </c>
      <c r="L67" s="86">
        <f t="shared" si="19"/>
        <v>21</v>
      </c>
      <c r="M67" s="86"/>
      <c r="N67" s="87">
        <f t="shared" si="15"/>
        <v>9.6</v>
      </c>
      <c r="O67" s="89">
        <f t="shared" si="16"/>
        <v>7</v>
      </c>
      <c r="P67" s="91">
        <f t="shared" si="17"/>
        <v>1</v>
      </c>
      <c r="Q67" s="88">
        <f t="shared" si="18"/>
        <v>1.1000000000000001</v>
      </c>
      <c r="R67" s="96">
        <f t="shared" si="20"/>
        <v>18.700000000000003</v>
      </c>
      <c r="S67" s="86"/>
      <c r="T67" s="103">
        <f t="shared" si="21"/>
        <v>17.7</v>
      </c>
      <c r="U67" s="103"/>
      <c r="V67" s="26" t="s">
        <v>30</v>
      </c>
      <c r="W67" t="s">
        <v>130</v>
      </c>
    </row>
    <row r="68" spans="1:35" x14ac:dyDescent="0.45">
      <c r="A68" s="22" t="s">
        <v>101</v>
      </c>
      <c r="B68" s="86">
        <v>52</v>
      </c>
      <c r="C68" s="86">
        <v>148</v>
      </c>
      <c r="D68" s="86">
        <v>0</v>
      </c>
      <c r="E68" s="83" t="s">
        <v>38</v>
      </c>
      <c r="F68" s="83"/>
      <c r="G68" s="86"/>
      <c r="H68" s="86">
        <v>13.33</v>
      </c>
      <c r="I68" s="86">
        <f t="shared" si="14"/>
        <v>72</v>
      </c>
      <c r="J68" s="86"/>
      <c r="K68" s="86">
        <f>COUNTIF(G3:G35,"&gt;72")</f>
        <v>0</v>
      </c>
      <c r="L68" s="86">
        <f t="shared" si="19"/>
        <v>21</v>
      </c>
      <c r="M68" s="86"/>
      <c r="N68" s="87">
        <f t="shared" si="15"/>
        <v>7.4</v>
      </c>
      <c r="O68" s="89">
        <f t="shared" si="16"/>
        <v>7</v>
      </c>
      <c r="P68" s="91">
        <f t="shared" si="17"/>
        <v>0</v>
      </c>
      <c r="Q68" s="88">
        <f t="shared" si="18"/>
        <v>2.7</v>
      </c>
      <c r="R68" s="96">
        <f t="shared" si="20"/>
        <v>17.100000000000001</v>
      </c>
      <c r="S68" s="86"/>
      <c r="T68" s="103">
        <f t="shared" si="21"/>
        <v>17.100000000000001</v>
      </c>
      <c r="U68" s="103"/>
      <c r="V68" s="33" t="s">
        <v>31</v>
      </c>
      <c r="W68" t="s">
        <v>128</v>
      </c>
    </row>
    <row r="69" spans="1:35" x14ac:dyDescent="0.45">
      <c r="A69" s="22" t="s">
        <v>112</v>
      </c>
      <c r="B69" s="86">
        <v>26</v>
      </c>
      <c r="C69" s="86">
        <v>40</v>
      </c>
      <c r="D69" s="86">
        <v>10</v>
      </c>
      <c r="E69" s="83" t="s">
        <v>42</v>
      </c>
      <c r="F69" s="83"/>
      <c r="G69" s="86"/>
      <c r="H69" s="86">
        <v>9.09</v>
      </c>
      <c r="I69" s="86">
        <f t="shared" si="14"/>
        <v>20</v>
      </c>
      <c r="J69" s="86"/>
      <c r="K69" s="86">
        <f>COUNTIF(G3:G35,"&gt;20")</f>
        <v>6</v>
      </c>
      <c r="L69" s="86">
        <f>21-K69</f>
        <v>15</v>
      </c>
      <c r="M69" s="86"/>
      <c r="N69" s="87">
        <f t="shared" si="15"/>
        <v>2</v>
      </c>
      <c r="O69" s="89">
        <f t="shared" si="16"/>
        <v>5</v>
      </c>
      <c r="P69" s="91">
        <f t="shared" si="17"/>
        <v>10</v>
      </c>
      <c r="Q69" s="88">
        <f t="shared" si="18"/>
        <v>1.7999999999999998</v>
      </c>
      <c r="R69" s="96">
        <f t="shared" si="20"/>
        <v>18.8</v>
      </c>
      <c r="S69" s="86"/>
      <c r="T69" s="103">
        <f t="shared" si="21"/>
        <v>8.8000000000000007</v>
      </c>
      <c r="U69" s="103"/>
      <c r="V69" s="26" t="s">
        <v>30</v>
      </c>
      <c r="W69" t="s">
        <v>129</v>
      </c>
    </row>
    <row r="70" spans="1:35" x14ac:dyDescent="0.45">
      <c r="A70" s="22" t="s">
        <v>123</v>
      </c>
      <c r="B70" s="86">
        <v>28</v>
      </c>
      <c r="C70" s="86">
        <v>50</v>
      </c>
      <c r="D70" s="86">
        <v>8</v>
      </c>
      <c r="E70" s="95" t="s">
        <v>124</v>
      </c>
      <c r="F70" s="83"/>
      <c r="G70" s="86"/>
      <c r="H70" s="86">
        <v>48</v>
      </c>
      <c r="I70" s="86">
        <f t="shared" ref="I70" si="22">(B70-player_radius)*2</f>
        <v>24</v>
      </c>
      <c r="J70" s="86"/>
      <c r="K70" s="86">
        <f>COUNTIF(G3:G35,"&gt;24")</f>
        <v>4</v>
      </c>
      <c r="L70" s="86">
        <f>21-K70</f>
        <v>17</v>
      </c>
      <c r="M70" s="86"/>
      <c r="N70" s="87">
        <f t="shared" si="15"/>
        <v>2.5</v>
      </c>
      <c r="O70" s="89">
        <f t="shared" si="16"/>
        <v>5.6999999999999993</v>
      </c>
      <c r="P70" s="91">
        <f t="shared" si="17"/>
        <v>8</v>
      </c>
      <c r="Q70" s="88">
        <f t="shared" si="18"/>
        <v>9.6</v>
      </c>
      <c r="R70" s="96">
        <f t="shared" ref="R70" si="23">SUM(N70:Q70)</f>
        <v>25.799999999999997</v>
      </c>
      <c r="S70" s="86"/>
      <c r="T70" s="103">
        <f t="shared" si="21"/>
        <v>17.799999999999997</v>
      </c>
      <c r="U70" s="103"/>
      <c r="V70" s="30" t="s">
        <v>79</v>
      </c>
      <c r="W70" t="s">
        <v>126</v>
      </c>
    </row>
    <row r="74" spans="1:35" x14ac:dyDescent="0.45">
      <c r="A74" s="43" t="s">
        <v>137</v>
      </c>
      <c r="B74" s="97" t="s">
        <v>98</v>
      </c>
      <c r="C74" s="97" t="s">
        <v>97</v>
      </c>
      <c r="D74" s="97" t="s">
        <v>143</v>
      </c>
      <c r="E74" s="99" t="s">
        <v>144</v>
      </c>
      <c r="F74" s="99"/>
      <c r="G74" s="99" t="s">
        <v>145</v>
      </c>
      <c r="H74" s="99"/>
      <c r="I74" s="97"/>
      <c r="J74" s="97"/>
      <c r="K74" s="99" t="s">
        <v>142</v>
      </c>
      <c r="L74" s="99"/>
      <c r="M74" s="99"/>
      <c r="N74" s="99"/>
    </row>
    <row r="75" spans="1:35" x14ac:dyDescent="0.45">
      <c r="A75" s="44" t="s">
        <v>138</v>
      </c>
      <c r="B75" s="83">
        <v>2</v>
      </c>
      <c r="C75" s="86">
        <v>18</v>
      </c>
      <c r="D75" s="86">
        <v>18</v>
      </c>
      <c r="E75" s="98" t="s">
        <v>70</v>
      </c>
      <c r="F75" s="98"/>
      <c r="G75" s="98">
        <f>D75*frag_damage</f>
        <v>36</v>
      </c>
      <c r="H75" s="98"/>
      <c r="I75" s="86"/>
      <c r="J75" s="86"/>
      <c r="K75" s="98" t="s">
        <v>141</v>
      </c>
      <c r="L75" s="98"/>
      <c r="M75" s="98"/>
      <c r="N75" s="98"/>
    </row>
    <row r="76" spans="1:35" x14ac:dyDescent="0.45">
      <c r="A76" s="44" t="s">
        <v>139</v>
      </c>
      <c r="B76" s="83">
        <v>30</v>
      </c>
      <c r="C76" s="86">
        <v>32</v>
      </c>
      <c r="D76" s="86">
        <v>12</v>
      </c>
      <c r="E76" s="98" t="s">
        <v>134</v>
      </c>
      <c r="F76" s="98"/>
      <c r="G76" s="98">
        <f>D76*shockWave_damage</f>
        <v>180</v>
      </c>
      <c r="H76" s="98"/>
      <c r="I76" s="86"/>
      <c r="J76" s="86"/>
      <c r="K76" s="98" t="s">
        <v>140</v>
      </c>
      <c r="L76" s="98"/>
      <c r="M76" s="98"/>
      <c r="N76" s="98"/>
    </row>
    <row r="80" spans="1:35" x14ac:dyDescent="0.45">
      <c r="A80" s="43" t="s">
        <v>146</v>
      </c>
      <c r="B80" s="97" t="s">
        <v>147</v>
      </c>
      <c r="C80" s="97" t="s">
        <v>99</v>
      </c>
      <c r="D80" s="97" t="s">
        <v>153</v>
      </c>
      <c r="E80" s="99" t="s">
        <v>148</v>
      </c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 t="s">
        <v>163</v>
      </c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spans="1:26" x14ac:dyDescent="0.45">
      <c r="A81" s="44" t="s">
        <v>154</v>
      </c>
      <c r="B81" s="83" t="s">
        <v>149</v>
      </c>
      <c r="C81" s="41">
        <v>12</v>
      </c>
      <c r="D81" s="85">
        <v>16</v>
      </c>
      <c r="E81" s="104" t="s">
        <v>159</v>
      </c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 t="s">
        <v>164</v>
      </c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x14ac:dyDescent="0.45">
      <c r="A82" s="44" t="s">
        <v>155</v>
      </c>
      <c r="B82" s="83" t="s">
        <v>150</v>
      </c>
      <c r="C82" s="85" t="s">
        <v>158</v>
      </c>
      <c r="D82" s="85">
        <v>1</v>
      </c>
      <c r="E82" s="104" t="s">
        <v>161</v>
      </c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x14ac:dyDescent="0.45">
      <c r="A83" s="44" t="s">
        <v>156</v>
      </c>
      <c r="B83" s="83" t="s">
        <v>151</v>
      </c>
      <c r="C83" s="85" t="s">
        <v>158</v>
      </c>
      <c r="D83" s="85">
        <v>1</v>
      </c>
      <c r="E83" s="104" t="s">
        <v>160</v>
      </c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x14ac:dyDescent="0.45">
      <c r="A84" s="44" t="s">
        <v>157</v>
      </c>
      <c r="B84" s="83" t="s">
        <v>152</v>
      </c>
      <c r="C84" s="85">
        <v>6</v>
      </c>
      <c r="D84" s="85">
        <v>1</v>
      </c>
      <c r="E84" s="104" t="s">
        <v>162</v>
      </c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 t="s">
        <v>165</v>
      </c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x14ac:dyDescent="0.45">
      <c r="A85" s="44"/>
      <c r="B85" s="83"/>
      <c r="C85" s="86"/>
      <c r="D85" s="86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x14ac:dyDescent="0.45">
      <c r="A86" s="44"/>
      <c r="B86" s="83"/>
      <c r="C86" s="86"/>
      <c r="D86" s="86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</sheetData>
  <mergeCells count="40">
    <mergeCell ref="P85:Z85"/>
    <mergeCell ref="P86:Z86"/>
    <mergeCell ref="P80:Z80"/>
    <mergeCell ref="P81:Z81"/>
    <mergeCell ref="P82:Z82"/>
    <mergeCell ref="P83:Z83"/>
    <mergeCell ref="P84:Z84"/>
    <mergeCell ref="E82:O82"/>
    <mergeCell ref="E83:O83"/>
    <mergeCell ref="E84:O84"/>
    <mergeCell ref="E85:O85"/>
    <mergeCell ref="E86:O86"/>
    <mergeCell ref="K74:N74"/>
    <mergeCell ref="K75:N75"/>
    <mergeCell ref="K76:N76"/>
    <mergeCell ref="E74:F74"/>
    <mergeCell ref="E75:F75"/>
    <mergeCell ref="E76:F76"/>
    <mergeCell ref="G74:H74"/>
    <mergeCell ref="G75:H75"/>
    <mergeCell ref="G76:H76"/>
    <mergeCell ref="T67:U67"/>
    <mergeCell ref="T68:U68"/>
    <mergeCell ref="T66:U66"/>
    <mergeCell ref="T69:U69"/>
    <mergeCell ref="T70:U70"/>
    <mergeCell ref="N62:R62"/>
    <mergeCell ref="I62:J62"/>
    <mergeCell ref="AF60:AI60"/>
    <mergeCell ref="AF66:AI66"/>
    <mergeCell ref="AF61:AI61"/>
    <mergeCell ref="AF62:AI62"/>
    <mergeCell ref="AF63:AI63"/>
    <mergeCell ref="AF64:AI64"/>
    <mergeCell ref="AF65:AI65"/>
    <mergeCell ref="T63:U63"/>
    <mergeCell ref="T64:U64"/>
    <mergeCell ref="T65:U65"/>
    <mergeCell ref="E80:O80"/>
    <mergeCell ref="E81:O8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2024-02-09T02:10:24Z</dcterms:modified>
</cp:coreProperties>
</file>