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kingc\web\blackout\"/>
    </mc:Choice>
  </mc:AlternateContent>
  <xr:revisionPtr revIDLastSave="0" documentId="13_ncr:1_{CC6CF79C-8B6C-4B03-8AD8-F5318474D03A}" xr6:coauthVersionLast="47" xr6:coauthVersionMax="47" xr10:uidLastSave="{00000000-0000-0000-0000-000000000000}"/>
  <bookViews>
    <workbookView xWindow="2860" yWindow="9360" windowWidth="33240" windowHeight="21600" xr2:uid="{00000000-000D-0000-FFFF-FFFF00000000}"/>
  </bookViews>
  <sheets>
    <sheet name="Sheet1" sheetId="1" r:id="rId1"/>
  </sheets>
  <definedNames>
    <definedName name="DPS_cap">Sheet1!$Q$61</definedName>
    <definedName name="frag_damage">Sheet1!$E$4</definedName>
    <definedName name="fragHitNum">Sheet1!$K$3</definedName>
    <definedName name="fraghitnum2">Sheet1!$K$5</definedName>
    <definedName name="guns_cap">Sheet1!$O$61</definedName>
    <definedName name="health_cap">Sheet1!$N$61</definedName>
    <definedName name="player_radius">Sheet1!$B$60</definedName>
    <definedName name="playerHealth">Sheet1!$B$47</definedName>
    <definedName name="shockWave_damage">Sheet1!$E$6</definedName>
    <definedName name="speed_cap">Sheet1!$P$61</definedName>
    <definedName name="tilesize">Sheet1!$B$48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M7" i="1"/>
  <c r="N7" i="1"/>
  <c r="P7" i="1"/>
  <c r="Q7" i="1"/>
  <c r="G76" i="1"/>
  <c r="G75" i="1"/>
  <c r="V6" i="1"/>
  <c r="W6" i="1" s="1"/>
  <c r="T6" i="1"/>
  <c r="U6" i="1" s="1"/>
  <c r="L6" i="1"/>
  <c r="Q6" i="1"/>
  <c r="P6" i="1"/>
  <c r="O6" i="1"/>
  <c r="N6" i="1"/>
  <c r="M6" i="1"/>
  <c r="V5" i="1"/>
  <c r="W5" i="1" s="1"/>
  <c r="T5" i="1"/>
  <c r="U5" i="1" s="1"/>
  <c r="O5" i="1"/>
  <c r="N5" i="1"/>
  <c r="M5" i="1"/>
  <c r="L5" i="1"/>
  <c r="V3" i="1"/>
  <c r="W3" i="1" s="1"/>
  <c r="T3" i="1"/>
  <c r="U3" i="1" s="1"/>
  <c r="O3" i="1"/>
  <c r="N3" i="1"/>
  <c r="M3" i="1"/>
  <c r="L3" i="1"/>
  <c r="K68" i="1"/>
  <c r="L68" i="1" s="1"/>
  <c r="O68" i="1" s="1"/>
  <c r="K67" i="1"/>
  <c r="L67" i="1" s="1"/>
  <c r="O67" i="1" s="1"/>
  <c r="K70" i="1"/>
  <c r="L70" i="1" s="1"/>
  <c r="O70" i="1" s="1"/>
  <c r="K69" i="1"/>
  <c r="L69" i="1" s="1"/>
  <c r="O69" i="1" s="1"/>
  <c r="I70" i="1"/>
  <c r="N70" i="1"/>
  <c r="P70" i="1"/>
  <c r="Q70" i="1"/>
  <c r="P65" i="1"/>
  <c r="Q65" i="1"/>
  <c r="P66" i="1"/>
  <c r="Q66" i="1"/>
  <c r="P67" i="1"/>
  <c r="Q67" i="1"/>
  <c r="P68" i="1"/>
  <c r="Q68" i="1"/>
  <c r="P69" i="1"/>
  <c r="Q69" i="1"/>
  <c r="Q64" i="1"/>
  <c r="P64" i="1"/>
  <c r="N64" i="1"/>
  <c r="N65" i="1"/>
  <c r="N66" i="1"/>
  <c r="N67" i="1"/>
  <c r="N68" i="1"/>
  <c r="N69" i="1"/>
  <c r="I69" i="1"/>
  <c r="L62" i="1"/>
  <c r="K66" i="1"/>
  <c r="L66" i="1" s="1"/>
  <c r="O66" i="1" s="1"/>
  <c r="K65" i="1"/>
  <c r="L65" i="1" s="1"/>
  <c r="O65" i="1" s="1"/>
  <c r="K64" i="1"/>
  <c r="L64" i="1" s="1"/>
  <c r="O64" i="1" s="1"/>
  <c r="I65" i="1"/>
  <c r="I66" i="1"/>
  <c r="I67" i="1"/>
  <c r="I68" i="1"/>
  <c r="I64" i="1"/>
  <c r="Q5" i="1"/>
  <c r="P5" i="1"/>
  <c r="C53" i="1"/>
  <c r="D53" i="1"/>
  <c r="E53" i="1"/>
  <c r="F53" i="1"/>
  <c r="G53" i="1"/>
  <c r="H53" i="1"/>
  <c r="I53" i="1"/>
  <c r="J53" i="1"/>
  <c r="K53" i="1"/>
  <c r="L53" i="1"/>
  <c r="B53" i="1"/>
  <c r="V35" i="1"/>
  <c r="W35" i="1" s="1"/>
  <c r="V33" i="1"/>
  <c r="V34" i="1"/>
  <c r="W34" i="1" s="1"/>
  <c r="T33" i="1"/>
  <c r="U33" i="1" s="1"/>
  <c r="T34" i="1"/>
  <c r="U34" i="1" s="1"/>
  <c r="T35" i="1"/>
  <c r="U35" i="1" s="1"/>
  <c r="T30" i="1"/>
  <c r="U30" i="1" s="1"/>
  <c r="O30" i="1"/>
  <c r="O29" i="1"/>
  <c r="O28" i="1"/>
  <c r="O25" i="1"/>
  <c r="O24" i="1"/>
  <c r="O23" i="1"/>
  <c r="O20" i="1"/>
  <c r="O19" i="1"/>
  <c r="O18" i="1"/>
  <c r="O17" i="1"/>
  <c r="O16" i="1"/>
  <c r="O13" i="1"/>
  <c r="O12" i="1"/>
  <c r="O11" i="1"/>
  <c r="O10" i="1"/>
  <c r="O4" i="1"/>
  <c r="Q3" i="1"/>
  <c r="Q4" i="1"/>
  <c r="P3" i="1"/>
  <c r="P4" i="1"/>
  <c r="P10" i="1"/>
  <c r="T10" i="1"/>
  <c r="U10" i="1" s="1"/>
  <c r="V4" i="1"/>
  <c r="W4" i="1" s="1"/>
  <c r="T4" i="1"/>
  <c r="U4" i="1" s="1"/>
  <c r="N4" i="1"/>
  <c r="M4" i="1"/>
  <c r="L4" i="1"/>
  <c r="J54" i="1"/>
  <c r="K54" i="1"/>
  <c r="L54" i="1"/>
  <c r="C54" i="1"/>
  <c r="D54" i="1"/>
  <c r="E54" i="1"/>
  <c r="F54" i="1"/>
  <c r="G54" i="1"/>
  <c r="H54" i="1"/>
  <c r="I54" i="1"/>
  <c r="B54" i="1"/>
  <c r="O35" i="1"/>
  <c r="M35" i="1"/>
  <c r="L35" i="1"/>
  <c r="O34" i="1"/>
  <c r="M34" i="1"/>
  <c r="L34" i="1"/>
  <c r="O33" i="1"/>
  <c r="M33" i="1"/>
  <c r="L33" i="1"/>
  <c r="V30" i="1"/>
  <c r="W30" i="1" s="1"/>
  <c r="Q30" i="1"/>
  <c r="P30" i="1"/>
  <c r="N30" i="1"/>
  <c r="M30" i="1"/>
  <c r="L30" i="1"/>
  <c r="V29" i="1"/>
  <c r="W29" i="1" s="1"/>
  <c r="T29" i="1"/>
  <c r="U29" i="1" s="1"/>
  <c r="Q29" i="1"/>
  <c r="P29" i="1"/>
  <c r="N29" i="1"/>
  <c r="M29" i="1"/>
  <c r="L29" i="1"/>
  <c r="V28" i="1"/>
  <c r="W28" i="1" s="1"/>
  <c r="T28" i="1"/>
  <c r="U28" i="1" s="1"/>
  <c r="Q28" i="1"/>
  <c r="P28" i="1"/>
  <c r="N28" i="1"/>
  <c r="M28" i="1"/>
  <c r="L28" i="1"/>
  <c r="V25" i="1"/>
  <c r="W25" i="1" s="1"/>
  <c r="T25" i="1"/>
  <c r="U25" i="1" s="1"/>
  <c r="Q25" i="1"/>
  <c r="P25" i="1"/>
  <c r="N25" i="1"/>
  <c r="M25" i="1"/>
  <c r="L25" i="1"/>
  <c r="V24" i="1"/>
  <c r="W24" i="1" s="1"/>
  <c r="T24" i="1"/>
  <c r="U24" i="1" s="1"/>
  <c r="Q24" i="1"/>
  <c r="P24" i="1"/>
  <c r="N24" i="1"/>
  <c r="M24" i="1"/>
  <c r="L24" i="1"/>
  <c r="V23" i="1"/>
  <c r="W23" i="1" s="1"/>
  <c r="T23" i="1"/>
  <c r="U23" i="1" s="1"/>
  <c r="Q23" i="1"/>
  <c r="P23" i="1"/>
  <c r="N23" i="1"/>
  <c r="M23" i="1"/>
  <c r="L23" i="1"/>
  <c r="V20" i="1"/>
  <c r="W20" i="1" s="1"/>
  <c r="T20" i="1"/>
  <c r="U20" i="1" s="1"/>
  <c r="Q20" i="1"/>
  <c r="P20" i="1"/>
  <c r="N20" i="1"/>
  <c r="M20" i="1"/>
  <c r="L20" i="1"/>
  <c r="V19" i="1"/>
  <c r="W19" i="1" s="1"/>
  <c r="T19" i="1"/>
  <c r="U19" i="1" s="1"/>
  <c r="Q19" i="1"/>
  <c r="P19" i="1"/>
  <c r="N19" i="1"/>
  <c r="M19" i="1"/>
  <c r="L19" i="1"/>
  <c r="V18" i="1"/>
  <c r="W18" i="1" s="1"/>
  <c r="T18" i="1"/>
  <c r="U18" i="1" s="1"/>
  <c r="Q18" i="1"/>
  <c r="P18" i="1"/>
  <c r="N18" i="1"/>
  <c r="M18" i="1"/>
  <c r="L18" i="1"/>
  <c r="V17" i="1"/>
  <c r="W17" i="1" s="1"/>
  <c r="T17" i="1"/>
  <c r="U17" i="1" s="1"/>
  <c r="Q17" i="1"/>
  <c r="P17" i="1"/>
  <c r="N17" i="1"/>
  <c r="M17" i="1"/>
  <c r="L17" i="1"/>
  <c r="V16" i="1"/>
  <c r="W16" i="1" s="1"/>
  <c r="T16" i="1"/>
  <c r="U16" i="1" s="1"/>
  <c r="Q16" i="1"/>
  <c r="P16" i="1"/>
  <c r="N16" i="1"/>
  <c r="M16" i="1"/>
  <c r="L16" i="1"/>
  <c r="V13" i="1"/>
  <c r="W13" i="1" s="1"/>
  <c r="T13" i="1"/>
  <c r="U13" i="1" s="1"/>
  <c r="Q13" i="1"/>
  <c r="P13" i="1"/>
  <c r="N13" i="1"/>
  <c r="M13" i="1"/>
  <c r="L13" i="1"/>
  <c r="V12" i="1"/>
  <c r="W12" i="1" s="1"/>
  <c r="T12" i="1"/>
  <c r="U12" i="1" s="1"/>
  <c r="Q12" i="1"/>
  <c r="P12" i="1"/>
  <c r="N12" i="1"/>
  <c r="M12" i="1"/>
  <c r="L12" i="1"/>
  <c r="V11" i="1"/>
  <c r="W11" i="1" s="1"/>
  <c r="T11" i="1"/>
  <c r="U11" i="1" s="1"/>
  <c r="Q11" i="1"/>
  <c r="P11" i="1"/>
  <c r="N11" i="1"/>
  <c r="M11" i="1"/>
  <c r="L11" i="1"/>
  <c r="V10" i="1"/>
  <c r="W10" i="1" s="1"/>
  <c r="Q10" i="1"/>
  <c r="N10" i="1"/>
  <c r="M10" i="1"/>
  <c r="L10" i="1"/>
  <c r="T69" i="1" l="1"/>
  <c r="T70" i="1"/>
  <c r="T67" i="1"/>
  <c r="T65" i="1"/>
  <c r="T66" i="1"/>
  <c r="R65" i="1"/>
  <c r="T68" i="1"/>
  <c r="T64" i="1"/>
  <c r="R68" i="1"/>
  <c r="R64" i="1"/>
  <c r="R66" i="1"/>
  <c r="R67" i="1"/>
  <c r="R69" i="1"/>
  <c r="R70" i="1"/>
</calcChain>
</file>

<file path=xl/sharedStrings.xml><?xml version="1.0" encoding="utf-8"?>
<sst xmlns="http://schemas.openxmlformats.org/spreadsheetml/2006/main" count="214" uniqueCount="172">
  <si>
    <t>Weapon info</t>
    <phoneticPr fontId="1" type="noConversion"/>
  </si>
  <si>
    <t>one mag</t>
    <phoneticPr fontId="1" type="noConversion"/>
  </si>
  <si>
    <t>reload overhead</t>
    <phoneticPr fontId="1" type="noConversion"/>
  </si>
  <si>
    <t>Damage Per Magazine</t>
    <phoneticPr fontId="1" type="noConversion"/>
  </si>
  <si>
    <t>STK</t>
    <phoneticPr fontId="1" type="noConversion"/>
  </si>
  <si>
    <t>collision tolerance reduces precision</t>
    <phoneticPr fontId="1" type="noConversion"/>
  </si>
  <si>
    <t>shot error</t>
    <phoneticPr fontId="1" type="noConversion"/>
  </si>
  <si>
    <t>Armor effects - damage per round</t>
    <phoneticPr fontId="1" type="noConversion"/>
  </si>
  <si>
    <t>GUNs</t>
    <phoneticPr fontId="1" type="noConversion"/>
  </si>
  <si>
    <t>range</t>
    <phoneticPr fontId="1" type="noConversion"/>
  </si>
  <si>
    <t>spread</t>
    <phoneticPr fontId="1" type="noConversion"/>
  </si>
  <si>
    <t>shells</t>
    <phoneticPr fontId="1" type="noConversion"/>
  </si>
  <si>
    <t>damage/shell</t>
    <phoneticPr fontId="1" type="noConversion"/>
  </si>
  <si>
    <t>fire Rate (ms)</t>
    <phoneticPr fontId="1" type="noConversion"/>
  </si>
  <si>
    <t>bullet Speed</t>
    <phoneticPr fontId="1" type="noConversion"/>
  </si>
  <si>
    <t>mag Size</t>
    <phoneticPr fontId="1" type="noConversion"/>
  </si>
  <si>
    <t>reload Time (ms)</t>
    <phoneticPr fontId="1" type="noConversion"/>
  </si>
  <si>
    <t>ammo type</t>
    <phoneticPr fontId="1" type="noConversion"/>
  </si>
  <si>
    <t>DPS</t>
    <phoneticPr fontId="1" type="noConversion"/>
  </si>
  <si>
    <r>
      <t>DPS</t>
    </r>
    <r>
      <rPr>
        <sz val="6"/>
        <color theme="1"/>
        <rFont val="맑은 고딕"/>
        <family val="3"/>
        <charset val="129"/>
        <scheme val="minor"/>
      </rPr>
      <t xml:space="preserve"> effective</t>
    </r>
    <phoneticPr fontId="1" type="noConversion"/>
  </si>
  <si>
    <t>DPM</t>
    <phoneticPr fontId="1" type="noConversion"/>
  </si>
  <si>
    <t>shots to kill</t>
    <phoneticPr fontId="1" type="noConversion"/>
  </si>
  <si>
    <t>precision</t>
    <phoneticPr fontId="1" type="noConversion"/>
  </si>
  <si>
    <t>effective spread</t>
    <phoneticPr fontId="1" type="noConversion"/>
  </si>
  <si>
    <t>difficulty</t>
    <phoneticPr fontId="1" type="noConversion"/>
  </si>
  <si>
    <t>reduced DPR</t>
    <phoneticPr fontId="1" type="noConversion"/>
  </si>
  <si>
    <t>reduced STK</t>
    <phoneticPr fontId="1" type="noConversion"/>
  </si>
  <si>
    <t>absorbed DPR</t>
    <phoneticPr fontId="1" type="noConversion"/>
  </si>
  <si>
    <t>absorbed STK</t>
    <phoneticPr fontId="1" type="noConversion"/>
  </si>
  <si>
    <t>Special features</t>
    <phoneticPr fontId="1" type="noConversion"/>
  </si>
  <si>
    <t>Moderate</t>
    <phoneticPr fontId="1" type="noConversion"/>
  </si>
  <si>
    <t>Easy</t>
    <phoneticPr fontId="1" type="noConversion"/>
  </si>
  <si>
    <t>M1</t>
    <phoneticPr fontId="1" type="noConversion"/>
  </si>
  <si>
    <t>mk14</t>
    <phoneticPr fontId="1" type="noConversion"/>
  </si>
  <si>
    <t>SLR</t>
    <phoneticPr fontId="1" type="noConversion"/>
  </si>
  <si>
    <t>AWM</t>
    <phoneticPr fontId="1" type="noConversion"/>
  </si>
  <si>
    <t>AWM: bullet speed never decreases</t>
    <phoneticPr fontId="1" type="noConversion"/>
  </si>
  <si>
    <t>pistol</t>
    <phoneticPr fontId="1" type="noConversion"/>
  </si>
  <si>
    <t>M249</t>
    <phoneticPr fontId="1" type="noConversion"/>
  </si>
  <si>
    <t>LMGs: firerates are very fast</t>
    <phoneticPr fontId="1" type="noConversion"/>
  </si>
  <si>
    <t>VSS</t>
    <phoneticPr fontId="1" type="noConversion"/>
  </si>
  <si>
    <t>VSS: travel distance is unusually far compared to 5mm using guns</t>
    <phoneticPr fontId="1" type="noConversion"/>
  </si>
  <si>
    <t>ak47</t>
    <phoneticPr fontId="1" type="noConversion"/>
  </si>
  <si>
    <t>FAMAS</t>
    <phoneticPr fontId="1" type="noConversion"/>
  </si>
  <si>
    <t>s686</t>
    <phoneticPr fontId="1" type="noConversion"/>
  </si>
  <si>
    <t>Shotguns: fire lots of bullets at once</t>
    <phoneticPr fontId="1" type="noConversion"/>
  </si>
  <si>
    <t>DBS</t>
    <phoneticPr fontId="1" type="noConversion"/>
  </si>
  <si>
    <t>usas12</t>
    <phoneticPr fontId="1" type="noConversion"/>
  </si>
  <si>
    <t>ump45</t>
    <phoneticPr fontId="1" type="noConversion"/>
  </si>
  <si>
    <t>.45ACP</t>
    <phoneticPr fontId="1" type="noConversion"/>
  </si>
  <si>
    <t>vector</t>
    <phoneticPr fontId="1" type="noConversion"/>
  </si>
  <si>
    <t>mp5</t>
    <phoneticPr fontId="1" type="noConversion"/>
  </si>
  <si>
    <t>Melee</t>
    <phoneticPr fontId="1" type="noConversion"/>
  </si>
  <si>
    <t>fist</t>
    <phoneticPr fontId="1" type="noConversion"/>
  </si>
  <si>
    <t>Inf</t>
    <phoneticPr fontId="1" type="noConversion"/>
  </si>
  <si>
    <t>melee weapons: inf ammo</t>
    <phoneticPr fontId="1" type="noConversion"/>
  </si>
  <si>
    <t>knife</t>
    <phoneticPr fontId="1" type="noConversion"/>
  </si>
  <si>
    <t>bat</t>
    <phoneticPr fontId="1" type="noConversion"/>
  </si>
  <si>
    <t>ARMOR</t>
    <phoneticPr fontId="1" type="noConversion"/>
  </si>
  <si>
    <t>effect</t>
    <phoneticPr fontId="1" type="noConversion"/>
  </si>
  <si>
    <t>effective to</t>
    <phoneticPr fontId="1" type="noConversion"/>
  </si>
  <si>
    <t>reduce</t>
    <phoneticPr fontId="1" type="noConversion"/>
  </si>
  <si>
    <t xml:space="preserve">reduce damage by 10% </t>
    <phoneticPr fontId="1" type="noConversion"/>
  </si>
  <si>
    <t>damage&gt;3: reduce 30%</t>
    <phoneticPr fontId="1" type="noConversion"/>
  </si>
  <si>
    <t>heavy weapons (7mm guns / damage&gt;3)</t>
    <phoneticPr fontId="1" type="noConversion"/>
  </si>
  <si>
    <t>absorb</t>
    <phoneticPr fontId="1" type="noConversion"/>
  </si>
  <si>
    <t>damage absorbed by 0.2</t>
    <phoneticPr fontId="1" type="noConversion"/>
  </si>
  <si>
    <t>damage&gt;0.5: absorb 0.4</t>
    <phoneticPr fontId="1" type="noConversion"/>
  </si>
  <si>
    <t>light weapons (other)</t>
    <phoneticPr fontId="1" type="noConversion"/>
  </si>
  <si>
    <t>grenade launcher</t>
    <phoneticPr fontId="1" type="noConversion"/>
  </si>
  <si>
    <t>fragment</t>
    <phoneticPr fontId="1" type="noConversion"/>
  </si>
  <si>
    <t>tileSize</t>
    <phoneticPr fontId="1" type="noConversion"/>
  </si>
  <si>
    <t>Scopes</t>
    <phoneticPr fontId="1" type="noConversion"/>
  </si>
  <si>
    <t>Not available (due to lagging)</t>
    <phoneticPr fontId="1" type="noConversion"/>
  </si>
  <si>
    <t>Sight dist</t>
    <phoneticPr fontId="1" type="noConversion"/>
  </si>
  <si>
    <t>Sight dist (projectiles)</t>
    <phoneticPr fontId="1" type="noConversion"/>
  </si>
  <si>
    <t>projectile explodes into 12 fragments / More friction applied</t>
    <phoneticPr fontId="1" type="noConversion"/>
  </si>
  <si>
    <t>fragHitNum</t>
    <phoneticPr fontId="1" type="noConversion"/>
  </si>
  <si>
    <t>non usable</t>
    <phoneticPr fontId="1" type="noConversion"/>
  </si>
  <si>
    <t>Hard</t>
    <phoneticPr fontId="1" type="noConversion"/>
  </si>
  <si>
    <t>playerHealth</t>
    <phoneticPr fontId="1" type="noConversion"/>
  </si>
  <si>
    <t>bullet destination cannot be seen</t>
    <phoneticPr fontId="1" type="noConversion"/>
  </si>
  <si>
    <t>can be seen in normal ranges</t>
    <phoneticPr fontId="1" type="noConversion"/>
  </si>
  <si>
    <t>house</t>
    <phoneticPr fontId="1" type="noConversion"/>
  </si>
  <si>
    <t>Some constants</t>
    <phoneticPr fontId="1" type="noConversion"/>
  </si>
  <si>
    <t>tank buster</t>
    <phoneticPr fontId="1" type="noConversion"/>
  </si>
  <si>
    <t>rocket</t>
    <phoneticPr fontId="1" type="noConversion"/>
  </si>
  <si>
    <t>Designed to destroy a tank (too slow bullet for practical fights)</t>
    <phoneticPr fontId="1" type="noConversion"/>
  </si>
  <si>
    <t>TURRET uses this weapon</t>
    <phoneticPr fontId="1" type="noConversion"/>
  </si>
  <si>
    <t>APC uses this weapon</t>
    <phoneticPr fontId="1" type="noConversion"/>
  </si>
  <si>
    <t>TANK uses this weapon</t>
    <phoneticPr fontId="1" type="noConversion"/>
  </si>
  <si>
    <t>DPS is based on direct hit</t>
    <phoneticPr fontId="1" type="noConversion"/>
  </si>
  <si>
    <t>Vehicles</t>
    <phoneticPr fontId="1" type="noConversion"/>
  </si>
  <si>
    <t>car</t>
    <phoneticPr fontId="1" type="noConversion"/>
  </si>
  <si>
    <t>Fennek</t>
    <phoneticPr fontId="1" type="noConversion"/>
  </si>
  <si>
    <t>APC</t>
    <phoneticPr fontId="1" type="noConversion"/>
  </si>
  <si>
    <t>tank</t>
    <phoneticPr fontId="1" type="noConversion"/>
  </si>
  <si>
    <t>Radius</t>
    <phoneticPr fontId="1" type="noConversion"/>
  </si>
  <si>
    <t>Health</t>
    <phoneticPr fontId="1" type="noConversion"/>
  </si>
  <si>
    <t>Speed</t>
    <phoneticPr fontId="1" type="noConversion"/>
  </si>
  <si>
    <t>Turret</t>
    <phoneticPr fontId="1" type="noConversion"/>
  </si>
  <si>
    <t>turret</t>
    <phoneticPr fontId="1" type="noConversion"/>
  </si>
  <si>
    <t>grenadeLauncher</t>
    <phoneticPr fontId="1" type="noConversion"/>
  </si>
  <si>
    <t>none</t>
    <phoneticPr fontId="1" type="noConversion"/>
  </si>
  <si>
    <t xml:space="preserve">no reload </t>
    <phoneticPr fontId="1" type="noConversion"/>
  </si>
  <si>
    <t>Protection radius</t>
    <phoneticPr fontId="1" type="noConversion"/>
  </si>
  <si>
    <t xml:space="preserve">player radius </t>
    <phoneticPr fontId="1" type="noConversion"/>
  </si>
  <si>
    <t xml:space="preserve"> (for refernce)</t>
    <phoneticPr fontId="1" type="noConversion"/>
  </si>
  <si>
    <t>effective</t>
    <phoneticPr fontId="1" type="noConversion"/>
  </si>
  <si>
    <t># of guns</t>
    <phoneticPr fontId="1" type="noConversion"/>
  </si>
  <si>
    <t>Piercing #</t>
    <phoneticPr fontId="1" type="noConversion"/>
  </si>
  <si>
    <t>Protected</t>
    <phoneticPr fontId="1" type="noConversion"/>
  </si>
  <si>
    <t>raptor</t>
    <phoneticPr fontId="1" type="noConversion"/>
  </si>
  <si>
    <t>MOBILITY</t>
    <phoneticPr fontId="1" type="noConversion"/>
  </si>
  <si>
    <t>PERFORMANCE</t>
    <phoneticPr fontId="1" type="noConversion"/>
  </si>
  <si>
    <t>POWER</t>
    <phoneticPr fontId="1" type="noConversion"/>
  </si>
  <si>
    <t>RESILIENCE</t>
    <phoneticPr fontId="1" type="noConversion"/>
  </si>
  <si>
    <t>health cap</t>
    <phoneticPr fontId="1" type="noConversion"/>
  </si>
  <si>
    <t>speed cap</t>
    <phoneticPr fontId="1" type="noConversion"/>
  </si>
  <si>
    <t>DPS cap</t>
    <phoneticPr fontId="1" type="noConversion"/>
  </si>
  <si>
    <t>guns cap</t>
    <phoneticPr fontId="1" type="noConversion"/>
  </si>
  <si>
    <t>TOTAL</t>
    <phoneticPr fontId="1" type="noConversion"/>
  </si>
  <si>
    <t>Max rating</t>
    <phoneticPr fontId="1" type="noConversion"/>
  </si>
  <si>
    <t>B2</t>
    <phoneticPr fontId="1" type="noConversion"/>
  </si>
  <si>
    <t>tankBuster</t>
    <phoneticPr fontId="1" type="noConversion"/>
  </si>
  <si>
    <t>Stopping power</t>
    <phoneticPr fontId="1" type="noConversion"/>
  </si>
  <si>
    <t>Becareful not to shoot yourself!</t>
    <phoneticPr fontId="1" type="noConversion"/>
  </si>
  <si>
    <t>Words</t>
    <phoneticPr fontId="1" type="noConversion"/>
  </si>
  <si>
    <t>Cannot Move…</t>
    <phoneticPr fontId="1" type="noConversion"/>
  </si>
  <si>
    <t>Fastest Vehicle in the game!</t>
    <phoneticPr fontId="1" type="noConversion"/>
  </si>
  <si>
    <t>Slowest moving thing</t>
    <phoneticPr fontId="1" type="noConversion"/>
  </si>
  <si>
    <t>Cannot shoot…</t>
    <phoneticPr fontId="1" type="noConversion"/>
  </si>
  <si>
    <t>Weakest, but pretty fast</t>
    <phoneticPr fontId="1" type="noConversion"/>
  </si>
  <si>
    <t>Has a powerful machine gun attached to it</t>
    <phoneticPr fontId="1" type="noConversion"/>
  </si>
  <si>
    <t>shockWave</t>
    <phoneticPr fontId="1" type="noConversion"/>
  </si>
  <si>
    <t>More friction applied / barrel &amp; vehicle explosion uses this</t>
    <phoneticPr fontId="1" type="noConversion"/>
  </si>
  <si>
    <t>Extreme friction applied / Mine &amp; TankBuster uses shockWave</t>
    <phoneticPr fontId="1" type="noConversion"/>
  </si>
  <si>
    <t>Placeable</t>
    <phoneticPr fontId="1" type="noConversion"/>
  </si>
  <si>
    <t>barrel</t>
    <phoneticPr fontId="1" type="noConversion"/>
  </si>
  <si>
    <t>mine</t>
    <phoneticPr fontId="1" type="noConversion"/>
  </si>
  <si>
    <t>get close for certain amt of time</t>
    <phoneticPr fontId="1" type="noConversion"/>
  </si>
  <si>
    <t>barrel hp&lt;=0</t>
    <phoneticPr fontId="1" type="noConversion"/>
  </si>
  <si>
    <t>Toggle method</t>
    <phoneticPr fontId="1" type="noConversion"/>
  </si>
  <si>
    <t>BlastNum</t>
    <phoneticPr fontId="1" type="noConversion"/>
  </si>
  <si>
    <t>Explosion Type</t>
    <phoneticPr fontId="1" type="noConversion"/>
  </si>
  <si>
    <t>total damage</t>
    <phoneticPr fontId="1" type="noConversion"/>
  </si>
  <si>
    <t>Airstrike</t>
  </si>
  <si>
    <t>Color</t>
    <phoneticPr fontId="1" type="noConversion"/>
  </si>
  <si>
    <t>Description</t>
    <phoneticPr fontId="1" type="noConversion"/>
  </si>
  <si>
    <t>red</t>
    <phoneticPr fontId="1" type="noConversion"/>
  </si>
  <si>
    <t>green</t>
    <phoneticPr fontId="1" type="noConversion"/>
  </si>
  <si>
    <t>yellow</t>
    <phoneticPr fontId="1" type="noConversion"/>
  </si>
  <si>
    <t>white</t>
    <phoneticPr fontId="1" type="noConversion"/>
  </si>
  <si>
    <t>StrikeNum</t>
    <phoneticPr fontId="1" type="noConversion"/>
  </si>
  <si>
    <t>BOMB</t>
    <phoneticPr fontId="1" type="noConversion"/>
  </si>
  <si>
    <t>SUPPLY</t>
    <phoneticPr fontId="1" type="noConversion"/>
  </si>
  <si>
    <t>REQUEST VEHICLE</t>
    <phoneticPr fontId="1" type="noConversion"/>
  </si>
  <si>
    <t>TRANSPORT</t>
    <phoneticPr fontId="1" type="noConversion"/>
  </si>
  <si>
    <t>2 ~ 5</t>
    <phoneticPr fontId="1" type="noConversion"/>
  </si>
  <si>
    <t>Bombarding with shockwaves</t>
    <phoneticPr fontId="1" type="noConversion"/>
  </si>
  <si>
    <t>Drop a tank</t>
    <phoneticPr fontId="1" type="noConversion"/>
  </si>
  <si>
    <t>Drop one of these guns [grenade launcer, AWM, tank buster], and a scope(+2), and an armor (reduce)</t>
    <phoneticPr fontId="1" type="noConversion"/>
  </si>
  <si>
    <t>Can transport the caller player when able to pickup. Player then can get off the plane on its route.</t>
    <phoneticPr fontId="1" type="noConversion"/>
  </si>
  <si>
    <t>Detail</t>
    <phoneticPr fontId="1" type="noConversion"/>
  </si>
  <si>
    <t>Drop two bombs at a time</t>
    <phoneticPr fontId="1" type="noConversion"/>
  </si>
  <si>
    <t>When players are within the pickup range near the initial location and not in a house, and not riding a vehicle</t>
    <phoneticPr fontId="1" type="noConversion"/>
  </si>
  <si>
    <t>flare gun</t>
    <phoneticPr fontId="1" type="noConversion"/>
  </si>
  <si>
    <t>30 ~ 320</t>
    <phoneticPr fontId="1" type="noConversion"/>
  </si>
  <si>
    <t>Not reloadable. Shoots upto player's cursor location with maximum distance fixed</t>
    <phoneticPr fontId="1" type="noConversion"/>
  </si>
  <si>
    <t>you cannot fire before fire rate is passed</t>
    <phoneticPr fontId="1" type="noConversion"/>
  </si>
  <si>
    <t>red, green, yellow, white</t>
    <phoneticPr fontId="1" type="noConversion"/>
  </si>
  <si>
    <t>unkillable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</si>
</sst>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6"/>
      <color theme="1"/>
      <name val="맑은 고딕"/>
      <family val="2"/>
      <scheme val="minor"/>
    </font>
    <font>
      <sz val="6"/>
      <color theme="1"/>
      <name val="맑은 고딕"/>
      <family val="3"/>
      <charset val="129"/>
      <scheme val="minor"/>
    </font>
    <font>
      <sz val="8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b/>
      <sz val="8"/>
      <color theme="0"/>
      <name val="맑은 고딕"/>
      <family val="3"/>
      <charset val="129"/>
      <scheme val="minor"/>
    </font>
    <font>
      <b/>
      <sz val="7"/>
      <color theme="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5"/>
      <name val="맑은 고딕"/>
      <family val="3"/>
      <charset val="129"/>
      <scheme val="minor"/>
    </font>
    <font>
      <b/>
      <sz val="11"/>
      <color theme="9"/>
      <name val="맑은 고딕"/>
      <family val="3"/>
      <charset val="129"/>
      <scheme val="minor"/>
    </font>
    <font>
      <b/>
      <sz val="11"/>
      <color theme="4" tint="0.39997558519241921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b/>
      <sz val="11"/>
      <color rgb="FFFFC000"/>
      <name val="맑은 고딕"/>
      <family val="3"/>
      <charset val="129"/>
      <scheme val="minor"/>
    </font>
    <font>
      <b/>
      <sz val="11"/>
      <color rgb="FF92D050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b/>
      <sz val="11"/>
      <color rgb="FF7030A0"/>
      <name val="맑은 고딕"/>
      <family val="3"/>
      <charset val="129"/>
      <scheme val="minor"/>
    </font>
    <font>
      <sz val="11"/>
      <color rgb="FFFFC000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0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i/>
      <sz val="11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8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/>
    <xf numFmtId="0" fontId="0" fillId="2" borderId="0" xfId="0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8" fillId="11" borderId="0" xfId="0" applyFont="1" applyFill="1"/>
    <xf numFmtId="0" fontId="8" fillId="12" borderId="1" xfId="0" applyFont="1" applyFill="1" applyBorder="1"/>
    <xf numFmtId="0" fontId="8" fillId="12" borderId="0" xfId="0" applyFont="1" applyFill="1"/>
    <xf numFmtId="0" fontId="0" fillId="13" borderId="2" xfId="0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2" xfId="0" applyBorder="1" applyAlignment="1">
      <alignment horizontal="right"/>
    </xf>
    <xf numFmtId="0" fontId="11" fillId="0" borderId="2" xfId="0" applyFont="1" applyBorder="1" applyAlignment="1">
      <alignment horizontal="right" vertical="center"/>
    </xf>
    <xf numFmtId="0" fontId="5" fillId="14" borderId="2" xfId="0" applyFont="1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12" fillId="0" borderId="2" xfId="0" applyFont="1" applyBorder="1" applyAlignment="1">
      <alignment horizontal="right" vertical="center"/>
    </xf>
    <xf numFmtId="0" fontId="5" fillId="15" borderId="2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12" fillId="0" borderId="3" xfId="0" applyFont="1" applyBorder="1" applyAlignment="1">
      <alignment horizontal="right" vertical="center"/>
    </xf>
    <xf numFmtId="0" fontId="5" fillId="16" borderId="2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right" vertical="center"/>
    </xf>
    <xf numFmtId="0" fontId="14" fillId="0" borderId="3" xfId="0" applyFont="1" applyBorder="1" applyAlignment="1">
      <alignment horizontal="right" vertical="center"/>
    </xf>
    <xf numFmtId="0" fontId="13" fillId="0" borderId="2" xfId="0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right" vertical="center"/>
    </xf>
    <xf numFmtId="0" fontId="15" fillId="0" borderId="3" xfId="0" applyFont="1" applyBorder="1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0" fillId="18" borderId="0" xfId="0" applyFill="1" applyAlignment="1">
      <alignment horizontal="center" vertical="center"/>
    </xf>
    <xf numFmtId="0" fontId="16" fillId="17" borderId="0" xfId="0" applyFont="1" applyFill="1" applyAlignment="1">
      <alignment horizontal="center" vertical="center"/>
    </xf>
    <xf numFmtId="0" fontId="0" fillId="13" borderId="0" xfId="0" applyFill="1"/>
    <xf numFmtId="0" fontId="0" fillId="11" borderId="0" xfId="0" applyFill="1"/>
    <xf numFmtId="0" fontId="17" fillId="17" borderId="0" xfId="0" applyFont="1" applyFill="1" applyAlignment="1">
      <alignment horizontal="center" vertical="center"/>
    </xf>
    <xf numFmtId="0" fontId="18" fillId="10" borderId="0" xfId="0" applyFont="1" applyFill="1" applyAlignment="1">
      <alignment horizontal="right" vertical="center"/>
    </xf>
    <xf numFmtId="0" fontId="12" fillId="10" borderId="0" xfId="0" applyFont="1" applyFill="1" applyAlignment="1">
      <alignment horizontal="right" vertical="center"/>
    </xf>
    <xf numFmtId="0" fontId="20" fillId="10" borderId="0" xfId="0" applyFont="1" applyFill="1" applyAlignment="1">
      <alignment horizontal="right" vertical="center"/>
    </xf>
    <xf numFmtId="0" fontId="19" fillId="10" borderId="0" xfId="0" applyFont="1" applyFill="1" applyAlignment="1">
      <alignment horizontal="right" vertical="center"/>
    </xf>
    <xf numFmtId="0" fontId="21" fillId="10" borderId="0" xfId="0" applyFont="1" applyFill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3" fillId="10" borderId="0" xfId="0" applyFont="1" applyFill="1" applyAlignment="1">
      <alignment horizontal="right" vertical="center"/>
    </xf>
    <xf numFmtId="0" fontId="24" fillId="10" borderId="0" xfId="0" applyFont="1" applyFill="1" applyAlignment="1">
      <alignment horizontal="right" vertical="center"/>
    </xf>
    <xf numFmtId="0" fontId="25" fillId="10" borderId="0" xfId="0" applyFont="1" applyFill="1" applyAlignment="1">
      <alignment horizontal="right" vertical="center"/>
    </xf>
    <xf numFmtId="0" fontId="26" fillId="10" borderId="0" xfId="0" applyFont="1" applyFill="1" applyAlignment="1">
      <alignment horizontal="right" vertical="center"/>
    </xf>
    <xf numFmtId="0" fontId="11" fillId="10" borderId="0" xfId="0" applyFont="1" applyFill="1" applyAlignment="1">
      <alignment horizontal="right" vertical="center"/>
    </xf>
    <xf numFmtId="0" fontId="11" fillId="10" borderId="2" xfId="0" applyFont="1" applyFill="1" applyBorder="1" applyAlignment="1">
      <alignment horizontal="right" vertical="center"/>
    </xf>
    <xf numFmtId="0" fontId="17" fillId="13" borderId="0" xfId="0" applyFont="1" applyFill="1"/>
    <xf numFmtId="0" fontId="0" fillId="12" borderId="0" xfId="0" applyFill="1"/>
    <xf numFmtId="0" fontId="0" fillId="4" borderId="0" xfId="0" applyFill="1"/>
    <xf numFmtId="0" fontId="27" fillId="6" borderId="0" xfId="0" applyFont="1" applyFill="1"/>
    <xf numFmtId="0" fontId="0" fillId="19" borderId="0" xfId="0" applyFill="1"/>
    <xf numFmtId="0" fontId="0" fillId="20" borderId="0" xfId="0" applyFill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right"/>
    </xf>
    <xf numFmtId="0" fontId="26" fillId="10" borderId="2" xfId="0" applyFont="1" applyFill="1" applyBorder="1" applyAlignment="1">
      <alignment horizontal="right" vertical="center"/>
    </xf>
    <xf numFmtId="0" fontId="23" fillId="10" borderId="2" xfId="0" applyFont="1" applyFill="1" applyBorder="1" applyAlignment="1">
      <alignment horizontal="right" vertical="center"/>
    </xf>
    <xf numFmtId="0" fontId="24" fillId="10" borderId="2" xfId="0" applyFont="1" applyFill="1" applyBorder="1" applyAlignment="1">
      <alignment horizontal="right" vertical="center"/>
    </xf>
    <xf numFmtId="0" fontId="20" fillId="10" borderId="2" xfId="0" applyFont="1" applyFill="1" applyBorder="1" applyAlignment="1">
      <alignment horizontal="right" vertical="center"/>
    </xf>
    <xf numFmtId="0" fontId="21" fillId="10" borderId="2" xfId="0" applyFont="1" applyFill="1" applyBorder="1" applyAlignment="1">
      <alignment horizontal="right" vertical="center"/>
    </xf>
    <xf numFmtId="0" fontId="19" fillId="10" borderId="2" xfId="0" applyFont="1" applyFill="1" applyBorder="1" applyAlignment="1">
      <alignment horizontal="right" vertical="center"/>
    </xf>
    <xf numFmtId="0" fontId="18" fillId="10" borderId="2" xfId="0" applyFont="1" applyFill="1" applyBorder="1" applyAlignment="1">
      <alignment horizontal="right" vertical="center"/>
    </xf>
    <xf numFmtId="0" fontId="12" fillId="10" borderId="2" xfId="0" applyFont="1" applyFill="1" applyBorder="1" applyAlignment="1">
      <alignment horizontal="right" vertical="center"/>
    </xf>
    <xf numFmtId="0" fontId="11" fillId="10" borderId="3" xfId="0" applyFont="1" applyFill="1" applyBorder="1"/>
    <xf numFmtId="0" fontId="0" fillId="0" borderId="2" xfId="0" applyBorder="1" applyAlignment="1">
      <alignment horizontal="center"/>
    </xf>
    <xf numFmtId="0" fontId="0" fillId="21" borderId="0" xfId="0" applyFill="1"/>
    <xf numFmtId="0" fontId="28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/>
    </xf>
    <xf numFmtId="0" fontId="28" fillId="22" borderId="2" xfId="0" applyFont="1" applyFill="1" applyBorder="1" applyAlignment="1">
      <alignment horizontal="center"/>
    </xf>
    <xf numFmtId="0" fontId="28" fillId="11" borderId="2" xfId="0" applyFont="1" applyFill="1" applyBorder="1" applyAlignment="1">
      <alignment horizontal="center"/>
    </xf>
    <xf numFmtId="0" fontId="28" fillId="24" borderId="2" xfId="0" applyFont="1" applyFill="1" applyBorder="1" applyAlignment="1">
      <alignment horizontal="center"/>
    </xf>
    <xf numFmtId="0" fontId="16" fillId="17" borderId="1" xfId="0" applyFont="1" applyFill="1" applyBorder="1" applyAlignment="1">
      <alignment horizontal="center" vertical="center"/>
    </xf>
    <xf numFmtId="0" fontId="28" fillId="12" borderId="2" xfId="0" applyFont="1" applyFill="1" applyBorder="1" applyAlignment="1">
      <alignment horizontal="center"/>
    </xf>
    <xf numFmtId="0" fontId="29" fillId="17" borderId="0" xfId="0" applyFont="1" applyFill="1" applyAlignment="1">
      <alignment horizontal="center" vertical="center"/>
    </xf>
    <xf numFmtId="0" fontId="31" fillId="17" borderId="0" xfId="0" applyFont="1" applyFill="1" applyAlignment="1">
      <alignment horizontal="center" vertical="center"/>
    </xf>
    <xf numFmtId="0" fontId="28" fillId="23" borderId="1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28" fillId="13" borderId="2" xfId="0" applyFont="1" applyFill="1" applyBorder="1" applyAlignment="1">
      <alignment horizontal="center"/>
    </xf>
    <xf numFmtId="0" fontId="32" fillId="3" borderId="0" xfId="0" applyFont="1" applyFill="1" applyAlignment="1">
      <alignment horizontal="center" vertical="center"/>
    </xf>
    <xf numFmtId="0" fontId="28" fillId="0" borderId="2" xfId="0" applyFont="1" applyBorder="1" applyAlignment="1">
      <alignment horizontal="left"/>
    </xf>
    <xf numFmtId="0" fontId="32" fillId="3" borderId="1" xfId="0" applyFont="1" applyFill="1" applyBorder="1" applyAlignment="1">
      <alignment horizontal="center" vertical="center"/>
    </xf>
    <xf numFmtId="0" fontId="28" fillId="0" borderId="2" xfId="0" applyFont="1" applyBorder="1" applyAlignment="1">
      <alignment horizontal="center"/>
    </xf>
    <xf numFmtId="0" fontId="28" fillId="23" borderId="2" xfId="0" applyFont="1" applyFill="1" applyBorder="1" applyAlignment="1">
      <alignment horizontal="center"/>
    </xf>
    <xf numFmtId="0" fontId="30" fillId="17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6" fillId="17" borderId="1" xfId="0" applyFont="1" applyFill="1" applyBorder="1" applyAlignment="1">
      <alignment horizontal="center" vertical="center"/>
    </xf>
    <xf numFmtId="0" fontId="33" fillId="10" borderId="3" xfId="0" applyFont="1" applyFill="1" applyBorder="1" applyAlignment="1">
      <alignment horizontal="right" vertical="center"/>
    </xf>
    <xf numFmtId="0" fontId="3" fillId="0" borderId="0" xfId="0" applyFont="1"/>
    <xf numFmtId="0" fontId="8" fillId="0" borderId="2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86"/>
  <sheetViews>
    <sheetView tabSelected="1" zoomScaleNormal="100" workbookViewId="0">
      <selection activeCell="H8" sqref="H8"/>
    </sheetView>
  </sheetViews>
  <sheetFormatPr defaultRowHeight="17" x14ac:dyDescent="0.45"/>
  <cols>
    <col min="1" max="1" width="20.9140625" customWidth="1"/>
    <col min="9" max="9" width="10.6640625" customWidth="1"/>
    <col min="11" max="11" width="10.08203125" customWidth="1"/>
    <col min="14" max="14" width="9.33203125" customWidth="1"/>
  </cols>
  <sheetData>
    <row r="1" spans="1:35" x14ac:dyDescent="0.45">
      <c r="A1" t="s">
        <v>0</v>
      </c>
      <c r="F1" s="106" t="s">
        <v>169</v>
      </c>
      <c r="L1" s="1" t="s">
        <v>1</v>
      </c>
      <c r="M1" s="2" t="s">
        <v>2</v>
      </c>
      <c r="N1" s="3" t="s">
        <v>3</v>
      </c>
      <c r="O1" s="4" t="s">
        <v>4</v>
      </c>
      <c r="P1" s="5" t="s">
        <v>5</v>
      </c>
      <c r="Q1" s="6" t="s">
        <v>6</v>
      </c>
      <c r="T1" s="7" t="s">
        <v>7</v>
      </c>
    </row>
    <row r="2" spans="1:35" x14ac:dyDescent="0.45">
      <c r="A2" s="8" t="s">
        <v>8</v>
      </c>
      <c r="B2" s="9" t="s">
        <v>9</v>
      </c>
      <c r="C2" s="9" t="s">
        <v>10</v>
      </c>
      <c r="D2" s="9" t="s">
        <v>11</v>
      </c>
      <c r="E2" s="10" t="s">
        <v>12</v>
      </c>
      <c r="F2" s="9" t="s">
        <v>13</v>
      </c>
      <c r="G2" s="9" t="s">
        <v>14</v>
      </c>
      <c r="H2" s="9" t="s">
        <v>15</v>
      </c>
      <c r="I2" s="10" t="s">
        <v>16</v>
      </c>
      <c r="J2" s="9" t="s">
        <v>17</v>
      </c>
      <c r="K2" s="11" t="s">
        <v>77</v>
      </c>
      <c r="L2" s="12" t="s">
        <v>18</v>
      </c>
      <c r="M2" s="13" t="s">
        <v>19</v>
      </c>
      <c r="N2" s="14" t="s">
        <v>20</v>
      </c>
      <c r="O2" s="15" t="s">
        <v>21</v>
      </c>
      <c r="P2" s="16" t="s">
        <v>22</v>
      </c>
      <c r="Q2" s="17" t="s">
        <v>23</v>
      </c>
      <c r="R2" s="18" t="s">
        <v>24</v>
      </c>
      <c r="T2" s="19" t="s">
        <v>25</v>
      </c>
      <c r="U2" s="20" t="s">
        <v>26</v>
      </c>
      <c r="V2" s="19" t="s">
        <v>27</v>
      </c>
      <c r="W2" s="21" t="s">
        <v>28</v>
      </c>
      <c r="Y2" t="s">
        <v>29</v>
      </c>
      <c r="AF2" s="65" t="s">
        <v>91</v>
      </c>
      <c r="AG2" s="50"/>
      <c r="AH2" s="50"/>
    </row>
    <row r="3" spans="1:35" x14ac:dyDescent="0.45">
      <c r="A3" s="22" t="s">
        <v>69</v>
      </c>
      <c r="B3" s="55">
        <v>576</v>
      </c>
      <c r="C3" s="24">
        <v>0</v>
      </c>
      <c r="D3" s="24">
        <v>1</v>
      </c>
      <c r="E3" s="23">
        <v>3</v>
      </c>
      <c r="F3" s="23">
        <v>1600</v>
      </c>
      <c r="G3" s="23">
        <v>13</v>
      </c>
      <c r="H3" s="23">
        <v>3</v>
      </c>
      <c r="I3" s="23">
        <v>1800</v>
      </c>
      <c r="J3" s="23" t="s">
        <v>70</v>
      </c>
      <c r="K3" s="23">
        <v>6</v>
      </c>
      <c r="L3" s="23">
        <f>ROUND(D3*(E3+fragHitNum*frag_damage)/F3*1000,2)</f>
        <v>9.3800000000000008</v>
      </c>
      <c r="M3" s="23">
        <f>ROUND(D3*(E3+fragHitNum*frag_damage)/(F3+I3)*1000,2)</f>
        <v>4.41</v>
      </c>
      <c r="N3" s="23">
        <f>D3*(E3+fragHitNum*frag_damage)*H3</f>
        <v>45</v>
      </c>
      <c r="O3" s="29">
        <f>ROUND(playerHealth/(D3*(E3+fragHitNum*frag_damage)),1)</f>
        <v>0.5</v>
      </c>
      <c r="P3" s="23">
        <f t="shared" ref="P3:P5" si="0">-(FLOOR(G3/6,1)-1)</f>
        <v>-1</v>
      </c>
      <c r="Q3" s="23">
        <f t="shared" ref="Q3:Q5" si="1">ROUND(C3/G3,3)</f>
        <v>0</v>
      </c>
      <c r="R3" s="26" t="s">
        <v>30</v>
      </c>
      <c r="S3" s="23"/>
      <c r="T3" s="23">
        <f xml:space="preserve"> D3*(E3+fragHitNum*frag_damage)*9/10</f>
        <v>13.5</v>
      </c>
      <c r="U3" s="32">
        <f>ROUND(playerHealth/(T3),2)</f>
        <v>0.59</v>
      </c>
      <c r="V3" s="23">
        <f>D3*((E3+fragHitNum*frag_damage)-0.4)</f>
        <v>14.6</v>
      </c>
      <c r="W3" s="32">
        <f>ROUND(playerHealth/(V3),2)</f>
        <v>0.55000000000000004</v>
      </c>
      <c r="X3" s="23"/>
      <c r="Y3" t="s">
        <v>76</v>
      </c>
      <c r="AF3" s="84" t="s">
        <v>90</v>
      </c>
      <c r="AG3" s="84"/>
      <c r="AH3" s="84"/>
      <c r="AI3" s="84"/>
    </row>
    <row r="4" spans="1:35" x14ac:dyDescent="0.45">
      <c r="A4" s="27" t="s">
        <v>70</v>
      </c>
      <c r="B4" s="64">
        <v>192</v>
      </c>
      <c r="C4" s="28">
        <v>3</v>
      </c>
      <c r="D4" s="28">
        <v>1</v>
      </c>
      <c r="E4" s="28">
        <v>2</v>
      </c>
      <c r="F4" s="28">
        <v>100</v>
      </c>
      <c r="G4" s="28">
        <v>8</v>
      </c>
      <c r="H4" s="28">
        <v>5</v>
      </c>
      <c r="I4" s="28">
        <v>1400</v>
      </c>
      <c r="J4" s="28" t="s">
        <v>70</v>
      </c>
      <c r="K4" s="28"/>
      <c r="L4" s="23">
        <f>ROUND(D4*E4/F4*1000,2)</f>
        <v>20</v>
      </c>
      <c r="M4" s="23">
        <f>ROUND(D4*E4/(F4+I4)*1000,2)</f>
        <v>1.33</v>
      </c>
      <c r="N4" s="23">
        <f>D4*E4*H4</f>
        <v>10</v>
      </c>
      <c r="O4" s="38">
        <f>ROUND(playerHealth/(D4*E4),1)</f>
        <v>4</v>
      </c>
      <c r="P4" s="23">
        <f t="shared" si="0"/>
        <v>0</v>
      </c>
      <c r="Q4" s="23">
        <f t="shared" si="1"/>
        <v>0.375</v>
      </c>
      <c r="R4" s="37" t="s">
        <v>78</v>
      </c>
      <c r="S4" s="28"/>
      <c r="T4" s="23">
        <f t="shared" ref="T4" si="2" xml:space="preserve"> D4*E4*7/10</f>
        <v>1.4</v>
      </c>
      <c r="U4" s="39">
        <f>ROUND(playerHealth/(T4),2)</f>
        <v>5.71</v>
      </c>
      <c r="V4" s="23">
        <f t="shared" ref="V4" si="3">D4*(E4-0.4)</f>
        <v>1.6</v>
      </c>
      <c r="W4" s="31">
        <f>ROUND(playerHealth/(V4),2)</f>
        <v>5</v>
      </c>
      <c r="X4" s="28"/>
      <c r="Y4" t="s">
        <v>135</v>
      </c>
    </row>
    <row r="5" spans="1:35" x14ac:dyDescent="0.45">
      <c r="A5" s="27" t="s">
        <v>85</v>
      </c>
      <c r="B5" s="57">
        <v>832</v>
      </c>
      <c r="C5" s="28">
        <v>0</v>
      </c>
      <c r="D5" s="73">
        <v>1</v>
      </c>
      <c r="E5" s="28">
        <v>50</v>
      </c>
      <c r="F5" s="28">
        <v>4000</v>
      </c>
      <c r="G5" s="28">
        <v>8</v>
      </c>
      <c r="H5" s="28">
        <v>1</v>
      </c>
      <c r="I5" s="28">
        <v>6000</v>
      </c>
      <c r="J5" s="28" t="s">
        <v>86</v>
      </c>
      <c r="K5" s="28">
        <v>6</v>
      </c>
      <c r="L5" s="23">
        <f>ROUND(D5*(E5+fraghitnum2*shockWave_damage)/F5*1000,2)</f>
        <v>35</v>
      </c>
      <c r="M5" s="23">
        <f>ROUND(D5*(E5+fraghitnum2*shockWave_damage)/(F5+I5)*1000,2)</f>
        <v>14</v>
      </c>
      <c r="N5" s="23">
        <f>D5*(E5+fraghitnum2*shockWave_damage)*H5</f>
        <v>140</v>
      </c>
      <c r="O5" s="29">
        <f>ROUND(playerHealth/(D5*(E5+fraghitnum2*shockWave_damage)),1)</f>
        <v>0.1</v>
      </c>
      <c r="P5" s="23">
        <f t="shared" si="0"/>
        <v>0</v>
      </c>
      <c r="Q5" s="23">
        <f t="shared" si="1"/>
        <v>0</v>
      </c>
      <c r="R5" s="30" t="s">
        <v>79</v>
      </c>
      <c r="S5" s="23"/>
      <c r="T5" s="23">
        <f xml:space="preserve"> D5*E5*7/10 +D5*fraghitnum2*shockWave_damage*7/10</f>
        <v>98</v>
      </c>
      <c r="U5" s="32">
        <f>ROUND(playerHealth/(T5),2)</f>
        <v>0.08</v>
      </c>
      <c r="V5" s="23">
        <f>D5*((E5+fraghitnum2*shockWave_damage)-0.4)</f>
        <v>139.6</v>
      </c>
      <c r="W5" s="32">
        <f>ROUND(playerHealth/(V5),2)</f>
        <v>0.06</v>
      </c>
      <c r="X5" s="23"/>
      <c r="Y5" t="s">
        <v>87</v>
      </c>
    </row>
    <row r="6" spans="1:35" x14ac:dyDescent="0.45">
      <c r="A6" s="27" t="s">
        <v>134</v>
      </c>
      <c r="B6" s="64">
        <v>192</v>
      </c>
      <c r="C6" s="72">
        <v>6</v>
      </c>
      <c r="D6" s="72">
        <v>1</v>
      </c>
      <c r="E6" s="72">
        <v>15</v>
      </c>
      <c r="F6" s="72">
        <v>300</v>
      </c>
      <c r="G6" s="72">
        <v>18</v>
      </c>
      <c r="H6" s="72">
        <v>1</v>
      </c>
      <c r="I6" s="72">
        <v>1400</v>
      </c>
      <c r="J6" s="72" t="s">
        <v>134</v>
      </c>
      <c r="K6" s="72"/>
      <c r="L6" s="23">
        <f>ROUND(D6*E6/F6*1000,2)</f>
        <v>50</v>
      </c>
      <c r="M6" s="23">
        <f>ROUND(D6*E6/(F6+I6)*1000,2)</f>
        <v>8.82</v>
      </c>
      <c r="N6" s="23">
        <f>D6*E6*H6</f>
        <v>15</v>
      </c>
      <c r="O6" s="38">
        <f>ROUND(playerHealth/(D6*E6),1)</f>
        <v>0.5</v>
      </c>
      <c r="P6" s="23">
        <f t="shared" ref="P6:P7" si="4">-(FLOOR(G6/6,1)-1)</f>
        <v>-2</v>
      </c>
      <c r="Q6" s="23">
        <f t="shared" ref="Q6:Q7" si="5">ROUND(C6/G6,3)</f>
        <v>0.33300000000000002</v>
      </c>
      <c r="R6" s="37" t="s">
        <v>78</v>
      </c>
      <c r="S6" s="72"/>
      <c r="T6" s="23">
        <f t="shared" ref="T6" si="6" xml:space="preserve"> D6*E6*7/10</f>
        <v>10.5</v>
      </c>
      <c r="U6" s="39">
        <f>ROUND(playerHealth/(T6),2)</f>
        <v>0.76</v>
      </c>
      <c r="V6" s="23">
        <f t="shared" ref="V6" si="7">D6*(E6-0.4)</f>
        <v>14.6</v>
      </c>
      <c r="W6" s="31">
        <f>ROUND(playerHealth/(V6),2)</f>
        <v>0.55000000000000004</v>
      </c>
      <c r="X6" s="72"/>
      <c r="Y6" t="s">
        <v>136</v>
      </c>
    </row>
    <row r="7" spans="1:35" x14ac:dyDescent="0.45">
      <c r="A7" s="27" t="s">
        <v>166</v>
      </c>
      <c r="B7" s="105" t="s">
        <v>167</v>
      </c>
      <c r="C7" s="72">
        <v>0</v>
      </c>
      <c r="D7" s="72">
        <v>1</v>
      </c>
      <c r="E7" s="72">
        <v>0</v>
      </c>
      <c r="F7" s="72">
        <v>1000</v>
      </c>
      <c r="G7" s="72">
        <v>3</v>
      </c>
      <c r="H7" s="72">
        <v>1</v>
      </c>
      <c r="I7" s="72">
        <v>1000</v>
      </c>
      <c r="J7" s="107" t="s">
        <v>170</v>
      </c>
      <c r="K7" s="72"/>
      <c r="L7" s="23">
        <f>ROUND(D7*E7/F7*1000,2)</f>
        <v>0</v>
      </c>
      <c r="M7" s="23">
        <f>ROUND(D7*E7/(F7+I7)*1000,2)</f>
        <v>0</v>
      </c>
      <c r="N7" s="23">
        <f>D7*E7*H7</f>
        <v>0</v>
      </c>
      <c r="O7" s="38"/>
      <c r="P7" s="23">
        <f t="shared" ref="P7" si="8">-(FLOOR(G7/6,1)-1)</f>
        <v>1</v>
      </c>
      <c r="Q7" s="23">
        <f t="shared" ref="Q7" si="9">ROUND(C7/G7,3)</f>
        <v>0</v>
      </c>
      <c r="R7" s="37" t="s">
        <v>171</v>
      </c>
      <c r="S7" s="72"/>
      <c r="T7" s="23"/>
      <c r="U7" s="39"/>
      <c r="V7" s="23"/>
      <c r="W7" s="31"/>
      <c r="X7" s="72"/>
      <c r="Y7" t="s">
        <v>168</v>
      </c>
    </row>
    <row r="8" spans="1:35" x14ac:dyDescent="0.45">
      <c r="A8" s="27"/>
      <c r="B8" s="8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</row>
    <row r="10" spans="1:35" x14ac:dyDescent="0.45">
      <c r="A10" s="22" t="s">
        <v>32</v>
      </c>
      <c r="B10" s="74">
        <v>1472</v>
      </c>
      <c r="C10" s="23">
        <v>0</v>
      </c>
      <c r="D10" s="28">
        <v>1</v>
      </c>
      <c r="E10" s="23">
        <v>5</v>
      </c>
      <c r="F10" s="23">
        <v>1600</v>
      </c>
      <c r="G10" s="23">
        <v>42</v>
      </c>
      <c r="H10" s="23">
        <v>5</v>
      </c>
      <c r="I10" s="23">
        <v>4000</v>
      </c>
      <c r="J10" s="23">
        <v>7</v>
      </c>
      <c r="K10" s="23"/>
      <c r="L10" s="23">
        <f>ROUND(D10*E10/F10*1000,2)</f>
        <v>3.13</v>
      </c>
      <c r="M10" s="23">
        <f>ROUND(D10*E10/(F10+I10)*1000,2)</f>
        <v>0.89</v>
      </c>
      <c r="N10" s="23">
        <f>D10*E10*H10</f>
        <v>25</v>
      </c>
      <c r="O10" s="36">
        <f>ROUND(playerHealth/(D10*E10),1)</f>
        <v>1.6</v>
      </c>
      <c r="P10" s="23">
        <f>-(FLOOR(G10/6,1)-1)</f>
        <v>-6</v>
      </c>
      <c r="Q10" s="23">
        <f>ROUND(C10/G10,3)</f>
        <v>0</v>
      </c>
      <c r="R10" s="26" t="s">
        <v>30</v>
      </c>
      <c r="S10" s="23"/>
      <c r="T10" s="23">
        <f xml:space="preserve"> D10*E10*7/10</f>
        <v>3.5</v>
      </c>
      <c r="U10" s="34">
        <f>ROUND(playerHealth/(T10),2)</f>
        <v>2.29</v>
      </c>
      <c r="V10" s="23">
        <f>D10*(E10-0.4)</f>
        <v>4.5999999999999996</v>
      </c>
      <c r="W10" s="31">
        <f>ROUND(playerHealth/(V10),2)</f>
        <v>1.74</v>
      </c>
      <c r="X10" s="23"/>
    </row>
    <row r="11" spans="1:35" x14ac:dyDescent="0.45">
      <c r="A11" s="22" t="s">
        <v>33</v>
      </c>
      <c r="B11" s="75">
        <v>1088</v>
      </c>
      <c r="C11" s="23">
        <v>1</v>
      </c>
      <c r="D11" s="24">
        <v>1</v>
      </c>
      <c r="E11" s="23">
        <v>3</v>
      </c>
      <c r="F11" s="23">
        <v>600</v>
      </c>
      <c r="G11" s="23">
        <v>32</v>
      </c>
      <c r="H11" s="23">
        <v>14</v>
      </c>
      <c r="I11" s="23">
        <v>3300</v>
      </c>
      <c r="J11" s="23">
        <v>7</v>
      </c>
      <c r="K11" s="23"/>
      <c r="L11" s="23">
        <f>ROUND(D11*E11/F11*1000,2)</f>
        <v>5</v>
      </c>
      <c r="M11" s="23">
        <f>ROUND(D11*E11/(F11+I11)*1000,2)</f>
        <v>0.77</v>
      </c>
      <c r="N11" s="23">
        <f>D11*E11*H11</f>
        <v>42</v>
      </c>
      <c r="O11" s="25">
        <f>ROUND(playerHealth/(D11*E11),1)</f>
        <v>2.7</v>
      </c>
      <c r="P11" s="23">
        <f>-(FLOOR(G11/6,1)-1)</f>
        <v>-4</v>
      </c>
      <c r="Q11" s="23">
        <f>ROUND(C11/G11,3)</f>
        <v>3.1E-2</v>
      </c>
      <c r="R11" s="33" t="s">
        <v>31</v>
      </c>
      <c r="S11" s="23"/>
      <c r="T11" s="23">
        <f t="shared" ref="T11" si="10" xml:space="preserve"> D11*E11*9/10</f>
        <v>2.7</v>
      </c>
      <c r="U11" s="34">
        <f>ROUND(playerHealth/(T11),2)</f>
        <v>2.96</v>
      </c>
      <c r="V11" s="23">
        <f>D11*(E11-0.4)</f>
        <v>2.6</v>
      </c>
      <c r="W11" s="35">
        <f>ROUND(playerHealth/(V11),2)</f>
        <v>3.08</v>
      </c>
      <c r="X11" s="23"/>
    </row>
    <row r="12" spans="1:35" x14ac:dyDescent="0.45">
      <c r="A12" s="22" t="s">
        <v>34</v>
      </c>
      <c r="B12" s="76">
        <v>1216</v>
      </c>
      <c r="C12" s="23">
        <v>1</v>
      </c>
      <c r="D12" s="28">
        <v>1</v>
      </c>
      <c r="E12" s="23">
        <v>3.5</v>
      </c>
      <c r="F12" s="23">
        <v>350</v>
      </c>
      <c r="G12" s="23">
        <v>36</v>
      </c>
      <c r="H12" s="23">
        <v>10</v>
      </c>
      <c r="I12" s="23">
        <v>2700</v>
      </c>
      <c r="J12" s="23">
        <v>7</v>
      </c>
      <c r="K12" s="23"/>
      <c r="L12" s="23">
        <f>ROUND(D12*E12/F12*1000,2)</f>
        <v>10</v>
      </c>
      <c r="M12" s="23">
        <f>ROUND(D12*E12/(F12+I12)*1000,2)</f>
        <v>1.1499999999999999</v>
      </c>
      <c r="N12" s="23">
        <f>D12*E12*H12</f>
        <v>35</v>
      </c>
      <c r="O12" s="25">
        <f>ROUND(playerHealth/(D12*E12),1)</f>
        <v>2.2999999999999998</v>
      </c>
      <c r="P12" s="23">
        <f>-(FLOOR(G12/6,1)-1)</f>
        <v>-5</v>
      </c>
      <c r="Q12" s="23">
        <f>ROUND(C12/G12,3)</f>
        <v>2.8000000000000001E-2</v>
      </c>
      <c r="R12" s="33" t="s">
        <v>31</v>
      </c>
      <c r="S12" s="23"/>
      <c r="T12" s="23">
        <f xml:space="preserve"> D12*E12*7/10</f>
        <v>2.4500000000000002</v>
      </c>
      <c r="U12" s="35">
        <f>ROUND(playerHealth/(T12),2)</f>
        <v>3.27</v>
      </c>
      <c r="V12" s="23">
        <f>D12*(E12-0.4)</f>
        <v>3.1</v>
      </c>
      <c r="W12" s="34">
        <f>ROUND(playerHealth/(V12),2)</f>
        <v>2.58</v>
      </c>
      <c r="X12" s="23"/>
    </row>
    <row r="13" spans="1:35" x14ac:dyDescent="0.45">
      <c r="A13" s="22" t="s">
        <v>35</v>
      </c>
      <c r="B13" s="64">
        <v>1600</v>
      </c>
      <c r="C13" s="23">
        <v>0</v>
      </c>
      <c r="D13" s="24">
        <v>1</v>
      </c>
      <c r="E13" s="23">
        <v>9</v>
      </c>
      <c r="F13" s="23">
        <v>2000</v>
      </c>
      <c r="G13" s="23">
        <v>30</v>
      </c>
      <c r="H13" s="23">
        <v>7</v>
      </c>
      <c r="I13" s="23">
        <v>4000</v>
      </c>
      <c r="J13" s="23">
        <v>7</v>
      </c>
      <c r="K13" s="23"/>
      <c r="L13" s="23">
        <f>ROUND(D13*E13/F13*1000,2)</f>
        <v>4.5</v>
      </c>
      <c r="M13" s="23">
        <f>ROUND(D13*E13/(F13+I13)*1000,2)</f>
        <v>1.5</v>
      </c>
      <c r="N13" s="23">
        <f>D13*E13*H13</f>
        <v>63</v>
      </c>
      <c r="O13" s="29">
        <f>ROUND(playerHealth/(D13*E13),1)</f>
        <v>0.9</v>
      </c>
      <c r="P13" s="23">
        <f>-(FLOOR(G13/6,1)-1)</f>
        <v>-4</v>
      </c>
      <c r="Q13" s="23">
        <f>ROUND(C13/G13,3)</f>
        <v>0</v>
      </c>
      <c r="R13" s="26" t="s">
        <v>30</v>
      </c>
      <c r="S13" s="23"/>
      <c r="T13" s="23">
        <f xml:space="preserve"> D13*E13*7/10</f>
        <v>6.3</v>
      </c>
      <c r="U13" s="31">
        <f>ROUND(playerHealth/(T13),2)</f>
        <v>1.27</v>
      </c>
      <c r="V13" s="23">
        <f>D13*(E13-0.4)</f>
        <v>8.6</v>
      </c>
      <c r="W13" s="32">
        <f>ROUND(playerHealth/(V13),2)</f>
        <v>0.93</v>
      </c>
      <c r="X13" s="23"/>
      <c r="Y13" t="s">
        <v>36</v>
      </c>
    </row>
    <row r="14" spans="1:35" x14ac:dyDescent="0.45">
      <c r="A14" s="72"/>
      <c r="B14" s="71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</row>
    <row r="15" spans="1:35" x14ac:dyDescent="0.45">
      <c r="A15" s="72"/>
      <c r="B15" s="72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</row>
    <row r="16" spans="1:35" x14ac:dyDescent="0.45">
      <c r="A16" s="22" t="s">
        <v>37</v>
      </c>
      <c r="B16" s="77">
        <v>576</v>
      </c>
      <c r="C16" s="23">
        <v>3</v>
      </c>
      <c r="D16" s="24">
        <v>1</v>
      </c>
      <c r="E16" s="23">
        <v>1</v>
      </c>
      <c r="F16" s="23">
        <v>300</v>
      </c>
      <c r="G16" s="23">
        <v>15</v>
      </c>
      <c r="H16" s="23">
        <v>15</v>
      </c>
      <c r="I16" s="23">
        <v>1100</v>
      </c>
      <c r="J16" s="23">
        <v>5</v>
      </c>
      <c r="K16" s="23"/>
      <c r="L16" s="23">
        <f>ROUND(D16*E16/F16*1000,2)</f>
        <v>3.33</v>
      </c>
      <c r="M16" s="23">
        <f>ROUND(D16*E16/(F16+I16)*1000,2)</f>
        <v>0.71</v>
      </c>
      <c r="N16" s="23">
        <f>D16*E16*H16</f>
        <v>15</v>
      </c>
      <c r="O16" s="38">
        <f>ROUND(playerHealth/(D16*E16),1)</f>
        <v>8</v>
      </c>
      <c r="P16" s="23">
        <f>-(FLOOR(G16/6,1)-1)</f>
        <v>-1</v>
      </c>
      <c r="Q16" s="23">
        <f>ROUND(C16/G16,3)</f>
        <v>0.2</v>
      </c>
      <c r="R16" s="33" t="s">
        <v>31</v>
      </c>
      <c r="S16" s="23"/>
      <c r="T16" s="23">
        <f xml:space="preserve"> D16*E16*9/10</f>
        <v>0.9</v>
      </c>
      <c r="U16" s="39">
        <f>ROUND(playerHealth/(T16),2)</f>
        <v>8.89</v>
      </c>
      <c r="V16" s="23">
        <f>D16*(E16-0.4)</f>
        <v>0.6</v>
      </c>
      <c r="W16" s="39">
        <f>ROUND(playerHealth/(V16),2)</f>
        <v>13.33</v>
      </c>
      <c r="X16" s="23"/>
    </row>
    <row r="17" spans="1:35" x14ac:dyDescent="0.45">
      <c r="A17" s="22" t="s">
        <v>38</v>
      </c>
      <c r="B17" s="78">
        <v>832</v>
      </c>
      <c r="C17" s="23">
        <v>1</v>
      </c>
      <c r="D17" s="28">
        <v>1</v>
      </c>
      <c r="E17" s="23">
        <v>1</v>
      </c>
      <c r="F17" s="23">
        <v>75</v>
      </c>
      <c r="G17" s="23">
        <v>23</v>
      </c>
      <c r="H17" s="23">
        <v>150</v>
      </c>
      <c r="I17" s="23">
        <v>7400</v>
      </c>
      <c r="J17" s="23">
        <v>5</v>
      </c>
      <c r="K17" s="23"/>
      <c r="L17" s="23">
        <f>ROUND(D17*E17/F17*1000,2)</f>
        <v>13.33</v>
      </c>
      <c r="M17" s="23">
        <f>ROUND(D17*E17/(F17+I17)*1000,2)</f>
        <v>0.13</v>
      </c>
      <c r="N17" s="23">
        <f>D17*E17*H17</f>
        <v>150</v>
      </c>
      <c r="O17" s="38">
        <f>ROUND(playerHealth/(D17*E17),1)</f>
        <v>8</v>
      </c>
      <c r="P17" s="23">
        <f>-(FLOOR(G17/6,1)-1)</f>
        <v>-2</v>
      </c>
      <c r="Q17" s="23">
        <f>ROUND(C17/G17,3)</f>
        <v>4.2999999999999997E-2</v>
      </c>
      <c r="R17" s="26" t="s">
        <v>30</v>
      </c>
      <c r="S17" s="23"/>
      <c r="T17" s="23">
        <f xml:space="preserve"> D17*E17*9/10</f>
        <v>0.9</v>
      </c>
      <c r="U17" s="39">
        <f>ROUND(playerHealth/(T17),2)</f>
        <v>8.89</v>
      </c>
      <c r="V17" s="23">
        <f>D17*(E17-0.4)</f>
        <v>0.6</v>
      </c>
      <c r="W17" s="39">
        <f>ROUND(playerHealth/(V17),2)</f>
        <v>13.33</v>
      </c>
      <c r="X17" s="23"/>
      <c r="Y17" t="s">
        <v>39</v>
      </c>
      <c r="AF17" s="84" t="s">
        <v>88</v>
      </c>
      <c r="AG17" s="84"/>
      <c r="AH17" s="84"/>
      <c r="AI17" s="84"/>
    </row>
    <row r="18" spans="1:35" x14ac:dyDescent="0.45">
      <c r="A18" s="22" t="s">
        <v>40</v>
      </c>
      <c r="B18" s="75">
        <v>1088</v>
      </c>
      <c r="C18" s="23">
        <v>1</v>
      </c>
      <c r="D18" s="24">
        <v>1</v>
      </c>
      <c r="E18" s="23">
        <v>1</v>
      </c>
      <c r="F18" s="23">
        <v>100</v>
      </c>
      <c r="G18" s="23">
        <v>19</v>
      </c>
      <c r="H18" s="23">
        <v>10</v>
      </c>
      <c r="I18" s="23">
        <v>2300</v>
      </c>
      <c r="J18" s="23">
        <v>5</v>
      </c>
      <c r="K18" s="23"/>
      <c r="L18" s="23">
        <f>ROUND(D18*E18/F18*1000,2)</f>
        <v>10</v>
      </c>
      <c r="M18" s="23">
        <f>ROUND(D18*E18/(F18+I18)*1000,2)</f>
        <v>0.42</v>
      </c>
      <c r="N18" s="23">
        <f>D18*E18*H18</f>
        <v>10</v>
      </c>
      <c r="O18" s="38">
        <f>ROUND(playerHealth/(D18*E18),1)</f>
        <v>8</v>
      </c>
      <c r="P18" s="23">
        <f>-(FLOOR(G18/6,1)-1)</f>
        <v>-2</v>
      </c>
      <c r="Q18" s="23">
        <f>ROUND(C18/G18,3)</f>
        <v>5.2999999999999999E-2</v>
      </c>
      <c r="R18" s="26" t="s">
        <v>30</v>
      </c>
      <c r="S18" s="23"/>
      <c r="T18" s="23">
        <f xml:space="preserve"> D18*E18*9/10</f>
        <v>0.9</v>
      </c>
      <c r="U18" s="39">
        <f>ROUND(playerHealth/(T18),2)</f>
        <v>8.89</v>
      </c>
      <c r="V18" s="23">
        <f>D18*(E18-0.4)</f>
        <v>0.6</v>
      </c>
      <c r="W18" s="39">
        <f>ROUND(playerHealth/(V18),2)</f>
        <v>13.33</v>
      </c>
      <c r="X18" s="23"/>
      <c r="Y18" t="s">
        <v>41</v>
      </c>
    </row>
    <row r="19" spans="1:35" x14ac:dyDescent="0.45">
      <c r="A19" s="22" t="s">
        <v>42</v>
      </c>
      <c r="B19" s="79">
        <v>704</v>
      </c>
      <c r="C19" s="23">
        <v>1</v>
      </c>
      <c r="D19" s="28">
        <v>1</v>
      </c>
      <c r="E19" s="23">
        <v>1</v>
      </c>
      <c r="F19" s="23">
        <v>110</v>
      </c>
      <c r="G19" s="23">
        <v>21</v>
      </c>
      <c r="H19" s="23">
        <v>30</v>
      </c>
      <c r="I19" s="23">
        <v>1000</v>
      </c>
      <c r="J19" s="23">
        <v>5</v>
      </c>
      <c r="K19" s="23"/>
      <c r="L19" s="23">
        <f>ROUND(D19*E19/F19*1000,2)</f>
        <v>9.09</v>
      </c>
      <c r="M19" s="23">
        <f>ROUND(D19*E19/(F19+I19)*1000,2)</f>
        <v>0.9</v>
      </c>
      <c r="N19" s="23">
        <f>D19*E19*H19</f>
        <v>30</v>
      </c>
      <c r="O19" s="38">
        <f>ROUND(playerHealth/(D19*E19),1)</f>
        <v>8</v>
      </c>
      <c r="P19" s="23">
        <f>-(FLOOR(G19/6,1)-1)</f>
        <v>-2</v>
      </c>
      <c r="Q19" s="23">
        <f>ROUND(C19/G19,3)</f>
        <v>4.8000000000000001E-2</v>
      </c>
      <c r="R19" s="33" t="s">
        <v>31</v>
      </c>
      <c r="S19" s="23"/>
      <c r="T19" s="23">
        <f xml:space="preserve"> D19*E19*9/10</f>
        <v>0.9</v>
      </c>
      <c r="U19" s="39">
        <f>ROUND(playerHealth/(T19),2)</f>
        <v>8.89</v>
      </c>
      <c r="V19" s="23">
        <f>D19*(E19-0.4)</f>
        <v>0.6</v>
      </c>
      <c r="W19" s="39">
        <f>ROUND(playerHealth/(V19),2)</f>
        <v>13.33</v>
      </c>
      <c r="X19" s="23"/>
    </row>
    <row r="20" spans="1:35" x14ac:dyDescent="0.45">
      <c r="A20" s="22" t="s">
        <v>43</v>
      </c>
      <c r="B20" s="77">
        <v>576</v>
      </c>
      <c r="C20" s="23">
        <v>1</v>
      </c>
      <c r="D20" s="24">
        <v>1</v>
      </c>
      <c r="E20" s="23">
        <v>1</v>
      </c>
      <c r="F20" s="23">
        <v>90</v>
      </c>
      <c r="G20" s="23">
        <v>17</v>
      </c>
      <c r="H20" s="23">
        <v>30</v>
      </c>
      <c r="I20" s="23">
        <v>3200</v>
      </c>
      <c r="J20" s="23">
        <v>5</v>
      </c>
      <c r="K20" s="23"/>
      <c r="L20" s="23">
        <f>ROUND(D20*E20/F20*1000,2)</f>
        <v>11.11</v>
      </c>
      <c r="M20" s="23">
        <f>ROUND(D20*E20/(F20+I20)*1000,2)</f>
        <v>0.3</v>
      </c>
      <c r="N20" s="23">
        <f>D20*E20*H20</f>
        <v>30</v>
      </c>
      <c r="O20" s="38">
        <f>ROUND(playerHealth/(D20*E20),1)</f>
        <v>8</v>
      </c>
      <c r="P20" s="23">
        <f>-(FLOOR(G20/6,1)-1)</f>
        <v>-1</v>
      </c>
      <c r="Q20" s="23">
        <f>ROUND(C20/G20,3)</f>
        <v>5.8999999999999997E-2</v>
      </c>
      <c r="R20" s="33" t="s">
        <v>31</v>
      </c>
      <c r="S20" s="23"/>
      <c r="T20" s="23">
        <f xml:space="preserve"> D20*E20*9/10</f>
        <v>0.9</v>
      </c>
      <c r="U20" s="39">
        <f>ROUND(playerHealth/(T20),2)</f>
        <v>8.89</v>
      </c>
      <c r="V20" s="23">
        <f>D20*(E20-0.4)</f>
        <v>0.6</v>
      </c>
      <c r="W20" s="39">
        <f>ROUND(playerHealth/(V20),2)</f>
        <v>13.33</v>
      </c>
      <c r="X20" s="23"/>
      <c r="AF20" s="84" t="s">
        <v>89</v>
      </c>
      <c r="AG20" s="84"/>
      <c r="AH20" s="84"/>
      <c r="AI20" s="84"/>
    </row>
    <row r="21" spans="1:35" x14ac:dyDescent="0.45">
      <c r="A21" s="22"/>
      <c r="B21" s="64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/>
      <c r="P21" s="23"/>
      <c r="Q21" s="23"/>
      <c r="R21" s="37"/>
      <c r="S21" s="23"/>
      <c r="T21" s="23"/>
      <c r="U21" s="25"/>
      <c r="V21" s="23"/>
      <c r="W21" s="25"/>
      <c r="X21" s="23"/>
    </row>
    <row r="22" spans="1:35" x14ac:dyDescent="0.45">
      <c r="B22" s="72"/>
      <c r="T22" s="72"/>
      <c r="U22" s="72"/>
      <c r="V22" s="72"/>
      <c r="W22" s="72"/>
      <c r="X22" s="72"/>
    </row>
    <row r="23" spans="1:35" x14ac:dyDescent="0.45">
      <c r="A23" s="22" t="s">
        <v>44</v>
      </c>
      <c r="B23" s="80">
        <v>320</v>
      </c>
      <c r="C23" s="23">
        <v>5</v>
      </c>
      <c r="D23" s="24">
        <v>5</v>
      </c>
      <c r="E23" s="23">
        <v>1</v>
      </c>
      <c r="F23" s="23">
        <v>180</v>
      </c>
      <c r="G23" s="23">
        <v>10</v>
      </c>
      <c r="H23" s="23">
        <v>2</v>
      </c>
      <c r="I23" s="23">
        <v>1200</v>
      </c>
      <c r="J23" s="23">
        <v>12</v>
      </c>
      <c r="K23" s="23"/>
      <c r="L23" s="23">
        <f>ROUND(D23*E23/F23*1000,2)</f>
        <v>27.78</v>
      </c>
      <c r="M23" s="23">
        <f>ROUND(D23*E23/(F23+I23)*1000,2)</f>
        <v>3.62</v>
      </c>
      <c r="N23" s="23">
        <f>D23*E23*H23</f>
        <v>10</v>
      </c>
      <c r="O23" s="36">
        <f>ROUND(playerHealth/(D23*E23),1)</f>
        <v>1.6</v>
      </c>
      <c r="P23" s="23">
        <f>-(FLOOR(G23/6,1)-1)</f>
        <v>0</v>
      </c>
      <c r="Q23" s="23">
        <f>ROUND(C23/G23,3)</f>
        <v>0.5</v>
      </c>
      <c r="R23" s="33" t="s">
        <v>31</v>
      </c>
      <c r="S23" s="23"/>
      <c r="T23" s="23">
        <f xml:space="preserve"> D23*E23*9/10</f>
        <v>4.5</v>
      </c>
      <c r="U23" s="31">
        <f>ROUND(playerHealth/(T23),2)</f>
        <v>1.78</v>
      </c>
      <c r="V23" s="23">
        <f>D23*(E23-0.4)</f>
        <v>3</v>
      </c>
      <c r="W23" s="34">
        <f>ROUND(playerHealth/(V23),2)</f>
        <v>2.67</v>
      </c>
      <c r="X23" s="23"/>
      <c r="Y23" t="s">
        <v>45</v>
      </c>
    </row>
    <row r="24" spans="1:35" x14ac:dyDescent="0.45">
      <c r="A24" s="22" t="s">
        <v>46</v>
      </c>
      <c r="B24" s="81">
        <v>448</v>
      </c>
      <c r="C24" s="23">
        <v>3</v>
      </c>
      <c r="D24" s="28">
        <v>3</v>
      </c>
      <c r="E24" s="23">
        <v>1</v>
      </c>
      <c r="F24" s="23">
        <v>400</v>
      </c>
      <c r="G24" s="23">
        <v>13</v>
      </c>
      <c r="H24" s="23">
        <v>14</v>
      </c>
      <c r="I24" s="23">
        <v>6000</v>
      </c>
      <c r="J24" s="23">
        <v>12</v>
      </c>
      <c r="K24" s="23"/>
      <c r="L24" s="23">
        <f>ROUND(D24*E24/F24*1000,2)</f>
        <v>7.5</v>
      </c>
      <c r="M24" s="23">
        <f>ROUND(D24*E24/(F24+I24)*1000,2)</f>
        <v>0.47</v>
      </c>
      <c r="N24" s="23">
        <f>D24*E24*H24</f>
        <v>42</v>
      </c>
      <c r="O24" s="25">
        <f>ROUND(playerHealth/(D24*E24),1)</f>
        <v>2.7</v>
      </c>
      <c r="P24" s="23">
        <f>-(FLOOR(G24/6,1)-1)</f>
        <v>-1</v>
      </c>
      <c r="Q24" s="23">
        <f>ROUND(C24/G24,3)</f>
        <v>0.23100000000000001</v>
      </c>
      <c r="R24" s="26" t="s">
        <v>30</v>
      </c>
      <c r="S24" s="23"/>
      <c r="T24" s="23">
        <f xml:space="preserve"> D24*E24*9/10</f>
        <v>2.7</v>
      </c>
      <c r="U24" s="34">
        <f>ROUND(playerHealth/(T24),2)</f>
        <v>2.96</v>
      </c>
      <c r="V24" s="23">
        <f>D24*(E24-0.4)</f>
        <v>1.7999999999999998</v>
      </c>
      <c r="W24" s="39">
        <f>ROUND(playerHealth/(V24),2)</f>
        <v>4.4400000000000004</v>
      </c>
      <c r="X24" s="23"/>
    </row>
    <row r="25" spans="1:35" x14ac:dyDescent="0.45">
      <c r="A25" s="22" t="s">
        <v>47</v>
      </c>
      <c r="B25" s="81">
        <v>448</v>
      </c>
      <c r="C25" s="23">
        <v>3</v>
      </c>
      <c r="D25" s="24">
        <v>2</v>
      </c>
      <c r="E25" s="23">
        <v>1</v>
      </c>
      <c r="F25" s="23">
        <v>180</v>
      </c>
      <c r="G25" s="23">
        <v>14</v>
      </c>
      <c r="H25" s="23">
        <v>5</v>
      </c>
      <c r="I25" s="23">
        <v>2300</v>
      </c>
      <c r="J25" s="23">
        <v>12</v>
      </c>
      <c r="K25" s="23"/>
      <c r="L25" s="23">
        <f>ROUND(D25*E25/F25*1000,2)</f>
        <v>11.11</v>
      </c>
      <c r="M25" s="23">
        <f>ROUND(D25*E25/(F25+I25)*1000,2)</f>
        <v>0.81</v>
      </c>
      <c r="N25" s="23">
        <f>D25*E25*H25</f>
        <v>10</v>
      </c>
      <c r="O25" s="38">
        <f>ROUND(playerHealth/(D25*E25),1)</f>
        <v>4</v>
      </c>
      <c r="P25" s="23">
        <f>-(FLOOR(G25/6,1)-1)</f>
        <v>-1</v>
      </c>
      <c r="Q25" s="23">
        <f>ROUND(C25/G25,3)</f>
        <v>0.214</v>
      </c>
      <c r="R25" s="33" t="s">
        <v>31</v>
      </c>
      <c r="S25" s="23"/>
      <c r="T25" s="23">
        <f xml:space="preserve"> D25*E25*9/10</f>
        <v>1.8</v>
      </c>
      <c r="U25" s="39">
        <f>ROUND(playerHealth/(T25),2)</f>
        <v>4.4400000000000004</v>
      </c>
      <c r="V25" s="23">
        <f>D25*(E25-0.4)</f>
        <v>1.2</v>
      </c>
      <c r="W25" s="39">
        <f>ROUND(playerHealth/(V25),2)</f>
        <v>6.67</v>
      </c>
      <c r="X25" s="23"/>
    </row>
    <row r="26" spans="1:35" x14ac:dyDescent="0.45">
      <c r="A26" s="22"/>
      <c r="B26" s="64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/>
      <c r="P26" s="23"/>
      <c r="Q26" s="23"/>
      <c r="R26" s="37"/>
      <c r="S26" s="23"/>
      <c r="T26" s="23"/>
      <c r="U26" s="25"/>
      <c r="V26" s="23"/>
      <c r="W26" s="25"/>
      <c r="X26" s="23"/>
    </row>
    <row r="27" spans="1:35" x14ac:dyDescent="0.45">
      <c r="B27" s="72"/>
      <c r="D27" s="72"/>
      <c r="T27" s="72"/>
      <c r="U27" s="72"/>
      <c r="V27" s="72"/>
      <c r="W27" s="72"/>
      <c r="X27" s="72"/>
    </row>
    <row r="28" spans="1:35" x14ac:dyDescent="0.45">
      <c r="A28" s="22" t="s">
        <v>48</v>
      </c>
      <c r="B28" s="64">
        <v>700</v>
      </c>
      <c r="C28" s="23">
        <v>2</v>
      </c>
      <c r="D28" s="24">
        <v>1</v>
      </c>
      <c r="E28" s="23">
        <v>0.5</v>
      </c>
      <c r="F28" s="23">
        <v>85</v>
      </c>
      <c r="G28" s="23">
        <v>16</v>
      </c>
      <c r="H28" s="23">
        <v>25</v>
      </c>
      <c r="I28" s="23">
        <v>2800</v>
      </c>
      <c r="J28" s="23" t="s">
        <v>49</v>
      </c>
      <c r="K28" s="23"/>
      <c r="L28" s="23">
        <f>ROUND(D28*E28/F28*1000,2)</f>
        <v>5.88</v>
      </c>
      <c r="M28" s="23">
        <f>ROUND(D28*E28/(F28+I28)*1000,2)</f>
        <v>0.17</v>
      </c>
      <c r="N28" s="23">
        <f>D28*E28*H28</f>
        <v>12.5</v>
      </c>
      <c r="O28" s="38">
        <f>ROUND(playerHealth/(D28*E28),1)</f>
        <v>16</v>
      </c>
      <c r="P28" s="23">
        <f>-(FLOOR(G28/6,1)-1)</f>
        <v>-1</v>
      </c>
      <c r="Q28" s="23">
        <f>ROUND(C28/G28,3)</f>
        <v>0.125</v>
      </c>
      <c r="R28" s="33" t="s">
        <v>31</v>
      </c>
      <c r="S28" s="23"/>
      <c r="T28" s="23">
        <f xml:space="preserve"> D28*E28*9/10</f>
        <v>0.45</v>
      </c>
      <c r="U28" s="39">
        <f>ROUND(playerHealth/(T28),2)</f>
        <v>17.78</v>
      </c>
      <c r="V28" s="23">
        <f>D28*(E28-0.2)</f>
        <v>0.3</v>
      </c>
      <c r="W28" s="39">
        <f>ROUND(playerHealth/(V28),2)</f>
        <v>26.67</v>
      </c>
      <c r="X28" s="23"/>
    </row>
    <row r="29" spans="1:35" x14ac:dyDescent="0.45">
      <c r="A29" s="22" t="s">
        <v>50</v>
      </c>
      <c r="B29" s="64">
        <v>600</v>
      </c>
      <c r="C29" s="23">
        <v>1</v>
      </c>
      <c r="D29" s="28">
        <v>1</v>
      </c>
      <c r="E29" s="23">
        <v>0.5</v>
      </c>
      <c r="F29" s="23">
        <v>40</v>
      </c>
      <c r="G29" s="23">
        <v>17</v>
      </c>
      <c r="H29" s="23">
        <v>19</v>
      </c>
      <c r="I29" s="23">
        <v>2600</v>
      </c>
      <c r="J29" s="23" t="s">
        <v>49</v>
      </c>
      <c r="K29" s="23"/>
      <c r="L29" s="23">
        <f>ROUND(D29*E29/F29*1000,2)</f>
        <v>12.5</v>
      </c>
      <c r="M29" s="23">
        <f>ROUND(D29*E29/(F29+I29)*1000,2)</f>
        <v>0.19</v>
      </c>
      <c r="N29" s="23">
        <f>D29*E29*H29</f>
        <v>9.5</v>
      </c>
      <c r="O29" s="38">
        <f>ROUND(playerHealth/(D29*E29),1)</f>
        <v>16</v>
      </c>
      <c r="P29" s="23">
        <f>-(FLOOR(G29/6,1)-1)</f>
        <v>-1</v>
      </c>
      <c r="Q29" s="23">
        <f>ROUND(C29/G29,3)</f>
        <v>5.8999999999999997E-2</v>
      </c>
      <c r="R29" s="33" t="s">
        <v>31</v>
      </c>
      <c r="S29" s="23"/>
      <c r="T29" s="23">
        <f xml:space="preserve"> D29*E29*9/10</f>
        <v>0.45</v>
      </c>
      <c r="U29" s="39">
        <f>ROUND(playerHealth/(T29),2)</f>
        <v>17.78</v>
      </c>
      <c r="V29" s="23">
        <f>D29*(E29-0.2)</f>
        <v>0.3</v>
      </c>
      <c r="W29" s="39">
        <f>ROUND(playerHealth/(V29),2)</f>
        <v>26.67</v>
      </c>
      <c r="X29" s="23"/>
    </row>
    <row r="30" spans="1:35" x14ac:dyDescent="0.45">
      <c r="A30" s="22" t="s">
        <v>51</v>
      </c>
      <c r="B30" s="64">
        <v>650</v>
      </c>
      <c r="C30" s="23">
        <v>1</v>
      </c>
      <c r="D30" s="24">
        <v>1</v>
      </c>
      <c r="E30" s="23">
        <v>0.5</v>
      </c>
      <c r="F30" s="23">
        <v>70</v>
      </c>
      <c r="G30" s="23">
        <v>19</v>
      </c>
      <c r="H30" s="23">
        <v>30</v>
      </c>
      <c r="I30" s="23">
        <v>2100</v>
      </c>
      <c r="J30" s="23" t="s">
        <v>49</v>
      </c>
      <c r="K30" s="23"/>
      <c r="L30" s="23">
        <f>ROUND(D30*E30/F30*1000,2)</f>
        <v>7.14</v>
      </c>
      <c r="M30" s="23">
        <f>ROUND(D30*E30/(F30+I30)*1000,2)</f>
        <v>0.23</v>
      </c>
      <c r="N30" s="23">
        <f>D30*E30*H30</f>
        <v>15</v>
      </c>
      <c r="O30" s="38">
        <f>ROUND(playerHealth/(D30*E30),1)</f>
        <v>16</v>
      </c>
      <c r="P30" s="23">
        <f>-(FLOOR(G30/6,1)-1)</f>
        <v>-2</v>
      </c>
      <c r="Q30" s="23">
        <f>ROUND(C30/G30,3)</f>
        <v>5.2999999999999999E-2</v>
      </c>
      <c r="R30" s="33" t="s">
        <v>31</v>
      </c>
      <c r="S30" s="23"/>
      <c r="T30" s="23">
        <f xml:space="preserve"> D30*E30*9/10</f>
        <v>0.45</v>
      </c>
      <c r="U30" s="39">
        <f>ROUND(playerHealth/(T30),2)</f>
        <v>17.78</v>
      </c>
      <c r="V30" s="23">
        <f>D30*(E30-0.2)</f>
        <v>0.3</v>
      </c>
      <c r="W30" s="39">
        <f>ROUND(playerHealth/(V30),2)</f>
        <v>26.67</v>
      </c>
      <c r="X30" s="23"/>
    </row>
    <row r="31" spans="1:35" x14ac:dyDescent="0.45">
      <c r="A31" s="22"/>
      <c r="B31" s="64"/>
      <c r="C31" s="23"/>
      <c r="D31" s="28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37"/>
      <c r="S31" s="23"/>
      <c r="T31" s="23"/>
      <c r="U31" s="39"/>
      <c r="V31" s="23"/>
      <c r="W31" s="39"/>
      <c r="X31" s="23"/>
    </row>
    <row r="32" spans="1:35" x14ac:dyDescent="0.45">
      <c r="A32" s="40" t="s">
        <v>52</v>
      </c>
      <c r="B32" s="64"/>
      <c r="C32" s="23"/>
      <c r="D32" s="24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37"/>
      <c r="S32" s="23"/>
      <c r="T32" s="23"/>
      <c r="U32" s="39"/>
      <c r="V32" s="23"/>
      <c r="W32" s="39"/>
      <c r="X32" s="23"/>
    </row>
    <row r="33" spans="1:25" x14ac:dyDescent="0.45">
      <c r="A33" s="22" t="s">
        <v>53</v>
      </c>
      <c r="B33" s="64">
        <v>24</v>
      </c>
      <c r="C33" s="23">
        <v>0</v>
      </c>
      <c r="D33" s="28">
        <v>1</v>
      </c>
      <c r="E33" s="23">
        <v>0.2</v>
      </c>
      <c r="F33" s="23">
        <v>300</v>
      </c>
      <c r="G33" s="23">
        <v>6</v>
      </c>
      <c r="H33" s="23" t="s">
        <v>54</v>
      </c>
      <c r="I33" s="23">
        <v>0</v>
      </c>
      <c r="J33" s="23"/>
      <c r="K33" s="23"/>
      <c r="L33" s="23">
        <f>ROUND(D33*E33/F33*1000,2)</f>
        <v>0.67</v>
      </c>
      <c r="M33" s="23">
        <f>ROUND(D33*E33/(F33+I33)*1000,2)</f>
        <v>0.67</v>
      </c>
      <c r="N33" s="23"/>
      <c r="O33" s="25">
        <f>ROUND(8/(D33*E33),1)</f>
        <v>40</v>
      </c>
      <c r="P33" s="23"/>
      <c r="Q33" s="23"/>
      <c r="R33" s="37"/>
      <c r="S33" s="23"/>
      <c r="T33" s="23">
        <f t="shared" ref="T33:T35" si="11" xml:space="preserve"> D33*E33*9/10</f>
        <v>0.18</v>
      </c>
      <c r="U33" s="39">
        <f>ROUND(playerHealth/(T33),2)</f>
        <v>44.44</v>
      </c>
      <c r="V33" s="23">
        <f t="shared" ref="V33:V34" si="12">D33*(E33-0.2)</f>
        <v>0</v>
      </c>
      <c r="W33" s="39"/>
      <c r="X33" s="23"/>
      <c r="Y33" t="s">
        <v>55</v>
      </c>
    </row>
    <row r="34" spans="1:25" x14ac:dyDescent="0.45">
      <c r="A34" s="22" t="s">
        <v>56</v>
      </c>
      <c r="B34" s="64">
        <v>32</v>
      </c>
      <c r="C34" s="23">
        <v>0</v>
      </c>
      <c r="D34" s="24">
        <v>1</v>
      </c>
      <c r="E34" s="23">
        <v>0.4</v>
      </c>
      <c r="F34" s="23">
        <v>200</v>
      </c>
      <c r="G34" s="23">
        <v>8</v>
      </c>
      <c r="H34" s="23" t="s">
        <v>54</v>
      </c>
      <c r="I34" s="23">
        <v>0</v>
      </c>
      <c r="J34" s="23"/>
      <c r="K34" s="23"/>
      <c r="L34" s="23">
        <f>ROUND(D34*E34/F34*1000,2)</f>
        <v>2</v>
      </c>
      <c r="M34" s="23">
        <f>ROUND(D34*E34/(F34+I34)*1000,2)</f>
        <v>2</v>
      </c>
      <c r="N34" s="23"/>
      <c r="O34" s="25">
        <f>ROUND(8/(D34*E34),1)</f>
        <v>20</v>
      </c>
      <c r="P34" s="23"/>
      <c r="Q34" s="23"/>
      <c r="R34" s="37"/>
      <c r="S34" s="23"/>
      <c r="T34" s="23">
        <f t="shared" si="11"/>
        <v>0.36</v>
      </c>
      <c r="U34" s="39">
        <f>ROUND(playerHealth/(T34),2)</f>
        <v>22.22</v>
      </c>
      <c r="V34" s="23">
        <f t="shared" si="12"/>
        <v>0.2</v>
      </c>
      <c r="W34" s="39">
        <f>ROUND(playerHealth/(V34),2)</f>
        <v>40</v>
      </c>
      <c r="X34" s="23"/>
    </row>
    <row r="35" spans="1:25" x14ac:dyDescent="0.45">
      <c r="A35" s="22" t="s">
        <v>57</v>
      </c>
      <c r="B35" s="64">
        <v>48</v>
      </c>
      <c r="C35" s="23">
        <v>0</v>
      </c>
      <c r="D35" s="23">
        <v>1</v>
      </c>
      <c r="E35" s="23">
        <v>1</v>
      </c>
      <c r="F35" s="23">
        <v>500</v>
      </c>
      <c r="G35" s="23">
        <v>6</v>
      </c>
      <c r="H35" s="23" t="s">
        <v>54</v>
      </c>
      <c r="I35" s="23">
        <v>0</v>
      </c>
      <c r="J35" s="23"/>
      <c r="K35" s="23"/>
      <c r="L35" s="23">
        <f t="shared" ref="L35" si="13">ROUND(D35*E35/F35*1000,3)</f>
        <v>2</v>
      </c>
      <c r="M35" s="23">
        <f>ROUND(D35*E35/(F35+I35)*1000,2)</f>
        <v>2</v>
      </c>
      <c r="N35" s="23"/>
      <c r="O35" s="25">
        <f>ROUND(8/(D35*E35),1)</f>
        <v>8</v>
      </c>
      <c r="P35" s="23"/>
      <c r="Q35" s="23"/>
      <c r="R35" s="37"/>
      <c r="S35" s="23"/>
      <c r="T35" s="23">
        <f t="shared" si="11"/>
        <v>0.9</v>
      </c>
      <c r="U35" s="38">
        <f>ROUND(playerHealth/(T35),2)</f>
        <v>8.89</v>
      </c>
      <c r="V35" s="23">
        <f>D35*(E35-0.4)</f>
        <v>0.6</v>
      </c>
      <c r="W35" s="38">
        <f>ROUND(playerHealth/(V35),2)</f>
        <v>13.33</v>
      </c>
      <c r="X35" s="23"/>
    </row>
    <row r="36" spans="1:25" x14ac:dyDescent="0.45">
      <c r="A36" s="72"/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</row>
    <row r="37" spans="1:25" x14ac:dyDescent="0.45">
      <c r="A37" s="72"/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</row>
    <row r="38" spans="1:25" x14ac:dyDescent="0.45">
      <c r="A38" s="72"/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</row>
    <row r="39" spans="1:25" x14ac:dyDescent="0.45">
      <c r="A39" s="41"/>
      <c r="B39" s="42"/>
      <c r="C39" s="42"/>
      <c r="D39" s="42"/>
      <c r="E39" s="42"/>
      <c r="F39" s="42"/>
      <c r="G39" s="42"/>
      <c r="H39" s="42"/>
    </row>
    <row r="40" spans="1:25" x14ac:dyDescent="0.45">
      <c r="A40" s="43" t="s">
        <v>58</v>
      </c>
      <c r="B40" s="9" t="s">
        <v>59</v>
      </c>
      <c r="C40" s="9"/>
      <c r="D40" s="9"/>
      <c r="E40" s="9"/>
      <c r="F40" s="9" t="s">
        <v>60</v>
      </c>
      <c r="G40" s="9"/>
      <c r="H40" s="9"/>
      <c r="I40" s="9"/>
      <c r="J40" s="9"/>
      <c r="K40" s="9"/>
      <c r="L40" s="9"/>
      <c r="M40" s="9"/>
    </row>
    <row r="41" spans="1:25" x14ac:dyDescent="0.45">
      <c r="A41" s="44" t="s">
        <v>61</v>
      </c>
      <c r="B41" s="45" t="s">
        <v>62</v>
      </c>
      <c r="C41" s="42"/>
      <c r="D41" s="45" t="s">
        <v>63</v>
      </c>
      <c r="E41" s="46"/>
      <c r="F41" s="46" t="s">
        <v>64</v>
      </c>
      <c r="G41" s="46"/>
      <c r="H41" s="46"/>
      <c r="I41" s="47"/>
      <c r="J41" s="47"/>
      <c r="K41" s="47"/>
      <c r="L41" s="47"/>
      <c r="M41" s="47"/>
    </row>
    <row r="42" spans="1:25" x14ac:dyDescent="0.45">
      <c r="A42" s="44" t="s">
        <v>65</v>
      </c>
      <c r="B42" s="45" t="s">
        <v>66</v>
      </c>
      <c r="C42" s="42"/>
      <c r="D42" s="45" t="s">
        <v>67</v>
      </c>
      <c r="E42" s="46"/>
      <c r="F42" s="46" t="s">
        <v>68</v>
      </c>
      <c r="G42" s="46"/>
      <c r="H42" s="46"/>
      <c r="I42" s="47"/>
      <c r="J42" s="47"/>
      <c r="K42" s="47"/>
      <c r="L42" s="47"/>
      <c r="M42" s="47"/>
    </row>
    <row r="43" spans="1:25" x14ac:dyDescent="0.45">
      <c r="A43" s="83"/>
    </row>
    <row r="44" spans="1:25" x14ac:dyDescent="0.45">
      <c r="A44" s="72"/>
    </row>
    <row r="46" spans="1:25" x14ac:dyDescent="0.45">
      <c r="A46" t="s">
        <v>84</v>
      </c>
    </row>
    <row r="47" spans="1:25" x14ac:dyDescent="0.45">
      <c r="A47" t="s">
        <v>80</v>
      </c>
      <c r="B47">
        <v>8</v>
      </c>
    </row>
    <row r="48" spans="1:25" x14ac:dyDescent="0.45">
      <c r="A48" t="s">
        <v>71</v>
      </c>
      <c r="B48">
        <v>128</v>
      </c>
    </row>
    <row r="50" spans="1:35" x14ac:dyDescent="0.45">
      <c r="F50" s="51" t="s">
        <v>73</v>
      </c>
      <c r="G50" s="51"/>
      <c r="H50" s="51"/>
      <c r="I50" s="51"/>
      <c r="J50" s="51"/>
      <c r="K50" s="51"/>
      <c r="L50" s="51"/>
    </row>
    <row r="51" spans="1:35" x14ac:dyDescent="0.45">
      <c r="B51" s="70" t="s">
        <v>83</v>
      </c>
      <c r="G51" s="69" t="s">
        <v>81</v>
      </c>
      <c r="H51" s="69"/>
      <c r="I51" s="69"/>
      <c r="J51" s="69"/>
      <c r="K51" s="69"/>
      <c r="L51" s="69"/>
    </row>
    <row r="52" spans="1:35" x14ac:dyDescent="0.45">
      <c r="A52" s="48" t="s">
        <v>72</v>
      </c>
      <c r="B52" s="49">
        <v>-1</v>
      </c>
      <c r="C52" s="49">
        <v>0</v>
      </c>
      <c r="D52" s="49">
        <v>1</v>
      </c>
      <c r="E52" s="49">
        <v>2</v>
      </c>
      <c r="F52" s="52">
        <v>3</v>
      </c>
      <c r="G52" s="52">
        <v>4</v>
      </c>
      <c r="H52" s="52">
        <v>5</v>
      </c>
      <c r="I52" s="52">
        <v>6</v>
      </c>
      <c r="J52" s="52">
        <v>7</v>
      </c>
      <c r="K52" s="52">
        <v>8</v>
      </c>
      <c r="L52" s="52">
        <v>9</v>
      </c>
    </row>
    <row r="53" spans="1:35" x14ac:dyDescent="0.45">
      <c r="A53" s="50" t="s">
        <v>74</v>
      </c>
      <c r="B53" s="42">
        <f t="shared" ref="B53:L53" si="14">(2+B52)*tilesize</f>
        <v>128</v>
      </c>
      <c r="C53" s="42">
        <f t="shared" si="14"/>
        <v>256</v>
      </c>
      <c r="D53" s="42">
        <f t="shared" si="14"/>
        <v>384</v>
      </c>
      <c r="E53" s="42">
        <f t="shared" si="14"/>
        <v>512</v>
      </c>
      <c r="F53" s="42">
        <f t="shared" si="14"/>
        <v>640</v>
      </c>
      <c r="G53" s="42">
        <f t="shared" si="14"/>
        <v>768</v>
      </c>
      <c r="H53" s="42">
        <f t="shared" si="14"/>
        <v>896</v>
      </c>
      <c r="I53" s="42">
        <f t="shared" si="14"/>
        <v>1024</v>
      </c>
      <c r="J53" s="42">
        <f t="shared" si="14"/>
        <v>1152</v>
      </c>
      <c r="K53" s="42">
        <f t="shared" si="14"/>
        <v>1280</v>
      </c>
      <c r="L53" s="42">
        <f t="shared" si="14"/>
        <v>1408</v>
      </c>
    </row>
    <row r="54" spans="1:35" x14ac:dyDescent="0.45">
      <c r="A54" s="50" t="s">
        <v>75</v>
      </c>
      <c r="B54" s="53">
        <f t="shared" ref="B54:L54" si="15">(2+B52+1)*tilesize+tilesize/2</f>
        <v>320</v>
      </c>
      <c r="C54" s="54">
        <f t="shared" si="15"/>
        <v>448</v>
      </c>
      <c r="D54" s="55">
        <f t="shared" si="15"/>
        <v>576</v>
      </c>
      <c r="E54" s="56">
        <f t="shared" si="15"/>
        <v>704</v>
      </c>
      <c r="F54" s="57">
        <f t="shared" si="15"/>
        <v>832</v>
      </c>
      <c r="G54" s="58">
        <f t="shared" si="15"/>
        <v>960</v>
      </c>
      <c r="H54" s="59">
        <f t="shared" si="15"/>
        <v>1088</v>
      </c>
      <c r="I54" s="60">
        <f t="shared" si="15"/>
        <v>1216</v>
      </c>
      <c r="J54" s="61">
        <f t="shared" si="15"/>
        <v>1344</v>
      </c>
      <c r="K54" s="62">
        <f t="shared" si="15"/>
        <v>1472</v>
      </c>
      <c r="L54" s="63">
        <f t="shared" si="15"/>
        <v>1600</v>
      </c>
    </row>
    <row r="55" spans="1:35" x14ac:dyDescent="0.45">
      <c r="C55" s="67" t="s">
        <v>82</v>
      </c>
      <c r="D55" s="68"/>
      <c r="E55" s="66"/>
    </row>
    <row r="60" spans="1:35" x14ac:dyDescent="0.45">
      <c r="A60" t="s">
        <v>106</v>
      </c>
      <c r="B60">
        <v>16</v>
      </c>
      <c r="C60" t="s">
        <v>107</v>
      </c>
      <c r="N60" t="s">
        <v>117</v>
      </c>
      <c r="O60" t="s">
        <v>120</v>
      </c>
      <c r="P60" t="s">
        <v>118</v>
      </c>
      <c r="Q60" t="s">
        <v>119</v>
      </c>
      <c r="R60" t="s">
        <v>122</v>
      </c>
      <c r="AF60" s="104"/>
      <c r="AG60" s="104"/>
      <c r="AH60" s="104"/>
      <c r="AI60" s="104"/>
    </row>
    <row r="61" spans="1:35" x14ac:dyDescent="0.45">
      <c r="N61">
        <v>200</v>
      </c>
      <c r="O61">
        <v>30</v>
      </c>
      <c r="P61">
        <v>10</v>
      </c>
      <c r="Q61">
        <v>50</v>
      </c>
      <c r="R61">
        <v>10</v>
      </c>
      <c r="AF61" s="100"/>
      <c r="AG61" s="100"/>
      <c r="AH61" s="100"/>
      <c r="AI61" s="100"/>
    </row>
    <row r="62" spans="1:35" x14ac:dyDescent="0.45">
      <c r="H62" t="s">
        <v>104</v>
      </c>
      <c r="I62" s="103" t="s">
        <v>108</v>
      </c>
      <c r="J62" s="103"/>
      <c r="K62" t="s">
        <v>109</v>
      </c>
      <c r="L62" s="94">
        <f>COUNTIF(G3:G35,"&gt;0")</f>
        <v>23</v>
      </c>
      <c r="N62" s="102" t="s">
        <v>114</v>
      </c>
      <c r="O62" s="102"/>
      <c r="P62" s="102"/>
      <c r="Q62" s="102"/>
      <c r="R62" s="102"/>
      <c r="AF62" s="100"/>
      <c r="AG62" s="100"/>
      <c r="AH62" s="100"/>
      <c r="AI62" s="100"/>
    </row>
    <row r="63" spans="1:35" x14ac:dyDescent="0.45">
      <c r="A63" s="48" t="s">
        <v>92</v>
      </c>
      <c r="B63" s="49" t="s">
        <v>97</v>
      </c>
      <c r="C63" s="49" t="s">
        <v>98</v>
      </c>
      <c r="D63" s="49" t="s">
        <v>99</v>
      </c>
      <c r="E63" s="90" t="s">
        <v>100</v>
      </c>
      <c r="F63" s="90"/>
      <c r="G63" s="49"/>
      <c r="H63" s="49" t="s">
        <v>18</v>
      </c>
      <c r="I63" s="90" t="s">
        <v>105</v>
      </c>
      <c r="J63" s="90"/>
      <c r="K63" s="49" t="s">
        <v>110</v>
      </c>
      <c r="L63" s="49" t="s">
        <v>111</v>
      </c>
      <c r="M63" s="49"/>
      <c r="N63" s="92" t="s">
        <v>116</v>
      </c>
      <c r="O63" s="49" t="s">
        <v>58</v>
      </c>
      <c r="P63" s="49" t="s">
        <v>113</v>
      </c>
      <c r="Q63" s="49" t="s">
        <v>115</v>
      </c>
      <c r="R63" s="93" t="s">
        <v>121</v>
      </c>
      <c r="S63" s="49"/>
      <c r="T63" s="104" t="s">
        <v>125</v>
      </c>
      <c r="U63" s="104"/>
      <c r="V63" s="49" t="s">
        <v>24</v>
      </c>
      <c r="W63" s="49" t="s">
        <v>127</v>
      </c>
      <c r="AF63" s="100"/>
      <c r="AG63" s="100"/>
      <c r="AH63" s="100"/>
      <c r="AI63" s="100"/>
    </row>
    <row r="64" spans="1:35" x14ac:dyDescent="0.45">
      <c r="A64" s="22" t="s">
        <v>93</v>
      </c>
      <c r="B64" s="85">
        <v>24</v>
      </c>
      <c r="C64" s="86">
        <v>15</v>
      </c>
      <c r="D64" s="86">
        <v>6</v>
      </c>
      <c r="E64" s="83" t="s">
        <v>103</v>
      </c>
      <c r="F64" s="83"/>
      <c r="G64" s="86"/>
      <c r="H64" s="86">
        <v>0</v>
      </c>
      <c r="I64" s="86">
        <f t="shared" ref="I64:I69" si="16">(B64-player_radius)*2</f>
        <v>16</v>
      </c>
      <c r="J64" s="86"/>
      <c r="K64" s="86">
        <f>COUNTIF(G3:G35,"&gt;16")</f>
        <v>11</v>
      </c>
      <c r="L64" s="86">
        <f>21-K64</f>
        <v>10</v>
      </c>
      <c r="M64" s="86"/>
      <c r="N64" s="87">
        <f t="shared" ref="N64:N70" si="17">ROUND(C64/health_cap,2)*10</f>
        <v>0.8</v>
      </c>
      <c r="O64" s="89">
        <f t="shared" ref="O64:O70" si="18">ROUND(L64/guns_cap,2)*10</f>
        <v>3.3000000000000003</v>
      </c>
      <c r="P64" s="91">
        <f t="shared" ref="P64:P70" si="19">ROUND(D64/speed_cap,2)*10</f>
        <v>6</v>
      </c>
      <c r="Q64" s="88">
        <f t="shared" ref="Q64:Q70" si="20">ROUND(H64/DPS_cap,2)*10</f>
        <v>0</v>
      </c>
      <c r="R64" s="96">
        <f>SUM(N64:Q64)</f>
        <v>10.100000000000001</v>
      </c>
      <c r="S64" s="86"/>
      <c r="T64" s="101">
        <f>Q64+N64+O64</f>
        <v>4.1000000000000005</v>
      </c>
      <c r="U64" s="101"/>
      <c r="V64" s="33" t="s">
        <v>31</v>
      </c>
      <c r="W64" t="s">
        <v>132</v>
      </c>
      <c r="AF64" s="100"/>
      <c r="AG64" s="100"/>
      <c r="AH64" s="100"/>
      <c r="AI64" s="100"/>
    </row>
    <row r="65" spans="1:35" x14ac:dyDescent="0.45">
      <c r="A65" s="22" t="s">
        <v>94</v>
      </c>
      <c r="B65" s="85">
        <v>32</v>
      </c>
      <c r="C65" s="86">
        <v>60</v>
      </c>
      <c r="D65" s="86">
        <v>3</v>
      </c>
      <c r="E65" s="83" t="s">
        <v>103</v>
      </c>
      <c r="F65" s="83"/>
      <c r="G65" s="86"/>
      <c r="H65" s="86">
        <v>0</v>
      </c>
      <c r="I65" s="86">
        <f t="shared" si="16"/>
        <v>32</v>
      </c>
      <c r="J65" s="86"/>
      <c r="K65" s="86">
        <f>COUNTIF(G3:G35,"&gt;32")</f>
        <v>2</v>
      </c>
      <c r="L65" s="86">
        <f t="shared" ref="L65:L68" si="21">21-K65</f>
        <v>19</v>
      </c>
      <c r="M65" s="86"/>
      <c r="N65" s="87">
        <f t="shared" si="17"/>
        <v>3</v>
      </c>
      <c r="O65" s="89">
        <f t="shared" si="18"/>
        <v>6.3</v>
      </c>
      <c r="P65" s="91">
        <f t="shared" si="19"/>
        <v>3</v>
      </c>
      <c r="Q65" s="88">
        <f t="shared" si="20"/>
        <v>0</v>
      </c>
      <c r="R65" s="96">
        <f t="shared" ref="R65:R69" si="22">SUM(N65:Q65)</f>
        <v>12.3</v>
      </c>
      <c r="S65" s="86"/>
      <c r="T65" s="101">
        <f t="shared" ref="T65:T70" si="23">Q65+N65+O65</f>
        <v>9.3000000000000007</v>
      </c>
      <c r="U65" s="101"/>
      <c r="V65" s="33" t="s">
        <v>31</v>
      </c>
      <c r="W65" t="s">
        <v>131</v>
      </c>
      <c r="AF65" s="100"/>
      <c r="AG65" s="100"/>
      <c r="AH65" s="100"/>
      <c r="AI65" s="100"/>
    </row>
    <row r="66" spans="1:35" x14ac:dyDescent="0.45">
      <c r="A66" s="22" t="s">
        <v>95</v>
      </c>
      <c r="B66" s="86">
        <v>30</v>
      </c>
      <c r="C66" s="86">
        <v>50</v>
      </c>
      <c r="D66" s="86">
        <v>4</v>
      </c>
      <c r="E66" s="83" t="s">
        <v>43</v>
      </c>
      <c r="F66" s="83"/>
      <c r="G66" s="86"/>
      <c r="H66" s="86">
        <v>11.11</v>
      </c>
      <c r="I66" s="86">
        <f t="shared" si="16"/>
        <v>28</v>
      </c>
      <c r="J66" s="86"/>
      <c r="K66" s="86">
        <f>COUNTIF(G3:G35,"&gt;28")</f>
        <v>4</v>
      </c>
      <c r="L66" s="86">
        <f t="shared" si="21"/>
        <v>17</v>
      </c>
      <c r="M66" s="86"/>
      <c r="N66" s="87">
        <f t="shared" si="17"/>
        <v>2.5</v>
      </c>
      <c r="O66" s="89">
        <f t="shared" si="18"/>
        <v>5.6999999999999993</v>
      </c>
      <c r="P66" s="91">
        <f t="shared" si="19"/>
        <v>4</v>
      </c>
      <c r="Q66" s="88">
        <f t="shared" si="20"/>
        <v>2.2000000000000002</v>
      </c>
      <c r="R66" s="96">
        <f t="shared" si="22"/>
        <v>14.399999999999999</v>
      </c>
      <c r="S66" s="86"/>
      <c r="T66" s="101">
        <f t="shared" si="23"/>
        <v>10.399999999999999</v>
      </c>
      <c r="U66" s="101"/>
      <c r="V66" s="33" t="s">
        <v>31</v>
      </c>
      <c r="W66" t="s">
        <v>133</v>
      </c>
      <c r="AF66" s="100"/>
      <c r="AG66" s="100"/>
      <c r="AH66" s="100"/>
      <c r="AI66" s="100"/>
    </row>
    <row r="67" spans="1:35" x14ac:dyDescent="0.45">
      <c r="A67" s="22" t="s">
        <v>96</v>
      </c>
      <c r="B67" s="86">
        <v>40</v>
      </c>
      <c r="C67" s="86">
        <v>192</v>
      </c>
      <c r="D67" s="86">
        <v>1</v>
      </c>
      <c r="E67" s="95" t="s">
        <v>102</v>
      </c>
      <c r="F67" s="83"/>
      <c r="G67" s="86"/>
      <c r="H67" s="86">
        <v>5.63</v>
      </c>
      <c r="I67" s="86">
        <f t="shared" si="16"/>
        <v>48</v>
      </c>
      <c r="J67" s="86"/>
      <c r="K67" s="86">
        <f>COUNTIF(G3:G35,"&gt;48")</f>
        <v>0</v>
      </c>
      <c r="L67" s="86">
        <f t="shared" si="21"/>
        <v>21</v>
      </c>
      <c r="M67" s="86"/>
      <c r="N67" s="87">
        <f t="shared" si="17"/>
        <v>9.6</v>
      </c>
      <c r="O67" s="89">
        <f t="shared" si="18"/>
        <v>7</v>
      </c>
      <c r="P67" s="91">
        <f t="shared" si="19"/>
        <v>1</v>
      </c>
      <c r="Q67" s="88">
        <f t="shared" si="20"/>
        <v>1.1000000000000001</v>
      </c>
      <c r="R67" s="96">
        <f t="shared" si="22"/>
        <v>18.700000000000003</v>
      </c>
      <c r="S67" s="86"/>
      <c r="T67" s="101">
        <f t="shared" si="23"/>
        <v>17.7</v>
      </c>
      <c r="U67" s="101"/>
      <c r="V67" s="26" t="s">
        <v>30</v>
      </c>
      <c r="W67" t="s">
        <v>130</v>
      </c>
    </row>
    <row r="68" spans="1:35" x14ac:dyDescent="0.45">
      <c r="A68" s="22" t="s">
        <v>101</v>
      </c>
      <c r="B68" s="86">
        <v>52</v>
      </c>
      <c r="C68" s="86">
        <v>148</v>
      </c>
      <c r="D68" s="86">
        <v>0</v>
      </c>
      <c r="E68" s="83" t="s">
        <v>38</v>
      </c>
      <c r="F68" s="83"/>
      <c r="G68" s="86"/>
      <c r="H68" s="86">
        <v>13.33</v>
      </c>
      <c r="I68" s="86">
        <f t="shared" si="16"/>
        <v>72</v>
      </c>
      <c r="J68" s="86"/>
      <c r="K68" s="86">
        <f>COUNTIF(G3:G35,"&gt;72")</f>
        <v>0</v>
      </c>
      <c r="L68" s="86">
        <f t="shared" si="21"/>
        <v>21</v>
      </c>
      <c r="M68" s="86"/>
      <c r="N68" s="87">
        <f t="shared" si="17"/>
        <v>7.4</v>
      </c>
      <c r="O68" s="89">
        <f t="shared" si="18"/>
        <v>7</v>
      </c>
      <c r="P68" s="91">
        <f t="shared" si="19"/>
        <v>0</v>
      </c>
      <c r="Q68" s="88">
        <f t="shared" si="20"/>
        <v>2.7</v>
      </c>
      <c r="R68" s="96">
        <f t="shared" si="22"/>
        <v>17.100000000000001</v>
      </c>
      <c r="S68" s="86"/>
      <c r="T68" s="101">
        <f t="shared" si="23"/>
        <v>17.100000000000001</v>
      </c>
      <c r="U68" s="101"/>
      <c r="V68" s="33" t="s">
        <v>31</v>
      </c>
      <c r="W68" t="s">
        <v>128</v>
      </c>
    </row>
    <row r="69" spans="1:35" x14ac:dyDescent="0.45">
      <c r="A69" s="22" t="s">
        <v>112</v>
      </c>
      <c r="B69" s="86">
        <v>26</v>
      </c>
      <c r="C69" s="86">
        <v>40</v>
      </c>
      <c r="D69" s="86">
        <v>10</v>
      </c>
      <c r="E69" s="83" t="s">
        <v>42</v>
      </c>
      <c r="F69" s="83"/>
      <c r="G69" s="86"/>
      <c r="H69" s="86">
        <v>9.09</v>
      </c>
      <c r="I69" s="86">
        <f t="shared" si="16"/>
        <v>20</v>
      </c>
      <c r="J69" s="86"/>
      <c r="K69" s="86">
        <f>COUNTIF(G3:G35,"&gt;20")</f>
        <v>6</v>
      </c>
      <c r="L69" s="86">
        <f>21-K69</f>
        <v>15</v>
      </c>
      <c r="M69" s="86"/>
      <c r="N69" s="87">
        <f t="shared" si="17"/>
        <v>2</v>
      </c>
      <c r="O69" s="89">
        <f t="shared" si="18"/>
        <v>5</v>
      </c>
      <c r="P69" s="91">
        <f t="shared" si="19"/>
        <v>10</v>
      </c>
      <c r="Q69" s="88">
        <f t="shared" si="20"/>
        <v>1.7999999999999998</v>
      </c>
      <c r="R69" s="96">
        <f t="shared" si="22"/>
        <v>18.8</v>
      </c>
      <c r="S69" s="86"/>
      <c r="T69" s="101">
        <f t="shared" si="23"/>
        <v>8.8000000000000007</v>
      </c>
      <c r="U69" s="101"/>
      <c r="V69" s="26" t="s">
        <v>30</v>
      </c>
      <c r="W69" t="s">
        <v>129</v>
      </c>
    </row>
    <row r="70" spans="1:35" x14ac:dyDescent="0.45">
      <c r="A70" s="22" t="s">
        <v>123</v>
      </c>
      <c r="B70" s="86">
        <v>28</v>
      </c>
      <c r="C70" s="86">
        <v>50</v>
      </c>
      <c r="D70" s="86">
        <v>8</v>
      </c>
      <c r="E70" s="95" t="s">
        <v>124</v>
      </c>
      <c r="F70" s="83"/>
      <c r="G70" s="86"/>
      <c r="H70" s="86">
        <v>48</v>
      </c>
      <c r="I70" s="86">
        <f t="shared" ref="I70" si="24">(B70-player_radius)*2</f>
        <v>24</v>
      </c>
      <c r="J70" s="86"/>
      <c r="K70" s="86">
        <f>COUNTIF(G3:G35,"&gt;24")</f>
        <v>4</v>
      </c>
      <c r="L70" s="86">
        <f>21-K70</f>
        <v>17</v>
      </c>
      <c r="M70" s="86"/>
      <c r="N70" s="87">
        <f t="shared" si="17"/>
        <v>2.5</v>
      </c>
      <c r="O70" s="89">
        <f t="shared" si="18"/>
        <v>5.6999999999999993</v>
      </c>
      <c r="P70" s="91">
        <f t="shared" si="19"/>
        <v>8</v>
      </c>
      <c r="Q70" s="88">
        <f t="shared" si="20"/>
        <v>9.6</v>
      </c>
      <c r="R70" s="96">
        <f t="shared" ref="R70" si="25">SUM(N70:Q70)</f>
        <v>25.799999999999997</v>
      </c>
      <c r="S70" s="86"/>
      <c r="T70" s="101">
        <f t="shared" si="23"/>
        <v>17.799999999999997</v>
      </c>
      <c r="U70" s="101"/>
      <c r="V70" s="30" t="s">
        <v>79</v>
      </c>
      <c r="W70" t="s">
        <v>126</v>
      </c>
    </row>
    <row r="74" spans="1:35" x14ac:dyDescent="0.45">
      <c r="A74" s="43" t="s">
        <v>137</v>
      </c>
      <c r="B74" s="97" t="s">
        <v>98</v>
      </c>
      <c r="C74" s="97" t="s">
        <v>97</v>
      </c>
      <c r="D74" s="97" t="s">
        <v>143</v>
      </c>
      <c r="E74" s="99" t="s">
        <v>144</v>
      </c>
      <c r="F74" s="99"/>
      <c r="G74" s="99" t="s">
        <v>145</v>
      </c>
      <c r="H74" s="99"/>
      <c r="I74" s="97"/>
      <c r="J74" s="97"/>
      <c r="K74" s="99" t="s">
        <v>142</v>
      </c>
      <c r="L74" s="99"/>
      <c r="M74" s="99"/>
      <c r="N74" s="99"/>
    </row>
    <row r="75" spans="1:35" x14ac:dyDescent="0.45">
      <c r="A75" s="44" t="s">
        <v>138</v>
      </c>
      <c r="B75" s="83">
        <v>2</v>
      </c>
      <c r="C75" s="86">
        <v>18</v>
      </c>
      <c r="D75" s="86">
        <v>18</v>
      </c>
      <c r="E75" s="100" t="s">
        <v>70</v>
      </c>
      <c r="F75" s="100"/>
      <c r="G75" s="100">
        <f>D75*frag_damage</f>
        <v>36</v>
      </c>
      <c r="H75" s="100"/>
      <c r="I75" s="86"/>
      <c r="J75" s="86"/>
      <c r="K75" s="100" t="s">
        <v>141</v>
      </c>
      <c r="L75" s="100"/>
      <c r="M75" s="100"/>
      <c r="N75" s="100"/>
    </row>
    <row r="76" spans="1:35" x14ac:dyDescent="0.45">
      <c r="A76" s="44" t="s">
        <v>139</v>
      </c>
      <c r="B76" s="83">
        <v>30</v>
      </c>
      <c r="C76" s="86">
        <v>32</v>
      </c>
      <c r="D76" s="86">
        <v>12</v>
      </c>
      <c r="E76" s="100" t="s">
        <v>134</v>
      </c>
      <c r="F76" s="100"/>
      <c r="G76" s="100">
        <f>D76*shockWave_damage</f>
        <v>180</v>
      </c>
      <c r="H76" s="100"/>
      <c r="I76" s="86"/>
      <c r="J76" s="86"/>
      <c r="K76" s="100" t="s">
        <v>140</v>
      </c>
      <c r="L76" s="100"/>
      <c r="M76" s="100"/>
      <c r="N76" s="100"/>
    </row>
    <row r="80" spans="1:35" x14ac:dyDescent="0.45">
      <c r="A80" s="43" t="s">
        <v>146</v>
      </c>
      <c r="B80" s="97" t="s">
        <v>147</v>
      </c>
      <c r="C80" s="97" t="s">
        <v>99</v>
      </c>
      <c r="D80" s="97" t="s">
        <v>153</v>
      </c>
      <c r="E80" s="99" t="s">
        <v>148</v>
      </c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 t="s">
        <v>163</v>
      </c>
      <c r="Q80" s="99"/>
      <c r="R80" s="99"/>
      <c r="S80" s="99"/>
      <c r="T80" s="99"/>
      <c r="U80" s="99"/>
      <c r="V80" s="99"/>
      <c r="W80" s="99"/>
      <c r="X80" s="99"/>
      <c r="Y80" s="99"/>
      <c r="Z80" s="99"/>
    </row>
    <row r="81" spans="1:26" x14ac:dyDescent="0.45">
      <c r="A81" s="44" t="s">
        <v>154</v>
      </c>
      <c r="B81" s="83" t="s">
        <v>149</v>
      </c>
      <c r="C81" s="41">
        <v>7</v>
      </c>
      <c r="D81" s="85">
        <v>16</v>
      </c>
      <c r="E81" s="98" t="s">
        <v>159</v>
      </c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 t="s">
        <v>164</v>
      </c>
      <c r="Q81" s="98"/>
      <c r="R81" s="98"/>
      <c r="S81" s="98"/>
      <c r="T81" s="98"/>
      <c r="U81" s="98"/>
      <c r="V81" s="98"/>
      <c r="W81" s="98"/>
      <c r="X81" s="98"/>
      <c r="Y81" s="98"/>
      <c r="Z81" s="98"/>
    </row>
    <row r="82" spans="1:26" x14ac:dyDescent="0.45">
      <c r="A82" s="44" t="s">
        <v>155</v>
      </c>
      <c r="B82" s="83" t="s">
        <v>150</v>
      </c>
      <c r="C82" s="85" t="s">
        <v>158</v>
      </c>
      <c r="D82" s="85">
        <v>1</v>
      </c>
      <c r="E82" s="98" t="s">
        <v>161</v>
      </c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8"/>
      <c r="S82" s="98"/>
      <c r="T82" s="98"/>
      <c r="U82" s="98"/>
      <c r="V82" s="98"/>
      <c r="W82" s="98"/>
      <c r="X82" s="98"/>
      <c r="Y82" s="98"/>
      <c r="Z82" s="98"/>
    </row>
    <row r="83" spans="1:26" x14ac:dyDescent="0.45">
      <c r="A83" s="44" t="s">
        <v>156</v>
      </c>
      <c r="B83" s="83" t="s">
        <v>151</v>
      </c>
      <c r="C83" s="85" t="s">
        <v>158</v>
      </c>
      <c r="D83" s="85">
        <v>1</v>
      </c>
      <c r="E83" s="98" t="s">
        <v>160</v>
      </c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8"/>
      <c r="S83" s="98"/>
      <c r="T83" s="98"/>
      <c r="U83" s="98"/>
      <c r="V83" s="98"/>
      <c r="W83" s="98"/>
      <c r="X83" s="98"/>
      <c r="Y83" s="98"/>
      <c r="Z83" s="98"/>
    </row>
    <row r="84" spans="1:26" x14ac:dyDescent="0.45">
      <c r="A84" s="44" t="s">
        <v>157</v>
      </c>
      <c r="B84" s="83" t="s">
        <v>152</v>
      </c>
      <c r="C84" s="85">
        <v>6</v>
      </c>
      <c r="D84" s="85">
        <v>1</v>
      </c>
      <c r="E84" s="98" t="s">
        <v>162</v>
      </c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 t="s">
        <v>165</v>
      </c>
      <c r="Q84" s="98"/>
      <c r="R84" s="98"/>
      <c r="S84" s="98"/>
      <c r="T84" s="98"/>
      <c r="U84" s="98"/>
      <c r="V84" s="98"/>
      <c r="W84" s="98"/>
      <c r="X84" s="98"/>
      <c r="Y84" s="98"/>
      <c r="Z84" s="98"/>
    </row>
    <row r="85" spans="1:26" x14ac:dyDescent="0.45">
      <c r="A85" s="44"/>
      <c r="B85" s="83"/>
      <c r="C85" s="86"/>
      <c r="D85" s="86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8"/>
      <c r="S85" s="98"/>
      <c r="T85" s="98"/>
      <c r="U85" s="98"/>
      <c r="V85" s="98"/>
      <c r="W85" s="98"/>
      <c r="X85" s="98"/>
      <c r="Y85" s="98"/>
      <c r="Z85" s="98"/>
    </row>
    <row r="86" spans="1:26" x14ac:dyDescent="0.45">
      <c r="A86" s="44"/>
      <c r="B86" s="83"/>
      <c r="C86" s="86"/>
      <c r="D86" s="86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98"/>
    </row>
  </sheetData>
  <mergeCells count="40">
    <mergeCell ref="E80:O80"/>
    <mergeCell ref="E81:O81"/>
    <mergeCell ref="N62:R62"/>
    <mergeCell ref="I62:J62"/>
    <mergeCell ref="AF60:AI60"/>
    <mergeCell ref="AF66:AI66"/>
    <mergeCell ref="AF61:AI61"/>
    <mergeCell ref="AF62:AI62"/>
    <mergeCell ref="AF63:AI63"/>
    <mergeCell ref="AF64:AI64"/>
    <mergeCell ref="AF65:AI65"/>
    <mergeCell ref="T63:U63"/>
    <mergeCell ref="T64:U64"/>
    <mergeCell ref="T65:U65"/>
    <mergeCell ref="T67:U67"/>
    <mergeCell ref="T68:U68"/>
    <mergeCell ref="T66:U66"/>
    <mergeCell ref="T69:U69"/>
    <mergeCell ref="T70:U70"/>
    <mergeCell ref="K74:N74"/>
    <mergeCell ref="K75:N75"/>
    <mergeCell ref="K76:N76"/>
    <mergeCell ref="E74:F74"/>
    <mergeCell ref="E75:F75"/>
    <mergeCell ref="E76:F76"/>
    <mergeCell ref="G74:H74"/>
    <mergeCell ref="G75:H75"/>
    <mergeCell ref="G76:H76"/>
    <mergeCell ref="E82:O82"/>
    <mergeCell ref="E83:O83"/>
    <mergeCell ref="E84:O84"/>
    <mergeCell ref="E85:O85"/>
    <mergeCell ref="E86:O86"/>
    <mergeCell ref="P85:Z85"/>
    <mergeCell ref="P86:Z86"/>
    <mergeCell ref="P80:Z80"/>
    <mergeCell ref="P81:Z81"/>
    <mergeCell ref="P82:Z82"/>
    <mergeCell ref="P83:Z83"/>
    <mergeCell ref="P84:Z8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11</vt:i4>
      </vt:variant>
    </vt:vector>
  </HeadingPairs>
  <TitlesOfParts>
    <vt:vector size="12" baseType="lpstr">
      <vt:lpstr>Sheet1</vt:lpstr>
      <vt:lpstr>DPS_cap</vt:lpstr>
      <vt:lpstr>frag_damage</vt:lpstr>
      <vt:lpstr>fragHitNum</vt:lpstr>
      <vt:lpstr>fraghitnum2</vt:lpstr>
      <vt:lpstr>guns_cap</vt:lpstr>
      <vt:lpstr>health_cap</vt:lpstr>
      <vt:lpstr>player_radius</vt:lpstr>
      <vt:lpstr>playerHealth</vt:lpstr>
      <vt:lpstr>shockWave_damage</vt:lpstr>
      <vt:lpstr>speed_cap</vt:lpstr>
      <vt:lpstr>tilesize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송승환</dc:creator>
  <cp:lastModifiedBy>송승환</cp:lastModifiedBy>
  <dcterms:created xsi:type="dcterms:W3CDTF">2015-06-05T18:19:34Z</dcterms:created>
  <dcterms:modified xsi:type="dcterms:W3CDTF">2024-02-09T08:59:01Z</dcterms:modified>
</cp:coreProperties>
</file>