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kingc\web\blackout_deathmatch\"/>
    </mc:Choice>
  </mc:AlternateContent>
  <xr:revisionPtr revIDLastSave="0" documentId="13_ncr:1_{8E4FFC5C-C5C5-48BE-BC31-C0DA590EDAB9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definedNames>
    <definedName name="DPS_cap">Sheet1!$R$61</definedName>
    <definedName name="frag_damage">Sheet1!$F$4</definedName>
    <definedName name="fragHitNum">Sheet1!$L$3</definedName>
    <definedName name="fraghitnum2">Sheet1!$L$5</definedName>
    <definedName name="gun_bullet_explosion_damage">Sheet1!$F$8</definedName>
    <definedName name="guns_cap">Sheet1!$P$61</definedName>
    <definedName name="health_cap">Sheet1!$O$61</definedName>
    <definedName name="player_radius">Sheet1!$P$48</definedName>
    <definedName name="playerHealth">Sheet1!$P$46</definedName>
    <definedName name="shockWave_damage">Sheet1!$F$6</definedName>
    <definedName name="speed_cap">Sheet1!$Q$61</definedName>
    <definedName name="tilesize">Sheet1!$P$47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1" l="1"/>
  <c r="X9" i="1" s="1"/>
  <c r="U9" i="1"/>
  <c r="V9" i="1" s="1"/>
  <c r="R9" i="1"/>
  <c r="Q9" i="1"/>
  <c r="P9" i="1"/>
  <c r="O9" i="1"/>
  <c r="N9" i="1"/>
  <c r="M9" i="1"/>
  <c r="Q69" i="1"/>
  <c r="W37" i="1"/>
  <c r="X37" i="1" s="1"/>
  <c r="W36" i="1"/>
  <c r="X36" i="1" s="1"/>
  <c r="W34" i="1"/>
  <c r="X34" i="1" s="1"/>
  <c r="W35" i="1"/>
  <c r="X35" i="1" s="1"/>
  <c r="U36" i="1"/>
  <c r="V36" i="1" s="1"/>
  <c r="U37" i="1"/>
  <c r="V37" i="1" s="1"/>
  <c r="M37" i="1"/>
  <c r="N37" i="1"/>
  <c r="P37" i="1"/>
  <c r="P36" i="1"/>
  <c r="M36" i="1"/>
  <c r="N36" i="1"/>
  <c r="U25" i="1"/>
  <c r="V25" i="1" s="1"/>
  <c r="W25" i="1"/>
  <c r="X25" i="1" s="1"/>
  <c r="U3" i="1"/>
  <c r="V3" i="1" s="1"/>
  <c r="W5" i="1"/>
  <c r="X5" i="1" s="1"/>
  <c r="W3" i="1"/>
  <c r="X3" i="1" s="1"/>
  <c r="M35" i="1"/>
  <c r="N35" i="1"/>
  <c r="U35" i="1"/>
  <c r="V35" i="1"/>
  <c r="P35" i="1"/>
  <c r="M25" i="1"/>
  <c r="U11" i="1"/>
  <c r="V11" i="1" s="1"/>
  <c r="U12" i="1"/>
  <c r="V12" i="1" s="1"/>
  <c r="W8" i="1"/>
  <c r="X8" i="1" s="1"/>
  <c r="U8" i="1"/>
  <c r="V8" i="1" s="1"/>
  <c r="R8" i="1"/>
  <c r="Q8" i="1"/>
  <c r="P8" i="1"/>
  <c r="O8" i="1"/>
  <c r="N8" i="1"/>
  <c r="M8" i="1"/>
  <c r="M5" i="1"/>
  <c r="M3" i="1"/>
  <c r="P25" i="1"/>
  <c r="O25" i="1"/>
  <c r="N25" i="1"/>
  <c r="R25" i="1"/>
  <c r="Q25" i="1"/>
  <c r="N3" i="1"/>
  <c r="O3" i="1"/>
  <c r="P3" i="1"/>
  <c r="Q3" i="1"/>
  <c r="R3" i="1"/>
  <c r="W14" i="1"/>
  <c r="X14" i="1" s="1"/>
  <c r="U14" i="1"/>
  <c r="V14" i="1" s="1"/>
  <c r="R14" i="1"/>
  <c r="Q14" i="1"/>
  <c r="P14" i="1"/>
  <c r="O14" i="1"/>
  <c r="N14" i="1"/>
  <c r="M14" i="1"/>
  <c r="N17" i="1"/>
  <c r="N11" i="1"/>
  <c r="N12" i="1"/>
  <c r="N13" i="1"/>
  <c r="N16" i="1"/>
  <c r="N18" i="1"/>
  <c r="N19" i="1"/>
  <c r="N20" i="1"/>
  <c r="N23" i="1"/>
  <c r="N24" i="1"/>
  <c r="N28" i="1"/>
  <c r="N29" i="1"/>
  <c r="N30" i="1"/>
  <c r="N10" i="1"/>
  <c r="N6" i="1"/>
  <c r="N5" i="1"/>
  <c r="N4" i="1"/>
  <c r="W29" i="1"/>
  <c r="X29" i="1" s="1"/>
  <c r="P5" i="1"/>
  <c r="M58" i="1"/>
  <c r="Q7" i="1"/>
  <c r="R7" i="1"/>
  <c r="H76" i="1"/>
  <c r="H75" i="1"/>
  <c r="W6" i="1"/>
  <c r="X6" i="1" s="1"/>
  <c r="U6" i="1"/>
  <c r="V6" i="1" s="1"/>
  <c r="M6" i="1"/>
  <c r="R6" i="1"/>
  <c r="Q6" i="1"/>
  <c r="P6" i="1"/>
  <c r="O6" i="1"/>
  <c r="U5" i="1"/>
  <c r="V5" i="1" s="1"/>
  <c r="O5" i="1"/>
  <c r="L68" i="1"/>
  <c r="M68" i="1" s="1"/>
  <c r="P68" i="1" s="1"/>
  <c r="L67" i="1"/>
  <c r="M67" i="1" s="1"/>
  <c r="P67" i="1" s="1"/>
  <c r="L70" i="1"/>
  <c r="M70" i="1" s="1"/>
  <c r="P70" i="1" s="1"/>
  <c r="L69" i="1"/>
  <c r="M69" i="1" s="1"/>
  <c r="P69" i="1" s="1"/>
  <c r="J70" i="1"/>
  <c r="O70" i="1"/>
  <c r="Q70" i="1"/>
  <c r="R70" i="1"/>
  <c r="Q65" i="1"/>
  <c r="R65" i="1"/>
  <c r="Q66" i="1"/>
  <c r="R66" i="1"/>
  <c r="Q67" i="1"/>
  <c r="R67" i="1"/>
  <c r="Q68" i="1"/>
  <c r="R68" i="1"/>
  <c r="R69" i="1"/>
  <c r="R64" i="1"/>
  <c r="Q64" i="1"/>
  <c r="O64" i="1"/>
  <c r="O65" i="1"/>
  <c r="O66" i="1"/>
  <c r="O67" i="1"/>
  <c r="O68" i="1"/>
  <c r="O69" i="1"/>
  <c r="J69" i="1"/>
  <c r="M62" i="1"/>
  <c r="L66" i="1"/>
  <c r="M66" i="1" s="1"/>
  <c r="P66" i="1" s="1"/>
  <c r="L65" i="1"/>
  <c r="M65" i="1" s="1"/>
  <c r="P65" i="1" s="1"/>
  <c r="L64" i="1"/>
  <c r="M64" i="1" s="1"/>
  <c r="P64" i="1" s="1"/>
  <c r="J65" i="1"/>
  <c r="J66" i="1"/>
  <c r="J67" i="1"/>
  <c r="J68" i="1"/>
  <c r="J64" i="1"/>
  <c r="R5" i="1"/>
  <c r="Q5" i="1"/>
  <c r="D58" i="1"/>
  <c r="E58" i="1"/>
  <c r="F58" i="1"/>
  <c r="G58" i="1"/>
  <c r="H58" i="1"/>
  <c r="I58" i="1"/>
  <c r="J58" i="1"/>
  <c r="K58" i="1"/>
  <c r="L58" i="1"/>
  <c r="C58" i="1"/>
  <c r="W33" i="1"/>
  <c r="X33" i="1" s="1"/>
  <c r="U33" i="1"/>
  <c r="V33" i="1" s="1"/>
  <c r="U34" i="1"/>
  <c r="V34" i="1" s="1"/>
  <c r="U30" i="1"/>
  <c r="V30" i="1" s="1"/>
  <c r="P30" i="1"/>
  <c r="P29" i="1"/>
  <c r="P28" i="1"/>
  <c r="P24" i="1"/>
  <c r="P23" i="1"/>
  <c r="P20" i="1"/>
  <c r="P19" i="1"/>
  <c r="P18" i="1"/>
  <c r="P17" i="1"/>
  <c r="P16" i="1"/>
  <c r="P13" i="1"/>
  <c r="P12" i="1"/>
  <c r="P11" i="1"/>
  <c r="P10" i="1"/>
  <c r="P4" i="1"/>
  <c r="R4" i="1"/>
  <c r="Q4" i="1"/>
  <c r="Q10" i="1"/>
  <c r="U10" i="1"/>
  <c r="V10" i="1" s="1"/>
  <c r="W4" i="1"/>
  <c r="X4" i="1" s="1"/>
  <c r="U4" i="1"/>
  <c r="V4" i="1" s="1"/>
  <c r="O4" i="1"/>
  <c r="M4" i="1"/>
  <c r="K59" i="1"/>
  <c r="L59" i="1"/>
  <c r="M59" i="1"/>
  <c r="D59" i="1"/>
  <c r="E59" i="1"/>
  <c r="F59" i="1"/>
  <c r="G59" i="1"/>
  <c r="H59" i="1"/>
  <c r="I59" i="1"/>
  <c r="J59" i="1"/>
  <c r="C59" i="1"/>
  <c r="P34" i="1"/>
  <c r="N34" i="1"/>
  <c r="M34" i="1"/>
  <c r="P33" i="1"/>
  <c r="N33" i="1"/>
  <c r="M33" i="1"/>
  <c r="W30" i="1"/>
  <c r="X30" i="1" s="1"/>
  <c r="R30" i="1"/>
  <c r="Q30" i="1"/>
  <c r="O30" i="1"/>
  <c r="M30" i="1"/>
  <c r="U29" i="1"/>
  <c r="V29" i="1" s="1"/>
  <c r="R29" i="1"/>
  <c r="Q29" i="1"/>
  <c r="O29" i="1"/>
  <c r="M29" i="1"/>
  <c r="W28" i="1"/>
  <c r="X28" i="1" s="1"/>
  <c r="U28" i="1"/>
  <c r="V28" i="1" s="1"/>
  <c r="R28" i="1"/>
  <c r="Q28" i="1"/>
  <c r="O28" i="1"/>
  <c r="M28" i="1"/>
  <c r="W24" i="1"/>
  <c r="X24" i="1" s="1"/>
  <c r="U24" i="1"/>
  <c r="V24" i="1" s="1"/>
  <c r="R24" i="1"/>
  <c r="Q24" i="1"/>
  <c r="O24" i="1"/>
  <c r="M24" i="1"/>
  <c r="W23" i="1"/>
  <c r="X23" i="1" s="1"/>
  <c r="U23" i="1"/>
  <c r="V23" i="1" s="1"/>
  <c r="R23" i="1"/>
  <c r="Q23" i="1"/>
  <c r="O23" i="1"/>
  <c r="M23" i="1"/>
  <c r="W20" i="1"/>
  <c r="X20" i="1" s="1"/>
  <c r="U20" i="1"/>
  <c r="V20" i="1" s="1"/>
  <c r="R20" i="1"/>
  <c r="Q20" i="1"/>
  <c r="O20" i="1"/>
  <c r="M20" i="1"/>
  <c r="W19" i="1"/>
  <c r="X19" i="1" s="1"/>
  <c r="U19" i="1"/>
  <c r="V19" i="1" s="1"/>
  <c r="R19" i="1"/>
  <c r="Q19" i="1"/>
  <c r="O19" i="1"/>
  <c r="M19" i="1"/>
  <c r="W18" i="1"/>
  <c r="X18" i="1" s="1"/>
  <c r="U18" i="1"/>
  <c r="V18" i="1" s="1"/>
  <c r="R18" i="1"/>
  <c r="Q18" i="1"/>
  <c r="O18" i="1"/>
  <c r="M18" i="1"/>
  <c r="W17" i="1"/>
  <c r="X17" i="1" s="1"/>
  <c r="U17" i="1"/>
  <c r="V17" i="1" s="1"/>
  <c r="R17" i="1"/>
  <c r="Q17" i="1"/>
  <c r="O17" i="1"/>
  <c r="M17" i="1"/>
  <c r="W16" i="1"/>
  <c r="X16" i="1" s="1"/>
  <c r="U16" i="1"/>
  <c r="V16" i="1" s="1"/>
  <c r="R16" i="1"/>
  <c r="Q16" i="1"/>
  <c r="O16" i="1"/>
  <c r="M16" i="1"/>
  <c r="W13" i="1"/>
  <c r="X13" i="1" s="1"/>
  <c r="U13" i="1"/>
  <c r="V13" i="1" s="1"/>
  <c r="R13" i="1"/>
  <c r="Q13" i="1"/>
  <c r="O13" i="1"/>
  <c r="M13" i="1"/>
  <c r="W12" i="1"/>
  <c r="X12" i="1" s="1"/>
  <c r="R12" i="1"/>
  <c r="Q12" i="1"/>
  <c r="O12" i="1"/>
  <c r="M12" i="1"/>
  <c r="W11" i="1"/>
  <c r="X11" i="1" s="1"/>
  <c r="R11" i="1"/>
  <c r="Q11" i="1"/>
  <c r="O11" i="1"/>
  <c r="M11" i="1"/>
  <c r="W10" i="1"/>
  <c r="X10" i="1" s="1"/>
  <c r="R10" i="1"/>
  <c r="O10" i="1"/>
  <c r="M10" i="1"/>
  <c r="U69" i="1" l="1"/>
  <c r="U70" i="1"/>
  <c r="U67" i="1"/>
  <c r="U65" i="1"/>
  <c r="U66" i="1"/>
  <c r="S65" i="1"/>
  <c r="U68" i="1"/>
  <c r="U64" i="1"/>
  <c r="S68" i="1"/>
  <c r="S64" i="1"/>
  <c r="S66" i="1"/>
  <c r="S67" i="1"/>
  <c r="S69" i="1"/>
  <c r="S7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61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</futureMetadata>
  <valueMetadata count="6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</valueMetadata>
</metadata>
</file>

<file path=xl/sharedStrings.xml><?xml version="1.0" encoding="utf-8"?>
<sst xmlns="http://schemas.openxmlformats.org/spreadsheetml/2006/main" count="400" uniqueCount="311">
  <si>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</si>
  <si>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</si>
  <si>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</si>
  <si>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</si>
  <si>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</si>
  <si>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</si>
  <si>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</si>
  <si>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</si>
  <si>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</si>
  <si>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</si>
  <si>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</si>
  <si>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</si>
  <si>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</si>
  <si>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</si>
  <si>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</si>
  <si>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</si>
  <si>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</si>
  <si>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</si>
  <si>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</si>
  <si>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</si>
  <si>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</si>
  <si>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</si>
  <si>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</si>
  <si>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</si>
  <si>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</si>
  <si>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</si>
  <si>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</si>
  <si>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</si>
  <si>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</si>
  <si>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</si>
  <si>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</si>
  <si>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</si>
  <si>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</si>
  <si>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</si>
  <si>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</si>
  <si>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</si>
  <si>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</si>
  <si>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</si>
  <si>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</si>
  <si>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</si>
  <si>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</si>
  <si>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</si>
  <si>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</si>
  <si>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</si>
  <si>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</si>
  <si>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</si>
  <si>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</si>
  <si>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</si>
  <si>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</si>
  <si>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</si>
  <si>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</si>
  <si>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</si>
  <si>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</si>
  <si>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</si>
  <si>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</si>
  <si>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</si>
  <si>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</si>
  <si>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</si>
  <si>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</si>
  <si>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</si>
  <si>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</si>
  <si>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</si>
  <si>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</si>
  <si>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</si>
  <si>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</si>
  <si>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</si>
  <si>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</si>
  <si>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</si>
  <si>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</si>
  <si>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</si>
  <si>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</si>
  <si>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</si>
  <si>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</si>
  <si>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</si>
  <si>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</si>
  <si>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</si>
  <si>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can be seen in normal ranges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</si>
  <si>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</si>
  <si>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</si>
  <si>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</si>
  <si>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</si>
  <si>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</si>
  <si>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</si>
  <si>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</si>
  <si>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</si>
  <si>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</si>
  <si>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</si>
  <si>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</si>
  <si>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</si>
  <si>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</si>
  <si>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</si>
  <si>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</si>
  <si>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</si>
  <si>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</si>
  <si>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</si>
  <si>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</si>
  <si>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</si>
  <si>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</si>
  <si>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</si>
  <si>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</si>
  <si>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</si>
  <si>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</si>
  <si>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</si>
  <si>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</si>
  <si>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</si>
  <si>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</si>
  <si>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</si>
  <si>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</si>
  <si>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</si>
  <si>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</si>
  <si>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</si>
  <si>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</si>
  <si>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</si>
  <si>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</si>
  <si>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</si>
  <si>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</si>
  <si>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</si>
  <si>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</si>
  <si>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</si>
  <si>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</si>
  <si>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</si>
  <si>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</si>
  <si>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</si>
  <si>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</si>
  <si>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</si>
  <si>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</si>
  <si>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</si>
  <si>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</si>
  <si>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</si>
  <si>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</si>
  <si>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</si>
  <si>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</si>
  <si>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</si>
  <si>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</si>
  <si>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</si>
  <si>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</si>
  <si>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</si>
  <si>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</si>
  <si>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</si>
  <si>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</si>
  <si>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</si>
  <si>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</si>
  <si>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</si>
  <si>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</si>
  <si>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</si>
  <si>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</si>
  <si>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</si>
  <si>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</si>
  <si>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Bombarding with shockwaves</t>
    <phoneticPr fontId="1" type="noConversion"/>
  </si>
  <si>
    <t>Can transport the caller player when able to pickup. Player then can get off the plane on its route.</t>
    <phoneticPr fontId="1" type="noConversion"/>
  </si>
  <si>
    <t>Detail</t>
    <phoneticPr fontId="1" type="noConversion"/>
  </si>
  <si>
    <t>Drop two bombs at a time</t>
    <phoneticPr fontId="1" type="noConversion"/>
  </si>
  <si>
    <t>When players are within the pickup range near the initial location and not in a house, and not riding a vehicle</t>
    <phoneticPr fontId="1" type="noConversion"/>
  </si>
  <si>
    <t>flare gun</t>
    <phoneticPr fontId="1" type="noConversion"/>
  </si>
  <si>
    <t>30 ~ 320</t>
    <phoneticPr fontId="1" type="noConversion"/>
  </si>
  <si>
    <t>you cannot fire before fire rate is passed</t>
    <phoneticPr fontId="1" type="noConversion"/>
  </si>
  <si>
    <t>red, green, yellow, white</t>
    <phoneticPr fontId="1" type="noConversion"/>
  </si>
  <si>
    <t>unkillable</t>
    <phoneticPr fontId="1" type="noConversion"/>
  </si>
  <si>
    <t>default</t>
    <phoneticPr fontId="1" type="noConversion"/>
  </si>
  <si>
    <t>theoretically impossible</t>
    <phoneticPr fontId="1" type="noConversion"/>
  </si>
  <si>
    <t>special
occation</t>
    <phoneticPr fontId="1" type="noConversion"/>
  </si>
  <si>
    <t>in house</t>
    <phoneticPr fontId="1" type="noConversion"/>
  </si>
  <si>
    <t>Variants</t>
    <phoneticPr fontId="1" type="noConversion"/>
  </si>
  <si>
    <t>item form</t>
    <phoneticPr fontId="1" type="noConversion"/>
  </si>
  <si>
    <t>Sahara map</t>
    <phoneticPr fontId="1" type="noConversion"/>
  </si>
  <si>
    <t>Military base</t>
    <phoneticPr fontId="1" type="noConversion"/>
  </si>
  <si>
    <t>Vehicle</t>
    <phoneticPr fontId="1" type="noConversion"/>
  </si>
  <si>
    <t>Scope</t>
    <phoneticPr fontId="1" type="noConversion"/>
  </si>
  <si>
    <t>Armor</t>
    <phoneticPr fontId="1" type="noConversion"/>
  </si>
  <si>
    <t>Skin</t>
    <phoneticPr fontId="1" type="noConversion"/>
  </si>
  <si>
    <t>Gun</t>
    <phoneticPr fontId="1" type="noConversion"/>
  </si>
  <si>
    <t>BLACKOUT WIKI</t>
    <phoneticPr fontId="1" type="noConversion"/>
  </si>
  <si>
    <t>Default skin</t>
    <phoneticPr fontId="1" type="noConversion"/>
  </si>
  <si>
    <t>HALO</t>
    <phoneticPr fontId="1" type="noConversion"/>
  </si>
  <si>
    <t>How to obtain</t>
    <phoneticPr fontId="1" type="noConversion"/>
  </si>
  <si>
    <t>VOID</t>
    <phoneticPr fontId="1" type="noConversion"/>
  </si>
  <si>
    <t>Basic skin</t>
    <phoneticPr fontId="1" type="noConversion"/>
  </si>
  <si>
    <t>Transparent clocking clothing. Everyone's favorite, huh.</t>
    <phoneticPr fontId="1" type="noConversion"/>
  </si>
  <si>
    <t>You are an agent wearing a gray suit.</t>
    <phoneticPr fontId="1" type="noConversion"/>
  </si>
  <si>
    <t>Name the user exactly to "HALO"</t>
    <phoneticPr fontId="1" type="noConversion"/>
  </si>
  <si>
    <t>This skin is to commemorate the game developer.</t>
    <phoneticPr fontId="1" type="noConversion"/>
  </si>
  <si>
    <t>In-game dropped</t>
    <phoneticPr fontId="1" type="noConversion"/>
  </si>
  <si>
    <t>no</t>
    <phoneticPr fontId="1" type="noConversion"/>
  </si>
  <si>
    <t>capacity</t>
    <phoneticPr fontId="1" type="noConversion"/>
  </si>
  <si>
    <t>Scope: How far a player can see in unit of tiles (tiles are drawn fixed size)</t>
    <phoneticPr fontId="1" type="noConversion"/>
  </si>
  <si>
    <t>Consumable</t>
    <phoneticPr fontId="1" type="noConversion"/>
  </si>
  <si>
    <t>Restrictions</t>
    <phoneticPr fontId="1" type="noConversion"/>
  </si>
  <si>
    <t>medkit</t>
    <phoneticPr fontId="1" type="noConversion"/>
  </si>
  <si>
    <t>bandage</t>
    <phoneticPr fontId="1" type="noConversion"/>
  </si>
  <si>
    <t>8 (max)</t>
    <phoneticPr fontId="1" type="noConversion"/>
  </si>
  <si>
    <t>Player health must be blow 6</t>
    <phoneticPr fontId="1" type="noConversion"/>
  </si>
  <si>
    <t>Game objective: not decided yet</t>
    <phoneticPr fontId="1" type="noConversion"/>
  </si>
  <si>
    <t>other objects: wall, hut</t>
    <phoneticPr fontId="1" type="noConversion"/>
  </si>
  <si>
    <t>c.f.</t>
    <phoneticPr fontId="1" type="noConversion"/>
  </si>
  <si>
    <t>damage&gt;0.8: absorb 0.4</t>
    <phoneticPr fontId="1" type="noConversion"/>
  </si>
  <si>
    <t>EMERGENCY COVER</t>
    <phoneticPr fontId="1" type="noConversion"/>
  </si>
  <si>
    <t>?</t>
    <phoneticPr fontId="1" type="noConversion"/>
  </si>
  <si>
    <t>anti blast</t>
    <phoneticPr fontId="1" type="noConversion"/>
  </si>
  <si>
    <t>turtle</t>
    <phoneticPr fontId="1" type="noConversion"/>
  </si>
  <si>
    <t>blast damage (fragment &amp; shockwave)</t>
    <phoneticPr fontId="1" type="noConversion"/>
  </si>
  <si>
    <t xml:space="preserve">all weapons </t>
    <phoneticPr fontId="1" type="noConversion"/>
  </si>
  <si>
    <t>blast damage reduction</t>
    <phoneticPr fontId="1" type="noConversion"/>
  </si>
  <si>
    <t>frag 2 -&gt; 0.5 / shock 15 -&gt; 2</t>
    <phoneticPr fontId="1" type="noConversion"/>
  </si>
  <si>
    <t>FROST</t>
    <phoneticPr fontId="1" type="noConversion"/>
  </si>
  <si>
    <t>TAEGEUK</t>
    <phoneticPr fontId="1" type="noConversion"/>
  </si>
  <si>
    <t>GRADIENT</t>
    <phoneticPr fontId="1" type="noConversion"/>
  </si>
  <si>
    <t>CANDY</t>
    <phoneticPr fontId="1" type="noConversion"/>
  </si>
  <si>
    <t>PYTHON</t>
    <phoneticPr fontId="1" type="noConversion"/>
  </si>
  <si>
    <t>JAVA</t>
    <phoneticPr fontId="1" type="noConversion"/>
  </si>
  <si>
    <t>LINUX</t>
    <phoneticPr fontId="1" type="noConversion"/>
  </si>
  <si>
    <t>Same</t>
    <phoneticPr fontId="1" type="noConversion"/>
  </si>
  <si>
    <t>Winter theme.</t>
    <phoneticPr fontId="1" type="noConversion"/>
  </si>
  <si>
    <t>Korea!</t>
    <phoneticPr fontId="1" type="noConversion"/>
  </si>
  <si>
    <t>The color of KAIST.</t>
    <phoneticPr fontId="1" type="noConversion"/>
  </si>
  <si>
    <t>Christmas theme.</t>
    <phoneticPr fontId="1" type="noConversion"/>
  </si>
  <si>
    <t>I like PYTHON.</t>
    <phoneticPr fontId="1" type="noConversion"/>
  </si>
  <si>
    <t>Javascript has nothing to do with this…</t>
    <phoneticPr fontId="1" type="noConversion"/>
  </si>
  <si>
    <t>Freaking penguins are cute.</t>
    <phoneticPr fontId="1" type="noConversion"/>
  </si>
  <si>
    <t>priority in deathmatch</t>
    <phoneticPr fontId="1" type="noConversion"/>
  </si>
  <si>
    <t>Drop a medkit, a scope(+2), and an armor (reduce)</t>
    <phoneticPr fontId="1" type="noConversion"/>
  </si>
  <si>
    <t>Drop a Fennek</t>
    <phoneticPr fontId="1" type="noConversion"/>
  </si>
  <si>
    <t>VSS: surpressed sound / travel distance is unusually far compared to 5mm using guns</t>
    <phoneticPr fontId="1" type="noConversion"/>
  </si>
  <si>
    <t>Deagle</t>
    <phoneticPr fontId="1" type="noConversion"/>
  </si>
  <si>
    <t>Better version of pistol</t>
    <phoneticPr fontId="1" type="noConversion"/>
  </si>
  <si>
    <t>Slow bullet speed, low range, low fireRate</t>
    <phoneticPr fontId="1" type="noConversion"/>
  </si>
  <si>
    <t>explosion</t>
    <phoneticPr fontId="1" type="noConversion"/>
  </si>
  <si>
    <t>EXPLOSIVE AMMO : 3~5 explosives (average of 4 frags, but statistically 3 hits most frequent) / each frag deals 1 damage (same as a bat)</t>
    <phoneticPr fontId="1" type="noConversion"/>
  </si>
  <si>
    <t>unused</t>
    <phoneticPr fontId="1" type="noConversion"/>
  </si>
  <si>
    <t>TIPS &amp; TRICKS</t>
    <phoneticPr fontId="1" type="noConversion"/>
  </si>
  <si>
    <t>SCORING</t>
    <phoneticPr fontId="1" type="noConversion"/>
  </si>
  <si>
    <t>All "gun kills  &amp; your barrel/mine explosion &amp;  your bomb airstrike" will give you a +1 score for killing zombies/other players</t>
    <phoneticPr fontId="1" type="noConversion"/>
  </si>
  <si>
    <t>Get to the final score of 16 to win!</t>
    <phoneticPr fontId="1" type="noConversion"/>
  </si>
  <si>
    <t>SERVER KILLS</t>
    <phoneticPr fontId="1" type="noConversion"/>
  </si>
  <si>
    <t>Placeable explosions will not damage the person who placed it</t>
    <phoneticPr fontId="1" type="noConversion"/>
  </si>
  <si>
    <t>It gets harder to kill when the score gets higher, so be sure to save airstrikes for the last!</t>
    <phoneticPr fontId="1" type="noConversion"/>
  </si>
  <si>
    <t>There are potential dangers other than players: server-placed-barrels / vehicles will kill you when explosion</t>
    <phoneticPr fontId="1" type="noConversion"/>
  </si>
  <si>
    <t>Also, zombies will deal damage proportional to its HP, which ranges from 7~15 when creation / 0~15 when damaged</t>
    <phoneticPr fontId="1" type="noConversion"/>
  </si>
  <si>
    <t xml:space="preserve">radius </t>
    <phoneticPr fontId="1" type="noConversion"/>
  </si>
  <si>
    <t>speed</t>
    <phoneticPr fontId="1" type="noConversion"/>
  </si>
  <si>
    <t>health</t>
    <phoneticPr fontId="1" type="noConversion"/>
  </si>
  <si>
    <t>16~32</t>
    <phoneticPr fontId="1" type="noConversion"/>
  </si>
  <si>
    <t>1~2</t>
    <phoneticPr fontId="1" type="noConversion"/>
  </si>
  <si>
    <t>7~15</t>
    <phoneticPr fontId="1" type="noConversion"/>
  </si>
  <si>
    <t>Otherwise, it will march diagonally until crossing the border</t>
    <phoneticPr fontId="1" type="noConversion"/>
  </si>
  <si>
    <t>Radius and speed is inversly proportional, while health is proportional to radius</t>
    <phoneticPr fontId="1" type="noConversion"/>
  </si>
  <si>
    <t>There is 50% change of generating Homing zombie which targets random alive player (when target is lost, it goes straight)</t>
    <phoneticPr fontId="1" type="noConversion"/>
  </si>
  <si>
    <t>Zombies drop bandages, medkits, guns(which cannot be picked in deathmatch) with a very low chance</t>
    <phoneticPr fontId="1" type="noConversion"/>
  </si>
  <si>
    <t>Zombie mechanism</t>
    <phoneticPr fontId="1" type="noConversion"/>
  </si>
  <si>
    <t xml:space="preserve">factor </t>
    <phoneticPr fontId="1" type="noConversion"/>
  </si>
  <si>
    <t>* factor determines everything</t>
    <phoneticPr fontId="1" type="noConversion"/>
  </si>
  <si>
    <t>purple</t>
    <phoneticPr fontId="1" type="noConversion"/>
  </si>
  <si>
    <t>In-game</t>
    <phoneticPr fontId="1" type="noConversion"/>
  </si>
  <si>
    <t>Y</t>
    <phoneticPr fontId="1" type="noConversion"/>
  </si>
  <si>
    <t>N</t>
    <phoneticPr fontId="1" type="noConversion"/>
  </si>
  <si>
    <t>(sky) blue</t>
    <phoneticPr fontId="1" type="noConversion"/>
  </si>
  <si>
    <t>sakura</t>
    <phoneticPr fontId="1" type="noConversion"/>
  </si>
  <si>
    <t>Throwable</t>
    <phoneticPr fontId="1" type="noConversion"/>
  </si>
  <si>
    <t>Grenade</t>
    <phoneticPr fontId="1" type="noConversion"/>
  </si>
  <si>
    <t>Smoke</t>
    <phoneticPr fontId="1" type="noConversion"/>
  </si>
  <si>
    <t>Flash</t>
    <phoneticPr fontId="1" type="noConversion"/>
  </si>
  <si>
    <t>damage reduced by 50%</t>
    <phoneticPr fontId="1" type="noConversion"/>
  </si>
  <si>
    <t>Distance</t>
    <phoneticPr fontId="1" type="noConversion"/>
  </si>
  <si>
    <t>Projectile is not deleted even when it collides with enemies or players / but deleted when hit by a wall</t>
    <phoneticPr fontId="1" type="noConversion"/>
  </si>
  <si>
    <t>6 ~ 10</t>
    <phoneticPr fontId="1" type="noConversion"/>
  </si>
  <si>
    <t>160 ~ 320</t>
    <phoneticPr fontId="1" type="noConversion"/>
  </si>
  <si>
    <t>frisby</t>
    <phoneticPr fontId="1" type="noConversion"/>
  </si>
  <si>
    <t>damage</t>
    <phoneticPr fontId="1" type="noConversion"/>
  </si>
  <si>
    <t>TORNADO</t>
    <phoneticPr fontId="1" type="noConversion"/>
  </si>
  <si>
    <t>Projectiles will be directed towards the center constantly with wind speed of maximum</t>
    <phoneticPr fontId="1" type="noConversion"/>
  </si>
  <si>
    <t xml:space="preserve">Spawns tornado attracting wind into the strike center </t>
    <phoneticPr fontId="1" type="noConversion"/>
  </si>
  <si>
    <t>* after wind update: added wind that blows projectiles/throwables (wind direction changes every minute)</t>
    <phoneticPr fontId="1" type="noConversion"/>
  </si>
  <si>
    <t>You can place a ping by clicking on the minimap (while pressing g)</t>
    <phoneticPr fontId="1" type="noConversion"/>
  </si>
  <si>
    <t>Ping will decay after 9 seconds when not looking into the minimap</t>
    <phoneticPr fontId="1" type="noConversion"/>
  </si>
  <si>
    <t>Note that ping is not so accurate!</t>
    <phoneticPr fontId="1" type="noConversion"/>
  </si>
  <si>
    <t>PING</t>
    <phoneticPr fontId="1" type="noConversion"/>
  </si>
  <si>
    <t>The gun you are holding changes with the progression of the score!</t>
    <phoneticPr fontId="1" type="noConversion"/>
  </si>
  <si>
    <t>since
2024 2 3</t>
    <phoneticPr fontId="1" type="noConversion"/>
  </si>
  <si>
    <t>0 ~ 1000</t>
    <phoneticPr fontId="1" type="noConversion"/>
  </si>
  <si>
    <t>0 ~ 1000</t>
    <phoneticPr fontId="1" type="noConversion"/>
  </si>
  <si>
    <t>Summons smoke that last approximately 3000 ticks</t>
    <phoneticPr fontId="1" type="noConversion"/>
  </si>
  <si>
    <t>If explodes on sight, cannot see anything for 100 ticks</t>
    <phoneticPr fontId="1" type="noConversion"/>
  </si>
  <si>
    <t>Explodes after speed &lt;= 2</t>
    <phoneticPr fontId="1" type="noConversion"/>
  </si>
  <si>
    <t>PRO TIP</t>
    <phoneticPr fontId="1" type="noConversion"/>
  </si>
  <si>
    <t>Move busy - we also have peeker's advantage, so the player peeking first will see first</t>
    <phoneticPr fontId="1" type="noConversion"/>
  </si>
  <si>
    <t>0 ~ 500</t>
    <phoneticPr fontId="1" type="noConversion"/>
  </si>
  <si>
    <t>acceleration</t>
    <phoneticPr fontId="1" type="noConversion"/>
  </si>
  <si>
    <t>adrenaline</t>
    <phoneticPr fontId="1" type="noConversion"/>
  </si>
  <si>
    <t>Lynx</t>
    <phoneticPr fontId="1" type="noConversion"/>
  </si>
  <si>
    <t>(beta) Drops walls with random deviation from the center 5 times</t>
    <phoneticPr fontId="1" type="noConversion"/>
  </si>
  <si>
    <t xml:space="preserve">Drop a cross-shaped wall with 120 hitpoints </t>
    <phoneticPr fontId="1" type="noConversion"/>
  </si>
  <si>
    <t>Summons wall on the way</t>
    <phoneticPr fontId="1" type="noConversion"/>
  </si>
  <si>
    <t>Not reloadable / Shoots upto player's cursor location with maximum distance fixed</t>
    <phoneticPr fontId="1" type="noConversion"/>
  </si>
  <si>
    <t>Not reloadable / Penetration: penetrates through enemies and players</t>
    <phoneticPr fontId="1" type="noConversion"/>
  </si>
  <si>
    <t>Not reloadable / Designed to destroy a tank (too slow bullet for practical fights)</t>
    <phoneticPr fontId="1" type="noConversion"/>
  </si>
  <si>
    <t>health is gradually restored</t>
    <phoneticPr fontId="1" type="noConversion"/>
  </si>
  <si>
    <t>.50BMG</t>
    <phoneticPr fontId="1" type="noConversion"/>
  </si>
  <si>
    <t>Extreme friction applied / Mine &amp; TankBuster uses shockWave / Penetration: penetrates through enemies and players</t>
    <phoneticPr fontId="1" type="noConversion"/>
  </si>
  <si>
    <t>Flare drop</t>
    <phoneticPr fontId="1" type="noConversion"/>
  </si>
  <si>
    <t>Y</t>
    <phoneticPr fontId="1" type="noConversion"/>
  </si>
  <si>
    <t>Airdrops are powerful - fire a green flare gun to get Lynx; a god-tier weapon</t>
    <phoneticPr fontId="1" type="noConversion"/>
  </si>
  <si>
    <t>drink</t>
    <phoneticPr fontId="1" type="noConversion"/>
  </si>
  <si>
    <t>Heal amt</t>
    <phoneticPr fontId="1" type="noConversion"/>
  </si>
  <si>
    <t>apply time (s)</t>
    <phoneticPr fontId="1" type="noConversion"/>
  </si>
  <si>
    <t>tier</t>
    <phoneticPr fontId="1" type="noConversion"/>
  </si>
  <si>
    <t>2 ~ 5</t>
    <phoneticPr fontId="1" type="noConversion"/>
  </si>
  <si>
    <t>2 ~ 5</t>
    <phoneticPr fontId="1" type="noConversion"/>
  </si>
  <si>
    <t>DASH</t>
    <phoneticPr fontId="1" type="noConversion"/>
  </si>
  <si>
    <t>last update
2024 7 2</t>
    <phoneticPr fontId="1" type="noConversion"/>
  </si>
  <si>
    <t xml:space="preserve">Press 'E' to dash towards a mouse direction. Dash is recharged when you get a kill, charging upto one. </t>
    <phoneticPr fontId="1" type="noConversion"/>
  </si>
  <si>
    <t>D+0.5
~1.5</t>
    <phoneticPr fontId="1" type="noConversion"/>
  </si>
  <si>
    <t>D: difficulty (1~3)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</si>
</sst>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2" tint="-0.249977111117893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11" fillId="10" borderId="2" xfId="0" applyFont="1" applyFill="1" applyBorder="1" applyAlignment="1">
      <alignment horizontal="right" vertical="center"/>
    </xf>
    <xf numFmtId="0" fontId="16" fillId="13" borderId="0" xfId="0" applyFont="1" applyFill="1"/>
    <xf numFmtId="0" fontId="0" fillId="0" borderId="2" xfId="0" applyBorder="1"/>
    <xf numFmtId="0" fontId="25" fillId="10" borderId="2" xfId="0" applyFont="1" applyFill="1" applyBorder="1" applyAlignment="1">
      <alignment horizontal="right" vertical="center"/>
    </xf>
    <xf numFmtId="0" fontId="22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7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0" fillId="21" borderId="0" xfId="0" applyFill="1"/>
    <xf numFmtId="0" fontId="27" fillId="0" borderId="2" xfId="0" applyFont="1" applyBorder="1" applyAlignment="1">
      <alignment horizontal="center" vertical="center"/>
    </xf>
    <xf numFmtId="0" fontId="32" fillId="10" borderId="3" xfId="0" applyFont="1" applyFill="1" applyBorder="1" applyAlignment="1">
      <alignment horizontal="right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13" borderId="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6" fillId="6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20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7" fillId="22" borderId="2" xfId="0" applyFont="1" applyFill="1" applyBorder="1" applyAlignment="1">
      <alignment horizontal="center" vertical="center"/>
    </xf>
    <xf numFmtId="0" fontId="27" fillId="24" borderId="2" xfId="0" applyFont="1" applyFill="1" applyBorder="1" applyAlignment="1">
      <alignment horizontal="center" vertical="center"/>
    </xf>
    <xf numFmtId="0" fontId="27" fillId="12" borderId="2" xfId="0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 vertical="center"/>
    </xf>
    <xf numFmtId="0" fontId="27" fillId="13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27" fillId="13" borderId="4" xfId="0" applyFont="1" applyFill="1" applyBorder="1" applyAlignment="1">
      <alignment horizontal="center" vertical="center"/>
    </xf>
    <xf numFmtId="0" fontId="27" fillId="13" borderId="5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27" fillId="0" borderId="0" xfId="0" applyFont="1"/>
    <xf numFmtId="0" fontId="0" fillId="3" borderId="0" xfId="0" applyFill="1"/>
    <xf numFmtId="0" fontId="35" fillId="3" borderId="0" xfId="0" applyFont="1" applyFill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15" fillId="17" borderId="2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/>
    </xf>
    <xf numFmtId="0" fontId="0" fillId="13" borderId="2" xfId="0" applyFill="1" applyBorder="1"/>
    <xf numFmtId="0" fontId="0" fillId="18" borderId="2" xfId="0" applyFill="1" applyBorder="1" applyAlignment="1">
      <alignment horizontal="center" vertical="center"/>
    </xf>
    <xf numFmtId="0" fontId="21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27" fillId="13" borderId="6" xfId="0" applyFont="1" applyFill="1" applyBorder="1" applyAlignment="1">
      <alignment horizontal="center" vertical="center"/>
    </xf>
    <xf numFmtId="0" fontId="27" fillId="23" borderId="0" xfId="0" applyFont="1" applyFill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22" borderId="1" xfId="0" applyFont="1" applyFill="1" applyBorder="1" applyAlignment="1">
      <alignment horizontal="center" vertical="center"/>
    </xf>
    <xf numFmtId="0" fontId="27" fillId="24" borderId="1" xfId="0" applyFont="1" applyFill="1" applyBorder="1" applyAlignment="1">
      <alignment horizontal="center" vertical="center"/>
    </xf>
    <xf numFmtId="0" fontId="27" fillId="12" borderId="1" xfId="0" applyFont="1" applyFill="1" applyBorder="1" applyAlignment="1">
      <alignment horizontal="center" vertical="center"/>
    </xf>
    <xf numFmtId="0" fontId="27" fillId="11" borderId="1" xfId="0" applyFont="1" applyFill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28" fillId="17" borderId="2" xfId="0" applyFont="1" applyFill="1" applyBorder="1" applyAlignment="1">
      <alignment horizontal="center" vertical="center"/>
    </xf>
    <xf numFmtId="0" fontId="30" fillId="17" borderId="2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37" fillId="0" borderId="2" xfId="0" applyFont="1" applyBorder="1" applyAlignment="1">
      <alignment vertical="center"/>
    </xf>
    <xf numFmtId="0" fontId="33" fillId="3" borderId="1" xfId="0" applyFont="1" applyFill="1" applyBorder="1" applyAlignment="1">
      <alignment vertical="center"/>
    </xf>
    <xf numFmtId="0" fontId="0" fillId="13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29" fillId="3" borderId="0" xfId="0" applyFont="1" applyFill="1" applyAlignment="1">
      <alignment horizontal="center" vertical="center"/>
    </xf>
    <xf numFmtId="0" fontId="20" fillId="0" borderId="3" xfId="0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25" borderId="0" xfId="0" applyFill="1" applyAlignment="1">
      <alignment horizontal="left" vertical="center"/>
    </xf>
    <xf numFmtId="0" fontId="29" fillId="26" borderId="2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20" fillId="0" borderId="2" xfId="0" applyFont="1" applyBorder="1" applyAlignment="1">
      <alignment horizontal="right" vertical="center"/>
    </xf>
    <xf numFmtId="0" fontId="18" fillId="10" borderId="0" xfId="0" applyFont="1" applyFill="1" applyAlignment="1">
      <alignment horizontal="right" vertical="center"/>
    </xf>
    <xf numFmtId="0" fontId="11" fillId="10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5" fillId="14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0" fillId="13" borderId="7" xfId="0" applyFill="1" applyBorder="1" applyAlignment="1">
      <alignment horizontal="center" vertical="center"/>
    </xf>
    <xf numFmtId="0" fontId="11" fillId="10" borderId="7" xfId="0" applyFont="1" applyFill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12" fillId="0" borderId="7" xfId="0" applyFont="1" applyBorder="1" applyAlignment="1">
      <alignment horizontal="right" vertical="center"/>
    </xf>
    <xf numFmtId="0" fontId="5" fillId="14" borderId="7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19" fillId="10" borderId="1" xfId="0" applyFont="1" applyFill="1" applyBorder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0" fontId="5" fillId="15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1" fillId="10" borderId="7" xfId="0" applyFont="1" applyFill="1" applyBorder="1" applyAlignment="1">
      <alignment vertical="center"/>
    </xf>
    <xf numFmtId="0" fontId="17" fillId="10" borderId="1" xfId="0" applyFont="1" applyFill="1" applyBorder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right" vertical="center"/>
    </xf>
    <xf numFmtId="0" fontId="0" fillId="13" borderId="1" xfId="0" applyFill="1" applyBorder="1" applyAlignment="1">
      <alignment vertical="center"/>
    </xf>
    <xf numFmtId="0" fontId="12" fillId="0" borderId="1" xfId="0" applyFont="1" applyBorder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vertical="center"/>
    </xf>
    <xf numFmtId="0" fontId="8" fillId="12" borderId="7" xfId="0" applyFont="1" applyFill="1" applyBorder="1" applyAlignment="1">
      <alignment vertical="center"/>
    </xf>
    <xf numFmtId="0" fontId="0" fillId="0" borderId="7" xfId="0" applyBorder="1"/>
    <xf numFmtId="0" fontId="11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7" fillId="22" borderId="7" xfId="0" applyFont="1" applyFill="1" applyBorder="1" applyAlignment="1">
      <alignment horizontal="center" vertical="center"/>
    </xf>
    <xf numFmtId="0" fontId="27" fillId="24" borderId="7" xfId="0" applyFont="1" applyFill="1" applyBorder="1" applyAlignment="1">
      <alignment horizontal="center" vertical="center"/>
    </xf>
    <xf numFmtId="0" fontId="27" fillId="12" borderId="7" xfId="0" applyFont="1" applyFill="1" applyBorder="1" applyAlignment="1">
      <alignment horizontal="center" vertical="center"/>
    </xf>
    <xf numFmtId="0" fontId="27" fillId="11" borderId="7" xfId="0" applyFont="1" applyFill="1" applyBorder="1" applyAlignment="1">
      <alignment horizontal="center" vertical="center"/>
    </xf>
    <xf numFmtId="0" fontId="27" fillId="13" borderId="7" xfId="0" applyFont="1" applyFill="1" applyBorder="1" applyAlignment="1">
      <alignment horizontal="center" vertical="center"/>
    </xf>
    <xf numFmtId="0" fontId="5" fillId="15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/>
    <xf numFmtId="0" fontId="0" fillId="13" borderId="9" xfId="0" applyFill="1" applyBorder="1" applyAlignment="1">
      <alignment horizontal="center" vertical="center"/>
    </xf>
    <xf numFmtId="0" fontId="37" fillId="0" borderId="9" xfId="0" applyFont="1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5" fillId="17" borderId="2" xfId="0" applyFont="1" applyFill="1" applyBorder="1" applyAlignment="1">
      <alignment horizontal="center" vertical="center"/>
    </xf>
    <xf numFmtId="0" fontId="33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27" fillId="0" borderId="2" xfId="0" applyFont="1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27" fillId="23" borderId="1" xfId="0" applyFont="1" applyFill="1" applyBorder="1" applyAlignment="1">
      <alignment horizontal="center" vertical="center"/>
    </xf>
    <xf numFmtId="0" fontId="27" fillId="23" borderId="2" xfId="0" applyFont="1" applyFill="1" applyBorder="1" applyAlignment="1">
      <alignment horizontal="center" vertical="center"/>
    </xf>
    <xf numFmtId="0" fontId="27" fillId="23" borderId="7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horizontal="left" vertical="center"/>
    </xf>
    <xf numFmtId="0" fontId="33" fillId="3" borderId="1" xfId="0" applyFont="1" applyFill="1" applyBorder="1" applyAlignment="1">
      <alignment horizontal="center" vertical="center"/>
    </xf>
    <xf numFmtId="0" fontId="37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9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3AB7BA"/>
      <color rgb="FFB2B2B2"/>
      <color rgb="FF66FFFF"/>
      <color rgb="FF958A5B"/>
      <color rgb="FF0DDE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4.png"/><Relationship Id="rId2" Type="http://schemas.openxmlformats.org/officeDocument/2006/relationships/image" Target="../media/image63.png"/><Relationship Id="rId1" Type="http://schemas.openxmlformats.org/officeDocument/2006/relationships/image" Target="../media/image62.png"/><Relationship Id="rId6" Type="http://schemas.openxmlformats.org/officeDocument/2006/relationships/image" Target="../media/image67.png"/><Relationship Id="rId5" Type="http://schemas.openxmlformats.org/officeDocument/2006/relationships/image" Target="../media/image66.png"/><Relationship Id="rId4" Type="http://schemas.openxmlformats.org/officeDocument/2006/relationships/image" Target="../media/image6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0</xdr:rowOff>
    </xdr:from>
    <xdr:to>
      <xdr:col>0</xdr:col>
      <xdr:colOff>342916</xdr:colOff>
      <xdr:row>3</xdr:row>
      <xdr:rowOff>6366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7F1A50-BE68-8D6F-6987-89FD1272E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969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4</xdr:col>
      <xdr:colOff>184150</xdr:colOff>
      <xdr:row>55</xdr:row>
      <xdr:rowOff>0</xdr:rowOff>
    </xdr:from>
    <xdr:to>
      <xdr:col>4</xdr:col>
      <xdr:colOff>488966</xdr:colOff>
      <xdr:row>56</xdr:row>
      <xdr:rowOff>6367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A25592E-7533-3220-882F-E1E728B33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5</xdr:col>
      <xdr:colOff>184150</xdr:colOff>
      <xdr:row>55</xdr:row>
      <xdr:rowOff>0</xdr:rowOff>
    </xdr:from>
    <xdr:to>
      <xdr:col>5</xdr:col>
      <xdr:colOff>488966</xdr:colOff>
      <xdr:row>56</xdr:row>
      <xdr:rowOff>6367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A4489D8-C271-BCA5-7BC5-0840BAF3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65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6</xdr:col>
      <xdr:colOff>184150</xdr:colOff>
      <xdr:row>55</xdr:row>
      <xdr:rowOff>0</xdr:rowOff>
    </xdr:from>
    <xdr:to>
      <xdr:col>6</xdr:col>
      <xdr:colOff>488966</xdr:colOff>
      <xdr:row>56</xdr:row>
      <xdr:rowOff>6367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7A3D616-C04E-4FCE-2704-FDD653F3D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69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7</xdr:col>
      <xdr:colOff>184150</xdr:colOff>
      <xdr:row>55</xdr:row>
      <xdr:rowOff>0</xdr:rowOff>
    </xdr:from>
    <xdr:to>
      <xdr:col>7</xdr:col>
      <xdr:colOff>488966</xdr:colOff>
      <xdr:row>56</xdr:row>
      <xdr:rowOff>6367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7FEF545-6095-A761-9F13-86337DD0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673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50800</xdr:rowOff>
    </xdr:from>
    <xdr:to>
      <xdr:col>0</xdr:col>
      <xdr:colOff>342916</xdr:colOff>
      <xdr:row>0</xdr:row>
      <xdr:rowOff>355616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7BAA6A0-28E1-A646-AC88-49A4C97E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50800"/>
          <a:ext cx="304816" cy="304816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81</xdr:row>
      <xdr:rowOff>44450</xdr:rowOff>
    </xdr:from>
    <xdr:to>
      <xdr:col>0</xdr:col>
      <xdr:colOff>292100</xdr:colOff>
      <xdr:row>81</xdr:row>
      <xdr:rowOff>260350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5E130F-836E-A5DE-A8F0-D0099A88FEC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82</xdr:row>
      <xdr:rowOff>44450</xdr:rowOff>
    </xdr:from>
    <xdr:to>
      <xdr:col>0</xdr:col>
      <xdr:colOff>292100</xdr:colOff>
      <xdr:row>82</xdr:row>
      <xdr:rowOff>260350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F1D1782A-C202-488E-827F-8761B1624A48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83</xdr:row>
      <xdr:rowOff>44450</xdr:rowOff>
    </xdr:from>
    <xdr:to>
      <xdr:col>0</xdr:col>
      <xdr:colOff>292100</xdr:colOff>
      <xdr:row>83</xdr:row>
      <xdr:rowOff>260350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D5D39FAC-627D-4745-820C-52C2A6EB616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84</xdr:row>
      <xdr:rowOff>44450</xdr:rowOff>
    </xdr:from>
    <xdr:to>
      <xdr:col>0</xdr:col>
      <xdr:colOff>292100</xdr:colOff>
      <xdr:row>84</xdr:row>
      <xdr:rowOff>260350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2F71F03F-8B8E-4306-9792-26CF5D292912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85</xdr:row>
      <xdr:rowOff>33130</xdr:rowOff>
    </xdr:from>
    <xdr:to>
      <xdr:col>0</xdr:col>
      <xdr:colOff>294584</xdr:colOff>
      <xdr:row>85</xdr:row>
      <xdr:rowOff>249030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A9C519B4-2CEA-4F8E-AFB9-B4BE0AF7E307}"/>
            </a:ext>
          </a:extLst>
        </xdr:cNvPr>
        <xdr:cNvSpPr/>
      </xdr:nvSpPr>
      <xdr:spPr>
        <a:xfrm>
          <a:off x="78684" y="25162565"/>
          <a:ext cx="215900" cy="215900"/>
        </a:xfrm>
        <a:prstGeom prst="ellipse">
          <a:avLst/>
        </a:prstGeom>
        <a:solidFill>
          <a:srgbClr val="7030A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86</xdr:row>
      <xdr:rowOff>45147</xdr:rowOff>
    </xdr:from>
    <xdr:to>
      <xdr:col>0</xdr:col>
      <xdr:colOff>294584</xdr:colOff>
      <xdr:row>86</xdr:row>
      <xdr:rowOff>261047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A5042034-56A7-44A0-AF8E-BFEDD01C7C12}"/>
            </a:ext>
          </a:extLst>
        </xdr:cNvPr>
        <xdr:cNvSpPr/>
      </xdr:nvSpPr>
      <xdr:spPr>
        <a:xfrm>
          <a:off x="78684" y="25572147"/>
          <a:ext cx="215900" cy="215900"/>
        </a:xfrm>
        <a:prstGeom prst="ellipse">
          <a:avLst/>
        </a:prstGeom>
        <a:solidFill>
          <a:srgbClr val="00B0F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84044</xdr:colOff>
      <xdr:row>63</xdr:row>
      <xdr:rowOff>39220</xdr:rowOff>
    </xdr:from>
    <xdr:to>
      <xdr:col>0</xdr:col>
      <xdr:colOff>299944</xdr:colOff>
      <xdr:row>63</xdr:row>
      <xdr:rowOff>255120</xdr:rowOff>
    </xdr:to>
    <xdr:sp macro="" textlink="">
      <xdr:nvSpPr>
        <xdr:cNvPr id="14" name="타원 13">
          <a:extLst>
            <a:ext uri="{FF2B5EF4-FFF2-40B4-BE49-F238E27FC236}">
              <a16:creationId xmlns:a16="http://schemas.microsoft.com/office/drawing/2014/main" id="{9EECC1C5-B675-47B3-8E07-5ED485CE802A}"/>
            </a:ext>
          </a:extLst>
        </xdr:cNvPr>
        <xdr:cNvSpPr/>
      </xdr:nvSpPr>
      <xdr:spPr>
        <a:xfrm>
          <a:off x="84044" y="18881912"/>
          <a:ext cx="215900" cy="215900"/>
        </a:xfrm>
        <a:prstGeom prst="ellipse">
          <a:avLst/>
        </a:prstGeom>
        <a:solidFill>
          <a:srgbClr val="0DDEE3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79562</xdr:colOff>
      <xdr:row>66</xdr:row>
      <xdr:rowOff>34738</xdr:rowOff>
    </xdr:from>
    <xdr:to>
      <xdr:col>0</xdr:col>
      <xdr:colOff>295462</xdr:colOff>
      <xdr:row>66</xdr:row>
      <xdr:rowOff>250638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62790101-E110-406B-94AE-E58C0EB08D21}"/>
            </a:ext>
          </a:extLst>
        </xdr:cNvPr>
        <xdr:cNvSpPr/>
      </xdr:nvSpPr>
      <xdr:spPr>
        <a:xfrm>
          <a:off x="79562" y="19768297"/>
          <a:ext cx="215900" cy="215900"/>
        </a:xfrm>
        <a:prstGeom prst="ellipse">
          <a:avLst/>
        </a:prstGeom>
        <a:solidFill>
          <a:srgbClr val="958A5B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91889</xdr:colOff>
      <xdr:row>65</xdr:row>
      <xdr:rowOff>47064</xdr:rowOff>
    </xdr:from>
    <xdr:to>
      <xdr:col>0</xdr:col>
      <xdr:colOff>307789</xdr:colOff>
      <xdr:row>65</xdr:row>
      <xdr:rowOff>262964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1F1A7FD1-685C-415D-A36A-09AEA5820EEB}"/>
            </a:ext>
          </a:extLst>
        </xdr:cNvPr>
        <xdr:cNvSpPr/>
      </xdr:nvSpPr>
      <xdr:spPr>
        <a:xfrm>
          <a:off x="91889" y="19483668"/>
          <a:ext cx="215900" cy="215900"/>
        </a:xfrm>
        <a:prstGeom prst="ellipse">
          <a:avLst/>
        </a:prstGeom>
        <a:solidFill>
          <a:schemeClr val="accent6">
            <a:lumMod val="50000"/>
          </a:schemeClr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87406</xdr:colOff>
      <xdr:row>64</xdr:row>
      <xdr:rowOff>48187</xdr:rowOff>
    </xdr:from>
    <xdr:to>
      <xdr:col>0</xdr:col>
      <xdr:colOff>303306</xdr:colOff>
      <xdr:row>64</xdr:row>
      <xdr:rowOff>264087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6EF0844C-B62F-4EB6-8B07-4C9E4653A78F}"/>
            </a:ext>
          </a:extLst>
        </xdr:cNvPr>
        <xdr:cNvSpPr/>
      </xdr:nvSpPr>
      <xdr:spPr>
        <a:xfrm>
          <a:off x="87406" y="19187834"/>
          <a:ext cx="215900" cy="215900"/>
        </a:xfrm>
        <a:prstGeom prst="ellipse">
          <a:avLst/>
        </a:prstGeom>
        <a:solidFill>
          <a:schemeClr val="accent4">
            <a:lumMod val="50000"/>
          </a:schemeClr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91889</xdr:colOff>
      <xdr:row>67</xdr:row>
      <xdr:rowOff>30255</xdr:rowOff>
    </xdr:from>
    <xdr:to>
      <xdr:col>0</xdr:col>
      <xdr:colOff>307789</xdr:colOff>
      <xdr:row>67</xdr:row>
      <xdr:rowOff>246155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8564820E-1D8B-49D8-BEBA-348E083B7770}"/>
            </a:ext>
          </a:extLst>
        </xdr:cNvPr>
        <xdr:cNvSpPr/>
      </xdr:nvSpPr>
      <xdr:spPr>
        <a:xfrm>
          <a:off x="91889" y="20060770"/>
          <a:ext cx="215900" cy="215900"/>
        </a:xfrm>
        <a:prstGeom prst="ellipse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93009</xdr:colOff>
      <xdr:row>68</xdr:row>
      <xdr:rowOff>42581</xdr:rowOff>
    </xdr:from>
    <xdr:to>
      <xdr:col>0</xdr:col>
      <xdr:colOff>308909</xdr:colOff>
      <xdr:row>68</xdr:row>
      <xdr:rowOff>258481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370F7771-E95A-491E-9AA6-3CB9064920E7}"/>
            </a:ext>
          </a:extLst>
        </xdr:cNvPr>
        <xdr:cNvSpPr/>
      </xdr:nvSpPr>
      <xdr:spPr>
        <a:xfrm>
          <a:off x="93009" y="20370052"/>
          <a:ext cx="215900" cy="215900"/>
        </a:xfrm>
        <a:prstGeom prst="ellipse">
          <a:avLst/>
        </a:prstGeom>
        <a:solidFill>
          <a:srgbClr val="66FFFF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92928</xdr:colOff>
      <xdr:row>69</xdr:row>
      <xdr:rowOff>62911</xdr:rowOff>
    </xdr:from>
    <xdr:to>
      <xdr:col>0</xdr:col>
      <xdr:colOff>308828</xdr:colOff>
      <xdr:row>69</xdr:row>
      <xdr:rowOff>278811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99CDABA8-F493-4D2D-97A2-6F61A2FFD9F0}"/>
            </a:ext>
          </a:extLst>
        </xdr:cNvPr>
        <xdr:cNvSpPr/>
      </xdr:nvSpPr>
      <xdr:spPr>
        <a:xfrm>
          <a:off x="92928" y="20385180"/>
          <a:ext cx="215900" cy="215900"/>
        </a:xfrm>
        <a:prstGeom prst="ellipse">
          <a:avLst/>
        </a:prstGeom>
        <a:solidFill>
          <a:srgbClr val="B2B2B2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57979</xdr:colOff>
      <xdr:row>115</xdr:row>
      <xdr:rowOff>33131</xdr:rowOff>
    </xdr:from>
    <xdr:to>
      <xdr:col>0</xdr:col>
      <xdr:colOff>273879</xdr:colOff>
      <xdr:row>115</xdr:row>
      <xdr:rowOff>249031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88578C07-5951-4688-9015-75AA3C07BDF3}"/>
            </a:ext>
          </a:extLst>
        </xdr:cNvPr>
        <xdr:cNvSpPr/>
      </xdr:nvSpPr>
      <xdr:spPr>
        <a:xfrm>
          <a:off x="57979" y="34107783"/>
          <a:ext cx="215900" cy="215900"/>
        </a:xfrm>
        <a:prstGeom prst="ellipse">
          <a:avLst/>
        </a:prstGeom>
        <a:solidFill>
          <a:srgbClr val="3AB7B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61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  <rv s="0">
    <v>46</v>
    <v>5</v>
  </rv>
  <rv s="0">
    <v>47</v>
    <v>5</v>
  </rv>
  <rv s="0">
    <v>48</v>
    <v>5</v>
  </rv>
  <rv s="0">
    <v>49</v>
    <v>5</v>
  </rv>
  <rv s="0">
    <v>50</v>
    <v>5</v>
  </rv>
  <rv s="0">
    <v>51</v>
    <v>5</v>
  </rv>
  <rv s="0">
    <v>52</v>
    <v>5</v>
  </rv>
  <rv s="0">
    <v>53</v>
    <v>5</v>
  </rv>
  <rv s="0">
    <v>54</v>
    <v>5</v>
  </rv>
  <rv s="0">
    <v>55</v>
    <v>5</v>
  </rv>
  <rv s="0">
    <v>56</v>
    <v>5</v>
  </rv>
  <rv s="0">
    <v>57</v>
    <v>5</v>
  </rv>
  <rv s="0">
    <v>58</v>
    <v>5</v>
  </rv>
  <rv s="0">
    <v>59</v>
    <v>5</v>
  </rv>
  <rv s="0">
    <v>60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  <rel r:id="rId47"/>
  <rel r:id="rId48"/>
  <rel r:id="rId49"/>
  <rel r:id="rId50"/>
  <rel r:id="rId51"/>
  <rel r:id="rId52"/>
  <rel r:id="rId53"/>
  <rel r:id="rId54"/>
  <rel r:id="rId55"/>
  <rel r:id="rId56"/>
  <rel r:id="rId57"/>
  <rel r:id="rId58"/>
  <rel r:id="rId59"/>
  <rel r:id="rId60"/>
  <rel r:id="rId6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3"/>
  <sheetViews>
    <sheetView tabSelected="1" topLeftCell="A99" zoomScaleNormal="100" workbookViewId="0">
      <selection activeCell="M115" sqref="M115"/>
    </sheetView>
  </sheetViews>
  <sheetFormatPr defaultRowHeight="17" x14ac:dyDescent="0.45"/>
  <cols>
    <col min="1" max="1" width="5.08203125" customWidth="1"/>
    <col min="2" max="2" width="20.9140625" customWidth="1"/>
    <col min="10" max="10" width="10.6640625" customWidth="1"/>
    <col min="12" max="12" width="10.08203125" customWidth="1"/>
    <col min="14" max="14" width="10.9140625" customWidth="1"/>
    <col min="15" max="15" width="9.33203125" customWidth="1"/>
    <col min="38" max="38" width="20.08203125" customWidth="1"/>
    <col min="39" max="39" width="15.83203125" customWidth="1"/>
  </cols>
  <sheetData>
    <row r="1" spans="1:39" ht="34" customHeight="1" x14ac:dyDescent="0.45">
      <c r="A1" s="66"/>
      <c r="B1" s="67" t="s">
        <v>171</v>
      </c>
      <c r="C1" s="191" t="s">
        <v>276</v>
      </c>
      <c r="D1" s="192"/>
      <c r="E1" s="191" t="s">
        <v>307</v>
      </c>
      <c r="F1" s="192"/>
      <c r="G1" s="43" t="s">
        <v>155</v>
      </c>
      <c r="M1" s="1" t="s">
        <v>0</v>
      </c>
      <c r="N1" s="2" t="s">
        <v>1</v>
      </c>
      <c r="O1" s="3" t="s">
        <v>2</v>
      </c>
      <c r="P1" s="4" t="s">
        <v>3</v>
      </c>
      <c r="Q1" s="5" t="s">
        <v>4</v>
      </c>
      <c r="R1" s="6" t="s">
        <v>5</v>
      </c>
      <c r="U1" s="7" t="s">
        <v>6</v>
      </c>
    </row>
    <row r="2" spans="1:39" ht="23.5" customHeight="1" thickBot="1" x14ac:dyDescent="0.5">
      <c r="A2" s="136"/>
      <c r="B2" s="137" t="s">
        <v>170</v>
      </c>
      <c r="C2" s="138" t="s">
        <v>7</v>
      </c>
      <c r="D2" s="138" t="s">
        <v>8</v>
      </c>
      <c r="E2" s="138" t="s">
        <v>9</v>
      </c>
      <c r="F2" s="139" t="s">
        <v>10</v>
      </c>
      <c r="G2" s="138" t="s">
        <v>11</v>
      </c>
      <c r="H2" s="138" t="s">
        <v>12</v>
      </c>
      <c r="I2" s="138" t="s">
        <v>13</v>
      </c>
      <c r="J2" s="139" t="s">
        <v>14</v>
      </c>
      <c r="K2" s="138" t="s">
        <v>15</v>
      </c>
      <c r="L2" s="140" t="s">
        <v>72</v>
      </c>
      <c r="M2" s="141" t="s">
        <v>16</v>
      </c>
      <c r="N2" s="142" t="s">
        <v>17</v>
      </c>
      <c r="O2" s="143" t="s">
        <v>18</v>
      </c>
      <c r="P2" s="144" t="s">
        <v>19</v>
      </c>
      <c r="Q2" s="145" t="s">
        <v>20</v>
      </c>
      <c r="R2" s="146" t="s">
        <v>21</v>
      </c>
      <c r="S2" s="147" t="s">
        <v>22</v>
      </c>
      <c r="T2" s="119"/>
      <c r="U2" s="148" t="s">
        <v>23</v>
      </c>
      <c r="V2" s="149" t="s">
        <v>24</v>
      </c>
      <c r="W2" s="148" t="s">
        <v>25</v>
      </c>
      <c r="X2" s="149" t="s">
        <v>26</v>
      </c>
      <c r="Y2" s="119"/>
      <c r="Z2" s="195" t="s">
        <v>27</v>
      </c>
      <c r="AA2" s="195"/>
      <c r="AG2" s="30" t="s">
        <v>83</v>
      </c>
      <c r="AH2" s="28"/>
      <c r="AI2" s="28"/>
      <c r="AL2" s="96" t="s">
        <v>218</v>
      </c>
      <c r="AM2" s="96" t="s">
        <v>297</v>
      </c>
    </row>
    <row r="3" spans="1:39" ht="23.5" customHeight="1" x14ac:dyDescent="0.45">
      <c r="A3" s="133"/>
      <c r="B3" s="27" t="s">
        <v>65</v>
      </c>
      <c r="C3" s="120">
        <v>640</v>
      </c>
      <c r="D3" s="110">
        <v>0</v>
      </c>
      <c r="E3" s="110">
        <v>1</v>
      </c>
      <c r="F3" s="110">
        <v>3</v>
      </c>
      <c r="G3" s="110">
        <v>1600</v>
      </c>
      <c r="H3" s="110">
        <v>13</v>
      </c>
      <c r="I3" s="110">
        <v>6</v>
      </c>
      <c r="J3" s="110">
        <v>1800</v>
      </c>
      <c r="K3" s="110" t="s">
        <v>66</v>
      </c>
      <c r="L3" s="110">
        <v>6</v>
      </c>
      <c r="M3" s="110">
        <f>ROUND(E3*(F3+fragHitNum*frag_damage)/G3*1000,2)</f>
        <v>9.3800000000000008</v>
      </c>
      <c r="N3" s="110">
        <f>ROUND(E3*(F3+fragHitNum*frag_damage)/(G3+J3/I3)*1000,2)</f>
        <v>7.89</v>
      </c>
      <c r="O3" s="110">
        <f>E3*(F3+fragHitNum*frag_damage)*I3</f>
        <v>90</v>
      </c>
      <c r="P3" s="134">
        <f>ROUND(playerHealth/(E3*(F3+fragHitNum*frag_damage)),1)</f>
        <v>0.5</v>
      </c>
      <c r="Q3" s="110">
        <f t="shared" ref="Q3:Q5" si="0">-(FLOOR(H3/6,1)-1)</f>
        <v>-1</v>
      </c>
      <c r="R3" s="110">
        <f t="shared" ref="R3:R5" si="1">ROUND(D3/H3,3)</f>
        <v>0</v>
      </c>
      <c r="S3" s="112" t="s">
        <v>28</v>
      </c>
      <c r="T3" s="110"/>
      <c r="U3" s="110">
        <f xml:space="preserve"> E3*(F3+fragHitNum*frag_damage*9/10)</f>
        <v>13.8</v>
      </c>
      <c r="V3" s="135">
        <f>ROUND(playerHealth/(U3),2)</f>
        <v>0.57999999999999996</v>
      </c>
      <c r="W3" s="110">
        <f>E3*((F3+fragHitNum*(frag_damage-0.4)))</f>
        <v>12.600000000000001</v>
      </c>
      <c r="X3" s="135">
        <f>ROUND(playerHealth/(W3),2)</f>
        <v>0.63</v>
      </c>
      <c r="Y3" s="110"/>
      <c r="Z3" s="44" t="s">
        <v>71</v>
      </c>
      <c r="AG3" s="40" t="s">
        <v>82</v>
      </c>
      <c r="AH3" s="40"/>
      <c r="AI3" s="40"/>
      <c r="AJ3" s="40"/>
      <c r="AM3" s="25" t="s">
        <v>298</v>
      </c>
    </row>
    <row r="4" spans="1:39" ht="23.5" customHeight="1" x14ac:dyDescent="0.45">
      <c r="A4" s="12" t="e" vm="1">
        <v>#VALUE!</v>
      </c>
      <c r="B4" s="12" t="s">
        <v>66</v>
      </c>
      <c r="C4" s="29">
        <v>192</v>
      </c>
      <c r="D4" s="13">
        <v>3</v>
      </c>
      <c r="E4" s="13">
        <v>1</v>
      </c>
      <c r="F4" s="13">
        <v>2</v>
      </c>
      <c r="G4" s="13">
        <v>100</v>
      </c>
      <c r="H4" s="13">
        <v>8</v>
      </c>
      <c r="I4" s="13">
        <v>5</v>
      </c>
      <c r="J4" s="13">
        <v>1400</v>
      </c>
      <c r="K4" s="13" t="s">
        <v>66</v>
      </c>
      <c r="L4" s="13"/>
      <c r="M4" s="9">
        <f>ROUND(E4*F4/G4*1000,2)</f>
        <v>20</v>
      </c>
      <c r="N4" s="9">
        <f>ROUND(E4*F4/(G4+J4/I4)*1000,2)</f>
        <v>5.26</v>
      </c>
      <c r="O4" s="9">
        <f>E4*F4*I4</f>
        <v>10</v>
      </c>
      <c r="P4" s="22">
        <f>ROUND(playerHealth/(E4*F4),1)</f>
        <v>4</v>
      </c>
      <c r="Q4" s="9">
        <f t="shared" si="0"/>
        <v>0</v>
      </c>
      <c r="R4" s="9">
        <f t="shared" si="1"/>
        <v>0.375</v>
      </c>
      <c r="S4" s="21" t="s">
        <v>73</v>
      </c>
      <c r="T4" s="13"/>
      <c r="U4" s="9">
        <f t="shared" ref="U4" si="2" xml:space="preserve"> E4*F4*7/10</f>
        <v>1.4</v>
      </c>
      <c r="V4" s="23">
        <f>ROUND(playerHealth/(U4),2)</f>
        <v>5.71</v>
      </c>
      <c r="W4" s="9">
        <f t="shared" ref="W4" si="3">E4*(F4-0.4)</f>
        <v>1.6</v>
      </c>
      <c r="X4" s="23">
        <f>ROUND(playerHealth/(W4),2)</f>
        <v>5</v>
      </c>
      <c r="Y4" s="13"/>
      <c r="Z4" s="44" t="s">
        <v>126</v>
      </c>
      <c r="AL4" s="25"/>
    </row>
    <row r="5" spans="1:39" ht="23.5" customHeight="1" x14ac:dyDescent="0.45">
      <c r="A5" s="12" t="e" vm="2">
        <v>#VALUE!</v>
      </c>
      <c r="B5" s="12" t="s">
        <v>78</v>
      </c>
      <c r="C5" s="108">
        <v>704</v>
      </c>
      <c r="D5" s="13">
        <v>0</v>
      </c>
      <c r="E5" s="13">
        <v>1</v>
      </c>
      <c r="F5" s="13">
        <v>100</v>
      </c>
      <c r="G5" s="13">
        <v>4000</v>
      </c>
      <c r="H5" s="13">
        <v>10</v>
      </c>
      <c r="I5" s="13">
        <v>1</v>
      </c>
      <c r="J5" s="13">
        <v>6000</v>
      </c>
      <c r="K5" s="13" t="s">
        <v>79</v>
      </c>
      <c r="L5" s="13">
        <v>6</v>
      </c>
      <c r="M5" s="9">
        <f>ROUND(E5*(F5+fraghitnum2*shockWave_damage)/G5*1000,2)</f>
        <v>47.5</v>
      </c>
      <c r="N5" s="9">
        <f>ROUND(E5*(F5+fraghitnum2*shockWave_damage)/(G5+J5/I5)*1000,2)</f>
        <v>19</v>
      </c>
      <c r="O5" s="9">
        <f>E5*(F5+fraghitnum2*shockWave_damage)*I5</f>
        <v>190</v>
      </c>
      <c r="P5" s="14">
        <f>ROUND(playerHealth/(E5*(F5+fraghitnum2*shockWave_damage)),2)</f>
        <v>0.04</v>
      </c>
      <c r="Q5" s="9">
        <f t="shared" si="0"/>
        <v>0</v>
      </c>
      <c r="R5" s="9">
        <f t="shared" si="1"/>
        <v>0</v>
      </c>
      <c r="S5" s="15" t="s">
        <v>74</v>
      </c>
      <c r="T5" s="9"/>
      <c r="U5" s="9">
        <f xml:space="preserve"> E5*F5*7/10 +E5*fraghitnum2*shockWave_damage*7/10</f>
        <v>133</v>
      </c>
      <c r="V5" s="17">
        <f>ROUND(playerHealth/(U5),2)</f>
        <v>0.06</v>
      </c>
      <c r="W5" s="9">
        <f>E5*((F5+fraghitnum2*(shockWave_damage-0.4)))</f>
        <v>187.6</v>
      </c>
      <c r="X5" s="17">
        <f>ROUND(playerHealth/(W5),2)</f>
        <v>0.04</v>
      </c>
      <c r="Y5" s="9"/>
      <c r="Z5" s="44" t="s">
        <v>293</v>
      </c>
      <c r="AL5" s="25" t="s">
        <v>227</v>
      </c>
    </row>
    <row r="6" spans="1:39" ht="23.5" customHeight="1" x14ac:dyDescent="0.45">
      <c r="A6" s="12" t="e" vm="3">
        <v>#VALUE!</v>
      </c>
      <c r="B6" s="12" t="s">
        <v>125</v>
      </c>
      <c r="C6" s="29">
        <v>192</v>
      </c>
      <c r="D6" s="58">
        <v>6</v>
      </c>
      <c r="E6" s="58">
        <v>1</v>
      </c>
      <c r="F6" s="58">
        <v>15</v>
      </c>
      <c r="G6" s="58">
        <v>300</v>
      </c>
      <c r="H6" s="58">
        <v>18</v>
      </c>
      <c r="I6" s="58">
        <v>1</v>
      </c>
      <c r="J6" s="58">
        <v>1400</v>
      </c>
      <c r="K6" s="58" t="s">
        <v>125</v>
      </c>
      <c r="L6" s="58"/>
      <c r="M6" s="9">
        <f>ROUND(E6*F6/G6*1000,2)</f>
        <v>50</v>
      </c>
      <c r="N6" s="9">
        <f>ROUND(E6*F6/(G6+J6/I6)*1000,2)</f>
        <v>8.82</v>
      </c>
      <c r="O6" s="9">
        <f>E6*F6*I6</f>
        <v>15</v>
      </c>
      <c r="P6" s="22">
        <f>ROUND(playerHealth/(E6*F6),1)</f>
        <v>0.5</v>
      </c>
      <c r="Q6" s="9">
        <f t="shared" ref="Q6" si="4">-(FLOOR(H6/6,1)-1)</f>
        <v>-2</v>
      </c>
      <c r="R6" s="9">
        <f t="shared" ref="R6" si="5">ROUND(D6/H6,3)</f>
        <v>0.33300000000000002</v>
      </c>
      <c r="S6" s="21" t="s">
        <v>73</v>
      </c>
      <c r="T6" s="58"/>
      <c r="U6" s="9">
        <f t="shared" ref="U6" si="6" xml:space="preserve"> E6*F6*7/10</f>
        <v>10.5</v>
      </c>
      <c r="V6" s="17">
        <f>ROUND(playerHealth/(U6),2)</f>
        <v>0.76</v>
      </c>
      <c r="W6" s="9">
        <f t="shared" ref="W6" si="7">E6*(F6-0.4)</f>
        <v>14.6</v>
      </c>
      <c r="X6" s="17">
        <f>ROUND(playerHealth/(W6),2)</f>
        <v>0.55000000000000004</v>
      </c>
      <c r="Y6" s="58"/>
      <c r="Z6" s="44" t="s">
        <v>296</v>
      </c>
      <c r="AL6" s="25"/>
    </row>
    <row r="7" spans="1:39" ht="23.5" customHeight="1" x14ac:dyDescent="0.45">
      <c r="A7" s="12" t="e" vm="4">
        <v>#VALUE!</v>
      </c>
      <c r="B7" s="12" t="s">
        <v>153</v>
      </c>
      <c r="C7" s="42" t="s">
        <v>154</v>
      </c>
      <c r="D7" s="58">
        <v>0</v>
      </c>
      <c r="E7" s="58">
        <v>1</v>
      </c>
      <c r="F7" s="58">
        <v>0</v>
      </c>
      <c r="G7" s="58">
        <v>1000</v>
      </c>
      <c r="H7" s="58">
        <v>3</v>
      </c>
      <c r="I7" s="58">
        <v>1</v>
      </c>
      <c r="J7" s="58">
        <v>1000</v>
      </c>
      <c r="K7" s="59" t="s">
        <v>156</v>
      </c>
      <c r="L7" s="58"/>
      <c r="M7" s="9"/>
      <c r="N7" s="9"/>
      <c r="O7" s="9"/>
      <c r="P7" s="22"/>
      <c r="Q7" s="9">
        <f t="shared" ref="Q7:Q8" si="8">-(FLOOR(H7/6,1)-1)</f>
        <v>1</v>
      </c>
      <c r="R7" s="9">
        <f t="shared" ref="R7:R8" si="9">ROUND(D7/H7,3)</f>
        <v>0</v>
      </c>
      <c r="S7" s="21" t="s">
        <v>157</v>
      </c>
      <c r="T7" s="58"/>
      <c r="U7" s="9"/>
      <c r="V7" s="23"/>
      <c r="W7" s="9"/>
      <c r="X7" s="16"/>
      <c r="Y7" s="58"/>
      <c r="Z7" s="44" t="s">
        <v>291</v>
      </c>
      <c r="AL7" s="25"/>
    </row>
    <row r="8" spans="1:39" ht="23.5" customHeight="1" x14ac:dyDescent="0.45">
      <c r="A8" s="12" t="e" vm="1">
        <v>#VALUE!</v>
      </c>
      <c r="B8" s="8" t="s">
        <v>225</v>
      </c>
      <c r="C8" s="29">
        <v>32</v>
      </c>
      <c r="D8" s="9">
        <v>3</v>
      </c>
      <c r="E8" s="9">
        <v>1</v>
      </c>
      <c r="F8" s="9">
        <v>1</v>
      </c>
      <c r="G8" s="9">
        <v>500</v>
      </c>
      <c r="H8" s="9">
        <v>6</v>
      </c>
      <c r="I8" s="9">
        <v>1</v>
      </c>
      <c r="J8" s="9">
        <v>1000</v>
      </c>
      <c r="K8" s="9"/>
      <c r="L8" s="9"/>
      <c r="M8" s="9">
        <f t="shared" ref="M8:M14" si="10">ROUND(E8*F8/G8*1000,2)</f>
        <v>2</v>
      </c>
      <c r="N8" s="9">
        <f>ROUND(E8*F8/(G8+J8/I8)*1000,2)</f>
        <v>0.67</v>
      </c>
      <c r="O8" s="9">
        <f t="shared" ref="O8:O14" si="11">E8*F8*I8</f>
        <v>1</v>
      </c>
      <c r="P8" s="22">
        <f t="shared" ref="P8:P14" si="12">ROUND(playerHealth/(E8*F8),1)</f>
        <v>8</v>
      </c>
      <c r="Q8" s="9">
        <f t="shared" si="8"/>
        <v>0</v>
      </c>
      <c r="R8" s="9">
        <f t="shared" si="9"/>
        <v>0.5</v>
      </c>
      <c r="S8" s="21" t="s">
        <v>73</v>
      </c>
      <c r="T8" s="13"/>
      <c r="U8" s="9">
        <f t="shared" ref="U8" si="13" xml:space="preserve"> E8*F8*7/10</f>
        <v>0.7</v>
      </c>
      <c r="V8" s="23">
        <f t="shared" ref="V8:V14" si="14">ROUND(playerHealth/(U8),2)</f>
        <v>11.43</v>
      </c>
      <c r="W8" s="9">
        <f t="shared" ref="W8" si="15">E8*(F8-0.4)</f>
        <v>0.6</v>
      </c>
      <c r="X8" s="23">
        <f t="shared" ref="X8:X14" si="16">ROUND(playerHealth/(W8),2)</f>
        <v>13.33</v>
      </c>
      <c r="Y8" s="58"/>
      <c r="Z8" s="44"/>
      <c r="AL8" s="25"/>
    </row>
    <row r="9" spans="1:39" ht="23.5" customHeight="1" thickBot="1" x14ac:dyDescent="0.5">
      <c r="A9" s="114" t="e" vm="5">
        <v>#VALUE!</v>
      </c>
      <c r="B9" s="114" t="s">
        <v>287</v>
      </c>
      <c r="C9" s="115">
        <v>3200</v>
      </c>
      <c r="D9" s="116">
        <v>0</v>
      </c>
      <c r="E9" s="116">
        <v>1</v>
      </c>
      <c r="F9" s="116">
        <v>50</v>
      </c>
      <c r="G9" s="116">
        <v>2200</v>
      </c>
      <c r="H9" s="116">
        <v>38</v>
      </c>
      <c r="I9" s="116">
        <v>5</v>
      </c>
      <c r="J9" s="116">
        <v>4000</v>
      </c>
      <c r="K9" s="116" t="s">
        <v>295</v>
      </c>
      <c r="L9" s="116"/>
      <c r="M9" s="116">
        <f t="shared" si="10"/>
        <v>22.73</v>
      </c>
      <c r="N9" s="116">
        <f>ROUND(E9*F9/(G9+J9/I9)*1000,2)</f>
        <v>16.670000000000002</v>
      </c>
      <c r="O9" s="116">
        <f t="shared" si="11"/>
        <v>250</v>
      </c>
      <c r="P9" s="117">
        <f t="shared" si="12"/>
        <v>0.2</v>
      </c>
      <c r="Q9" s="116">
        <f t="shared" ref="Q9:Q14" si="17">-(FLOOR(H9/6,1)-1)</f>
        <v>-5</v>
      </c>
      <c r="R9" s="116">
        <f t="shared" ref="R9:R14" si="18">ROUND(D9/H9,3)</f>
        <v>0</v>
      </c>
      <c r="S9" s="118" t="s">
        <v>28</v>
      </c>
      <c r="T9" s="116"/>
      <c r="U9" s="116">
        <f xml:space="preserve"> E9*F9*7/10</f>
        <v>35</v>
      </c>
      <c r="V9" s="117">
        <f t="shared" si="14"/>
        <v>0.23</v>
      </c>
      <c r="W9" s="116">
        <f t="shared" ref="W9:W14" si="19">E9*(F9-0.4)</f>
        <v>49.6</v>
      </c>
      <c r="X9" s="117">
        <f t="shared" si="16"/>
        <v>0.16</v>
      </c>
      <c r="Y9" s="119"/>
      <c r="Z9" s="44" t="s">
        <v>292</v>
      </c>
      <c r="AL9" s="25"/>
      <c r="AM9" s="25" t="s">
        <v>298</v>
      </c>
    </row>
    <row r="10" spans="1:39" ht="23.5" customHeight="1" x14ac:dyDescent="0.45">
      <c r="A10" s="27" t="e" vm="6">
        <v>#VALUE!</v>
      </c>
      <c r="B10" s="27" t="s">
        <v>30</v>
      </c>
      <c r="C10" s="109">
        <v>2400</v>
      </c>
      <c r="D10" s="110">
        <v>0</v>
      </c>
      <c r="E10" s="26">
        <v>1</v>
      </c>
      <c r="F10" s="110">
        <v>6</v>
      </c>
      <c r="G10" s="110">
        <v>1300</v>
      </c>
      <c r="H10" s="110">
        <v>42</v>
      </c>
      <c r="I10" s="110">
        <v>5</v>
      </c>
      <c r="J10" s="110">
        <v>3600</v>
      </c>
      <c r="K10" s="110">
        <v>7</v>
      </c>
      <c r="L10" s="110"/>
      <c r="M10" s="110">
        <f t="shared" si="10"/>
        <v>4.62</v>
      </c>
      <c r="N10" s="110">
        <f>ROUND(E10*F10/(G10+J10/I10)*1000,2)</f>
        <v>2.97</v>
      </c>
      <c r="O10" s="110">
        <f t="shared" si="11"/>
        <v>30</v>
      </c>
      <c r="P10" s="111">
        <f t="shared" si="12"/>
        <v>1.3</v>
      </c>
      <c r="Q10" s="110">
        <f t="shared" si="17"/>
        <v>-6</v>
      </c>
      <c r="R10" s="110">
        <f t="shared" si="18"/>
        <v>0</v>
      </c>
      <c r="S10" s="112" t="s">
        <v>28</v>
      </c>
      <c r="T10" s="110"/>
      <c r="U10" s="110">
        <f xml:space="preserve"> E10*F10*7/10</f>
        <v>4.2</v>
      </c>
      <c r="V10" s="113">
        <f t="shared" si="14"/>
        <v>1.9</v>
      </c>
      <c r="W10" s="110">
        <f t="shared" si="19"/>
        <v>5.6</v>
      </c>
      <c r="X10" s="113">
        <f t="shared" si="16"/>
        <v>1.43</v>
      </c>
      <c r="Y10" s="110"/>
      <c r="Z10" s="44"/>
      <c r="AL10" s="94">
        <v>14</v>
      </c>
    </row>
    <row r="11" spans="1:39" ht="23.5" customHeight="1" x14ac:dyDescent="0.45">
      <c r="A11" s="8" t="e" vm="7">
        <v>#VALUE!</v>
      </c>
      <c r="B11" s="8" t="s">
        <v>31</v>
      </c>
      <c r="C11" s="33">
        <v>1216</v>
      </c>
      <c r="D11" s="9">
        <v>1</v>
      </c>
      <c r="E11" s="9">
        <v>1</v>
      </c>
      <c r="F11" s="9">
        <v>3.5</v>
      </c>
      <c r="G11" s="9">
        <v>650</v>
      </c>
      <c r="H11" s="9">
        <v>34</v>
      </c>
      <c r="I11" s="9">
        <v>14</v>
      </c>
      <c r="J11" s="9">
        <v>3300</v>
      </c>
      <c r="K11" s="9">
        <v>7</v>
      </c>
      <c r="L11" s="9"/>
      <c r="M11" s="9">
        <f t="shared" si="10"/>
        <v>5.38</v>
      </c>
      <c r="N11" s="9">
        <f t="shared" ref="N11:N30" si="20">ROUND(E11*F11/(G11+J11/I11)*1000,2)</f>
        <v>3.95</v>
      </c>
      <c r="O11" s="9">
        <f t="shared" si="11"/>
        <v>49</v>
      </c>
      <c r="P11" s="10">
        <f t="shared" si="12"/>
        <v>2.2999999999999998</v>
      </c>
      <c r="Q11" s="9">
        <f t="shared" si="17"/>
        <v>-4</v>
      </c>
      <c r="R11" s="9">
        <f t="shared" si="18"/>
        <v>2.9000000000000001E-2</v>
      </c>
      <c r="S11" s="18" t="s">
        <v>29</v>
      </c>
      <c r="T11" s="9"/>
      <c r="U11" s="9">
        <f xml:space="preserve"> E11*F11*7/10</f>
        <v>2.4500000000000002</v>
      </c>
      <c r="V11" s="97">
        <f t="shared" si="14"/>
        <v>3.27</v>
      </c>
      <c r="W11" s="9">
        <f t="shared" si="19"/>
        <v>3.1</v>
      </c>
      <c r="X11" s="19">
        <f t="shared" si="16"/>
        <v>2.58</v>
      </c>
      <c r="Y11" s="9"/>
      <c r="Z11" s="44"/>
      <c r="AL11" s="94">
        <v>10</v>
      </c>
    </row>
    <row r="12" spans="1:39" ht="23.5" customHeight="1" x14ac:dyDescent="0.45">
      <c r="A12" s="8" t="e" vm="8">
        <v>#VALUE!</v>
      </c>
      <c r="B12" s="8" t="s">
        <v>32</v>
      </c>
      <c r="C12" s="34">
        <v>2000</v>
      </c>
      <c r="D12" s="9">
        <v>1</v>
      </c>
      <c r="E12" s="13">
        <v>1</v>
      </c>
      <c r="F12" s="9">
        <v>2.5</v>
      </c>
      <c r="G12" s="9">
        <v>300</v>
      </c>
      <c r="H12" s="9">
        <v>36</v>
      </c>
      <c r="I12" s="9">
        <v>10</v>
      </c>
      <c r="J12" s="9">
        <v>2700</v>
      </c>
      <c r="K12" s="9">
        <v>7</v>
      </c>
      <c r="L12" s="9"/>
      <c r="M12" s="9">
        <f t="shared" si="10"/>
        <v>8.33</v>
      </c>
      <c r="N12" s="9">
        <f t="shared" si="20"/>
        <v>4.3899999999999997</v>
      </c>
      <c r="O12" s="9">
        <f t="shared" si="11"/>
        <v>25</v>
      </c>
      <c r="P12" s="107">
        <f t="shared" si="12"/>
        <v>3.2</v>
      </c>
      <c r="Q12" s="9">
        <f t="shared" si="17"/>
        <v>-5</v>
      </c>
      <c r="R12" s="9">
        <f t="shared" si="18"/>
        <v>2.8000000000000001E-2</v>
      </c>
      <c r="S12" s="18" t="s">
        <v>29</v>
      </c>
      <c r="T12" s="9"/>
      <c r="U12" s="9">
        <f xml:space="preserve"> E12*F12*9/10</f>
        <v>2.25</v>
      </c>
      <c r="V12" s="97">
        <f t="shared" si="14"/>
        <v>3.56</v>
      </c>
      <c r="W12" s="9">
        <f t="shared" si="19"/>
        <v>2.1</v>
      </c>
      <c r="X12" s="97">
        <f t="shared" si="16"/>
        <v>3.81</v>
      </c>
      <c r="Y12" s="9"/>
      <c r="Z12" s="44"/>
      <c r="AL12" s="94">
        <v>5</v>
      </c>
    </row>
    <row r="13" spans="1:39" ht="23.5" customHeight="1" x14ac:dyDescent="0.45">
      <c r="A13" s="8" t="e" vm="9">
        <v>#VALUE!</v>
      </c>
      <c r="B13" s="8" t="s">
        <v>33</v>
      </c>
      <c r="C13" s="29">
        <v>2800</v>
      </c>
      <c r="D13" s="9">
        <v>0</v>
      </c>
      <c r="E13" s="9">
        <v>1</v>
      </c>
      <c r="F13" s="9">
        <v>11</v>
      </c>
      <c r="G13" s="9">
        <v>2000</v>
      </c>
      <c r="H13" s="9">
        <v>32</v>
      </c>
      <c r="I13" s="9">
        <v>7</v>
      </c>
      <c r="J13" s="9">
        <v>4000</v>
      </c>
      <c r="K13" s="9">
        <v>7</v>
      </c>
      <c r="L13" s="9"/>
      <c r="M13" s="9">
        <f t="shared" si="10"/>
        <v>5.5</v>
      </c>
      <c r="N13" s="9">
        <f t="shared" si="20"/>
        <v>4.28</v>
      </c>
      <c r="O13" s="9">
        <f t="shared" si="11"/>
        <v>77</v>
      </c>
      <c r="P13" s="14">
        <f t="shared" si="12"/>
        <v>0.7</v>
      </c>
      <c r="Q13" s="9">
        <f t="shared" si="17"/>
        <v>-4</v>
      </c>
      <c r="R13" s="9">
        <f t="shared" si="18"/>
        <v>0</v>
      </c>
      <c r="S13" s="11" t="s">
        <v>28</v>
      </c>
      <c r="T13" s="9"/>
      <c r="U13" s="9">
        <f xml:space="preserve"> E13*F13*7/10</f>
        <v>7.7</v>
      </c>
      <c r="V13" s="16">
        <f t="shared" si="14"/>
        <v>1.04</v>
      </c>
      <c r="W13" s="9">
        <f t="shared" si="19"/>
        <v>10.6</v>
      </c>
      <c r="X13" s="17">
        <f t="shared" si="16"/>
        <v>0.75</v>
      </c>
      <c r="Y13" s="9"/>
      <c r="Z13" s="44" t="s">
        <v>34</v>
      </c>
      <c r="AL13" s="95">
        <v>1</v>
      </c>
    </row>
    <row r="14" spans="1:39" ht="23.5" customHeight="1" x14ac:dyDescent="0.45">
      <c r="A14" s="8" t="e" vm="10">
        <v>#VALUE!</v>
      </c>
      <c r="B14" s="8" t="s">
        <v>222</v>
      </c>
      <c r="C14" s="120">
        <v>640</v>
      </c>
      <c r="D14" s="9">
        <v>1</v>
      </c>
      <c r="E14" s="9">
        <v>1</v>
      </c>
      <c r="F14" s="9">
        <v>3</v>
      </c>
      <c r="G14" s="9">
        <v>350</v>
      </c>
      <c r="H14" s="9">
        <v>20</v>
      </c>
      <c r="I14" s="9">
        <v>7</v>
      </c>
      <c r="J14" s="9">
        <v>3300</v>
      </c>
      <c r="K14" s="9">
        <v>7</v>
      </c>
      <c r="L14" s="9"/>
      <c r="M14" s="9">
        <f t="shared" si="10"/>
        <v>8.57</v>
      </c>
      <c r="N14" s="9">
        <f t="shared" ref="N14" si="21">ROUND(E14*F14/(G14+J14/I14)*1000,2)</f>
        <v>3.65</v>
      </c>
      <c r="O14" s="9">
        <f t="shared" si="11"/>
        <v>21</v>
      </c>
      <c r="P14" s="10">
        <f t="shared" si="12"/>
        <v>2.7</v>
      </c>
      <c r="Q14" s="9">
        <f t="shared" si="17"/>
        <v>-2</v>
      </c>
      <c r="R14" s="9">
        <f t="shared" si="18"/>
        <v>0.05</v>
      </c>
      <c r="S14" s="11" t="s">
        <v>28</v>
      </c>
      <c r="T14" s="9"/>
      <c r="U14" s="9">
        <f xml:space="preserve"> E14*F14*9/10</f>
        <v>2.7</v>
      </c>
      <c r="V14" s="19">
        <f t="shared" si="14"/>
        <v>2.96</v>
      </c>
      <c r="W14" s="9">
        <f t="shared" si="19"/>
        <v>2.6</v>
      </c>
      <c r="X14" s="97">
        <f t="shared" si="16"/>
        <v>3.08</v>
      </c>
      <c r="Y14" s="9"/>
      <c r="Z14" s="44" t="s">
        <v>223</v>
      </c>
      <c r="AL14" s="95">
        <v>15</v>
      </c>
    </row>
    <row r="15" spans="1:39" ht="23.5" customHeight="1" thickBot="1" x14ac:dyDescent="0.5">
      <c r="A15" s="114"/>
      <c r="B15" s="114"/>
      <c r="C15" s="124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6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</row>
    <row r="16" spans="1:39" ht="23.5" customHeight="1" x14ac:dyDescent="0.45">
      <c r="A16" s="27" t="e" vm="11">
        <v>#VALUE!</v>
      </c>
      <c r="B16" s="27" t="s">
        <v>35</v>
      </c>
      <c r="C16" s="120">
        <v>640</v>
      </c>
      <c r="D16" s="110">
        <v>2</v>
      </c>
      <c r="E16" s="110">
        <v>1</v>
      </c>
      <c r="F16" s="110">
        <v>1</v>
      </c>
      <c r="G16" s="110">
        <v>300</v>
      </c>
      <c r="H16" s="110">
        <v>18</v>
      </c>
      <c r="I16" s="110">
        <v>15</v>
      </c>
      <c r="J16" s="110">
        <v>1100</v>
      </c>
      <c r="K16" s="110">
        <v>5</v>
      </c>
      <c r="L16" s="110"/>
      <c r="M16" s="110">
        <f t="shared" ref="M16:M20" si="22">ROUND(E16*F16/G16*1000,2)</f>
        <v>3.33</v>
      </c>
      <c r="N16" s="110">
        <f t="shared" si="20"/>
        <v>2.68</v>
      </c>
      <c r="O16" s="110">
        <f t="shared" ref="O16:O20" si="23">E16*F16*I16</f>
        <v>15</v>
      </c>
      <c r="P16" s="121">
        <f t="shared" ref="P16:P20" si="24">ROUND(playerHealth/(E16*F16),1)</f>
        <v>8</v>
      </c>
      <c r="Q16" s="110">
        <f t="shared" ref="Q16:Q20" si="25">-(FLOOR(H16/6,1)-1)</f>
        <v>-2</v>
      </c>
      <c r="R16" s="110">
        <f t="shared" ref="R16:R20" si="26">ROUND(D16/H16,3)</f>
        <v>0.111</v>
      </c>
      <c r="S16" s="122" t="s">
        <v>74</v>
      </c>
      <c r="T16" s="110"/>
      <c r="U16" s="110">
        <f t="shared" ref="U16:U20" si="27" xml:space="preserve"> E16*F16*9/10</f>
        <v>0.9</v>
      </c>
      <c r="V16" s="123">
        <f t="shared" ref="V16:V20" si="28">ROUND(playerHealth/(U16),2)</f>
        <v>8.89</v>
      </c>
      <c r="W16" s="110">
        <f t="shared" ref="W16:W20" si="29">E16*(F16-0.4)</f>
        <v>0.6</v>
      </c>
      <c r="X16" s="123">
        <f t="shared" ref="X16:X20" si="30">ROUND(playerHealth/(W16),2)</f>
        <v>13.33</v>
      </c>
      <c r="Y16" s="110"/>
      <c r="Z16" s="44" t="s">
        <v>224</v>
      </c>
      <c r="AL16" s="25" t="s">
        <v>227</v>
      </c>
    </row>
    <row r="17" spans="1:38" ht="23.5" customHeight="1" x14ac:dyDescent="0.45">
      <c r="A17" s="8" t="e" vm="12">
        <v>#VALUE!</v>
      </c>
      <c r="B17" s="8" t="s">
        <v>36</v>
      </c>
      <c r="C17" s="75">
        <v>960</v>
      </c>
      <c r="D17" s="9">
        <v>1</v>
      </c>
      <c r="E17" s="13">
        <v>1</v>
      </c>
      <c r="F17" s="9">
        <v>1</v>
      </c>
      <c r="G17" s="9">
        <v>100</v>
      </c>
      <c r="H17" s="9">
        <v>26</v>
      </c>
      <c r="I17" s="9">
        <v>100</v>
      </c>
      <c r="J17" s="9">
        <v>7200</v>
      </c>
      <c r="K17" s="9">
        <v>5</v>
      </c>
      <c r="L17" s="9"/>
      <c r="M17" s="9">
        <f t="shared" si="22"/>
        <v>10</v>
      </c>
      <c r="N17" s="9">
        <f>ROUND(E17*F17/(G17+J17/I17)*1000,2)</f>
        <v>5.81</v>
      </c>
      <c r="O17" s="9">
        <f t="shared" si="23"/>
        <v>100</v>
      </c>
      <c r="P17" s="22">
        <f t="shared" si="24"/>
        <v>8</v>
      </c>
      <c r="Q17" s="9">
        <f t="shared" si="25"/>
        <v>-3</v>
      </c>
      <c r="R17" s="9">
        <f t="shared" si="26"/>
        <v>3.7999999999999999E-2</v>
      </c>
      <c r="S17" s="11" t="s">
        <v>28</v>
      </c>
      <c r="T17" s="9"/>
      <c r="U17" s="9">
        <f t="shared" si="27"/>
        <v>0.9</v>
      </c>
      <c r="V17" s="23">
        <f t="shared" si="28"/>
        <v>8.89</v>
      </c>
      <c r="W17" s="9">
        <f t="shared" si="29"/>
        <v>0.6</v>
      </c>
      <c r="X17" s="23">
        <f t="shared" si="30"/>
        <v>13.33</v>
      </c>
      <c r="Y17" s="9"/>
      <c r="Z17" s="44" t="s">
        <v>37</v>
      </c>
      <c r="AG17" s="40" t="s">
        <v>80</v>
      </c>
      <c r="AH17" s="40"/>
      <c r="AI17" s="40"/>
      <c r="AJ17" s="40"/>
      <c r="AL17" s="94">
        <v>9</v>
      </c>
    </row>
    <row r="18" spans="1:38" ht="23.5" customHeight="1" x14ac:dyDescent="0.45">
      <c r="A18" s="8" t="e" vm="13">
        <v>#VALUE!</v>
      </c>
      <c r="B18" s="8" t="s">
        <v>38</v>
      </c>
      <c r="C18" s="33">
        <v>1216</v>
      </c>
      <c r="D18" s="9">
        <v>1</v>
      </c>
      <c r="E18" s="9">
        <v>1</v>
      </c>
      <c r="F18" s="9">
        <v>1</v>
      </c>
      <c r="G18" s="9">
        <v>100</v>
      </c>
      <c r="H18" s="9">
        <v>21</v>
      </c>
      <c r="I18" s="9">
        <v>20</v>
      </c>
      <c r="J18" s="9">
        <v>2300</v>
      </c>
      <c r="K18" s="9">
        <v>5</v>
      </c>
      <c r="L18" s="9"/>
      <c r="M18" s="9">
        <f t="shared" si="22"/>
        <v>10</v>
      </c>
      <c r="N18" s="9">
        <f t="shared" si="20"/>
        <v>4.6500000000000004</v>
      </c>
      <c r="O18" s="9">
        <f t="shared" si="23"/>
        <v>20</v>
      </c>
      <c r="P18" s="22">
        <f t="shared" si="24"/>
        <v>8</v>
      </c>
      <c r="Q18" s="9">
        <f t="shared" si="25"/>
        <v>-2</v>
      </c>
      <c r="R18" s="9">
        <f t="shared" si="26"/>
        <v>4.8000000000000001E-2</v>
      </c>
      <c r="S18" s="18" t="s">
        <v>29</v>
      </c>
      <c r="T18" s="9"/>
      <c r="U18" s="9">
        <f t="shared" si="27"/>
        <v>0.9</v>
      </c>
      <c r="V18" s="23">
        <f t="shared" si="28"/>
        <v>8.89</v>
      </c>
      <c r="W18" s="9">
        <f t="shared" si="29"/>
        <v>0.6</v>
      </c>
      <c r="X18" s="23">
        <f t="shared" si="30"/>
        <v>13.33</v>
      </c>
      <c r="Y18" s="9"/>
      <c r="Z18" s="44" t="s">
        <v>221</v>
      </c>
      <c r="AL18" s="94">
        <v>11</v>
      </c>
    </row>
    <row r="19" spans="1:38" ht="23.5" customHeight="1" x14ac:dyDescent="0.45">
      <c r="A19" s="8" t="e" vm="14">
        <v>#VALUE!</v>
      </c>
      <c r="B19" s="8" t="s">
        <v>39</v>
      </c>
      <c r="C19" s="36">
        <v>832</v>
      </c>
      <c r="D19" s="9">
        <v>1</v>
      </c>
      <c r="E19" s="13">
        <v>1</v>
      </c>
      <c r="F19" s="9">
        <v>1</v>
      </c>
      <c r="G19" s="9">
        <v>110</v>
      </c>
      <c r="H19" s="9">
        <v>25</v>
      </c>
      <c r="I19" s="9">
        <v>30</v>
      </c>
      <c r="J19" s="9">
        <v>2000</v>
      </c>
      <c r="K19" s="9">
        <v>5</v>
      </c>
      <c r="L19" s="9"/>
      <c r="M19" s="9">
        <f t="shared" si="22"/>
        <v>9.09</v>
      </c>
      <c r="N19" s="9">
        <f t="shared" si="20"/>
        <v>5.66</v>
      </c>
      <c r="O19" s="9">
        <f t="shared" si="23"/>
        <v>30</v>
      </c>
      <c r="P19" s="22">
        <f t="shared" si="24"/>
        <v>8</v>
      </c>
      <c r="Q19" s="9">
        <f t="shared" si="25"/>
        <v>-3</v>
      </c>
      <c r="R19" s="9">
        <f t="shared" si="26"/>
        <v>0.04</v>
      </c>
      <c r="S19" s="18" t="s">
        <v>29</v>
      </c>
      <c r="T19" s="9"/>
      <c r="U19" s="9">
        <f t="shared" si="27"/>
        <v>0.9</v>
      </c>
      <c r="V19" s="23">
        <f t="shared" si="28"/>
        <v>8.89</v>
      </c>
      <c r="W19" s="9">
        <f t="shared" si="29"/>
        <v>0.6</v>
      </c>
      <c r="X19" s="23">
        <f t="shared" si="30"/>
        <v>13.33</v>
      </c>
      <c r="Y19" s="9"/>
      <c r="Z19" s="44"/>
      <c r="AL19" s="94">
        <v>4</v>
      </c>
    </row>
    <row r="20" spans="1:38" ht="23.5" customHeight="1" x14ac:dyDescent="0.45">
      <c r="A20" s="8" t="e" vm="15">
        <v>#VALUE!</v>
      </c>
      <c r="B20" s="8" t="s">
        <v>40</v>
      </c>
      <c r="C20" s="37">
        <v>704</v>
      </c>
      <c r="D20" s="9">
        <v>1</v>
      </c>
      <c r="E20" s="9">
        <v>1</v>
      </c>
      <c r="F20" s="9">
        <v>1</v>
      </c>
      <c r="G20" s="9">
        <v>90</v>
      </c>
      <c r="H20" s="9">
        <v>23</v>
      </c>
      <c r="I20" s="9">
        <v>30</v>
      </c>
      <c r="J20" s="9">
        <v>3200</v>
      </c>
      <c r="K20" s="9">
        <v>5</v>
      </c>
      <c r="L20" s="9"/>
      <c r="M20" s="9">
        <f t="shared" si="22"/>
        <v>11.11</v>
      </c>
      <c r="N20" s="9">
        <f t="shared" si="20"/>
        <v>5.08</v>
      </c>
      <c r="O20" s="9">
        <f t="shared" si="23"/>
        <v>30</v>
      </c>
      <c r="P20" s="22">
        <f t="shared" si="24"/>
        <v>8</v>
      </c>
      <c r="Q20" s="9">
        <f t="shared" si="25"/>
        <v>-2</v>
      </c>
      <c r="R20" s="9">
        <f t="shared" si="26"/>
        <v>4.2999999999999997E-2</v>
      </c>
      <c r="S20" s="18" t="s">
        <v>29</v>
      </c>
      <c r="T20" s="9"/>
      <c r="U20" s="9">
        <f t="shared" si="27"/>
        <v>0.9</v>
      </c>
      <c r="V20" s="23">
        <f t="shared" si="28"/>
        <v>8.89</v>
      </c>
      <c r="W20" s="9">
        <f t="shared" si="29"/>
        <v>0.6</v>
      </c>
      <c r="X20" s="23">
        <f t="shared" si="30"/>
        <v>13.33</v>
      </c>
      <c r="Y20" s="9"/>
      <c r="Z20" s="44"/>
      <c r="AG20" s="40" t="s">
        <v>81</v>
      </c>
      <c r="AH20" s="40"/>
      <c r="AI20" s="40"/>
      <c r="AJ20" s="40"/>
      <c r="AL20" s="94">
        <v>6</v>
      </c>
    </row>
    <row r="21" spans="1:38" ht="23.5" customHeight="1" x14ac:dyDescent="0.45">
      <c r="A21" s="8"/>
      <c r="B21" s="8"/>
      <c r="C21" s="60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9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</row>
    <row r="22" spans="1:38" ht="23.5" customHeight="1" thickBot="1" x14ac:dyDescent="0.5">
      <c r="A22" s="114"/>
      <c r="B22" s="114"/>
      <c r="C22" s="124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6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44"/>
      <c r="AL22" s="25"/>
    </row>
    <row r="23" spans="1:38" ht="23.5" customHeight="1" x14ac:dyDescent="0.45">
      <c r="A23" s="27" t="e" vm="16">
        <v>#VALUE!</v>
      </c>
      <c r="B23" s="27" t="s">
        <v>41</v>
      </c>
      <c r="C23" s="125">
        <v>320</v>
      </c>
      <c r="D23" s="110">
        <v>4</v>
      </c>
      <c r="E23" s="110">
        <v>6</v>
      </c>
      <c r="F23" s="110">
        <v>1</v>
      </c>
      <c r="G23" s="110">
        <v>180</v>
      </c>
      <c r="H23" s="110">
        <v>11</v>
      </c>
      <c r="I23" s="110">
        <v>2</v>
      </c>
      <c r="J23" s="110">
        <v>2500</v>
      </c>
      <c r="K23" s="110">
        <v>12</v>
      </c>
      <c r="L23" s="110"/>
      <c r="M23" s="110">
        <f>ROUND(E23*F23/G23*1000,2)</f>
        <v>33.33</v>
      </c>
      <c r="N23" s="110">
        <f t="shared" si="20"/>
        <v>4.2</v>
      </c>
      <c r="O23" s="110">
        <f>E23*F23*I23</f>
        <v>12</v>
      </c>
      <c r="P23" s="111">
        <f>ROUND(playerHealth/(E23*F23),1)</f>
        <v>1.3</v>
      </c>
      <c r="Q23" s="110">
        <f>-(FLOOR(H23/6,1)-1)</f>
        <v>0</v>
      </c>
      <c r="R23" s="110">
        <f>ROUND(D23/H23,3)</f>
        <v>0.36399999999999999</v>
      </c>
      <c r="S23" s="112" t="s">
        <v>28</v>
      </c>
      <c r="T23" s="110"/>
      <c r="U23" s="110">
        <f xml:space="preserve"> E23*F23*9/10</f>
        <v>5.4</v>
      </c>
      <c r="V23" s="113">
        <f>ROUND(playerHealth/(U23),2)</f>
        <v>1.48</v>
      </c>
      <c r="W23" s="110">
        <f>E23*(F23-0.4)</f>
        <v>3.5999999999999996</v>
      </c>
      <c r="X23" s="126">
        <f>ROUND(playerHealth/(W23),2)</f>
        <v>2.2200000000000002</v>
      </c>
      <c r="Y23" s="110"/>
      <c r="Z23" s="44" t="s">
        <v>42</v>
      </c>
      <c r="AL23" s="94">
        <v>3</v>
      </c>
    </row>
    <row r="24" spans="1:38" ht="23.5" customHeight="1" x14ac:dyDescent="0.45">
      <c r="A24" s="8" t="e" vm="17">
        <v>#VALUE!</v>
      </c>
      <c r="B24" s="8" t="s">
        <v>43</v>
      </c>
      <c r="C24" s="39">
        <v>448</v>
      </c>
      <c r="D24" s="9">
        <v>2</v>
      </c>
      <c r="E24" s="13">
        <v>3</v>
      </c>
      <c r="F24" s="9">
        <v>1</v>
      </c>
      <c r="G24" s="9">
        <v>400</v>
      </c>
      <c r="H24" s="9">
        <v>14</v>
      </c>
      <c r="I24" s="9">
        <v>14</v>
      </c>
      <c r="J24" s="9">
        <v>6000</v>
      </c>
      <c r="K24" s="9">
        <v>12</v>
      </c>
      <c r="L24" s="9"/>
      <c r="M24" s="9">
        <f>ROUND(E24*F24/G24*1000,2)</f>
        <v>7.5</v>
      </c>
      <c r="N24" s="9">
        <f t="shared" si="20"/>
        <v>3.62</v>
      </c>
      <c r="O24" s="9">
        <f>E24*F24*I24</f>
        <v>42</v>
      </c>
      <c r="P24" s="10">
        <f>ROUND(playerHealth/(E24*F24),1)</f>
        <v>2.7</v>
      </c>
      <c r="Q24" s="9">
        <f>-(FLOOR(H24/6,1)-1)</f>
        <v>-1</v>
      </c>
      <c r="R24" s="9">
        <f>ROUND(D24/H24,3)</f>
        <v>0.14299999999999999</v>
      </c>
      <c r="S24" s="18" t="s">
        <v>29</v>
      </c>
      <c r="T24" s="9"/>
      <c r="U24" s="9">
        <f xml:space="preserve"> E24*F24*9/10</f>
        <v>2.7</v>
      </c>
      <c r="V24" s="19">
        <f>ROUND(playerHealth/(U24),2)</f>
        <v>2.96</v>
      </c>
      <c r="W24" s="9">
        <f>E24*(F24-0.4)</f>
        <v>1.7999999999999998</v>
      </c>
      <c r="X24" s="23">
        <f>ROUND(playerHealth/(W24),2)</f>
        <v>4.4400000000000004</v>
      </c>
      <c r="Y24" s="9"/>
      <c r="Z24" s="44"/>
      <c r="AL24" s="94">
        <v>12</v>
      </c>
    </row>
    <row r="25" spans="1:38" ht="23.5" customHeight="1" x14ac:dyDescent="0.45">
      <c r="A25" s="8" t="e" vm="18">
        <v>#VALUE!</v>
      </c>
      <c r="B25" s="8" t="s">
        <v>44</v>
      </c>
      <c r="C25" s="39">
        <v>448</v>
      </c>
      <c r="D25" s="9">
        <v>1</v>
      </c>
      <c r="E25" s="9">
        <v>1</v>
      </c>
      <c r="F25" s="9">
        <v>0</v>
      </c>
      <c r="G25" s="9">
        <v>260</v>
      </c>
      <c r="H25" s="9">
        <v>12</v>
      </c>
      <c r="I25" s="9">
        <v>5</v>
      </c>
      <c r="J25" s="9">
        <v>2800</v>
      </c>
      <c r="K25" s="9">
        <v>12</v>
      </c>
      <c r="L25" s="9">
        <v>4</v>
      </c>
      <c r="M25" s="9">
        <f>ROUND(E25*(F25+L25*gun_bullet_explosion_damage)/G25*1000,2)</f>
        <v>15.38</v>
      </c>
      <c r="N25" s="9">
        <f>ROUND(E25*(F25+L25*gun_bullet_explosion_damage)/(G25+J25/I25)*1000,2)</f>
        <v>4.88</v>
      </c>
      <c r="O25" s="9">
        <f>E25*(F25+L25*gun_bullet_explosion_damage)*I25</f>
        <v>20</v>
      </c>
      <c r="P25" s="20">
        <f>ROUND(playerHealth/(E25*(F25+L25*gun_bullet_explosion_damage)),1)</f>
        <v>2</v>
      </c>
      <c r="Q25" s="9">
        <f t="shared" ref="Q25" si="31">-(FLOOR(H25/6,1)-1)</f>
        <v>-1</v>
      </c>
      <c r="R25" s="9">
        <f t="shared" ref="R25" si="32">ROUND(D25/H25,3)</f>
        <v>8.3000000000000004E-2</v>
      </c>
      <c r="S25" s="18" t="s">
        <v>29</v>
      </c>
      <c r="T25" s="9"/>
      <c r="U25" s="9">
        <f xml:space="preserve"> E25*(F25+L25*gun_bullet_explosion_damage*9/10)</f>
        <v>3.6</v>
      </c>
      <c r="V25" s="19">
        <f>ROUND(playerHealth/(U25),2)</f>
        <v>2.2200000000000002</v>
      </c>
      <c r="W25" s="9">
        <f>E25*((F25+L25*(gun_bullet_explosion_damage-0.4)))</f>
        <v>2.4</v>
      </c>
      <c r="X25" s="97">
        <f>ROUND(playerHealth/(W25),2)</f>
        <v>3.33</v>
      </c>
      <c r="Y25" s="9"/>
      <c r="Z25" s="44" t="s">
        <v>226</v>
      </c>
      <c r="AL25" s="94">
        <v>7</v>
      </c>
    </row>
    <row r="26" spans="1:38" ht="23.5" customHeight="1" x14ac:dyDescent="0.45">
      <c r="A26" s="8"/>
      <c r="B26" s="8"/>
      <c r="C26" s="2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  <c r="Q26" s="9"/>
      <c r="R26" s="9"/>
      <c r="S26" s="21"/>
      <c r="T26" s="9"/>
      <c r="U26" s="9"/>
      <c r="V26" s="10"/>
      <c r="W26" s="9"/>
      <c r="X26" s="10"/>
      <c r="Y26" s="9"/>
      <c r="Z26" s="44"/>
      <c r="AL26" s="25"/>
    </row>
    <row r="27" spans="1:38" ht="23.5" customHeight="1" thickBot="1" x14ac:dyDescent="0.5">
      <c r="A27" s="114"/>
      <c r="B27" s="114"/>
      <c r="C27" s="124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6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44"/>
      <c r="AL27" s="25"/>
    </row>
    <row r="28" spans="1:38" ht="23.5" customHeight="1" x14ac:dyDescent="0.45">
      <c r="A28" s="27" t="e" vm="19">
        <v>#VALUE!</v>
      </c>
      <c r="B28" s="27" t="s">
        <v>45</v>
      </c>
      <c r="C28" s="109">
        <v>800</v>
      </c>
      <c r="D28" s="110">
        <v>1</v>
      </c>
      <c r="E28" s="110">
        <v>1</v>
      </c>
      <c r="F28" s="110">
        <v>0.8</v>
      </c>
      <c r="G28" s="110">
        <v>85</v>
      </c>
      <c r="H28" s="110">
        <v>19</v>
      </c>
      <c r="I28" s="110">
        <v>25</v>
      </c>
      <c r="J28" s="110">
        <v>2700</v>
      </c>
      <c r="K28" s="110" t="s">
        <v>46</v>
      </c>
      <c r="L28" s="110"/>
      <c r="M28" s="110">
        <f>ROUND(E28*F28/G28*1000,2)</f>
        <v>9.41</v>
      </c>
      <c r="N28" s="110">
        <f t="shared" si="20"/>
        <v>4.1500000000000004</v>
      </c>
      <c r="O28" s="110">
        <f>E28*F28*I28</f>
        <v>20</v>
      </c>
      <c r="P28" s="121">
        <f>ROUND(playerHealth/(E28*F28),1)</f>
        <v>10</v>
      </c>
      <c r="Q28" s="110">
        <f>-(FLOOR(H28/6,1)-1)</f>
        <v>-2</v>
      </c>
      <c r="R28" s="110">
        <f>ROUND(D28/H28,3)</f>
        <v>5.2999999999999999E-2</v>
      </c>
      <c r="S28" s="86" t="s">
        <v>29</v>
      </c>
      <c r="T28" s="110"/>
      <c r="U28" s="110">
        <f xml:space="preserve"> E28*F28*9/10</f>
        <v>0.72</v>
      </c>
      <c r="V28" s="123">
        <f>ROUND(playerHealth/(U28),2)</f>
        <v>11.11</v>
      </c>
      <c r="W28" s="110">
        <f>E28*(F28-0.2)</f>
        <v>0.60000000000000009</v>
      </c>
      <c r="X28" s="123">
        <f>ROUND(playerHealth/(W28),2)</f>
        <v>13.33</v>
      </c>
      <c r="Y28" s="110"/>
      <c r="Z28" s="44"/>
      <c r="AL28" s="94">
        <v>13</v>
      </c>
    </row>
    <row r="29" spans="1:38" ht="23.5" customHeight="1" x14ac:dyDescent="0.45">
      <c r="A29" s="8" t="e" vm="20">
        <v>#VALUE!</v>
      </c>
      <c r="B29" s="8" t="s">
        <v>47</v>
      </c>
      <c r="C29" s="29">
        <v>650</v>
      </c>
      <c r="D29" s="9">
        <v>1</v>
      </c>
      <c r="E29" s="13">
        <v>1</v>
      </c>
      <c r="F29" s="9">
        <v>0.8</v>
      </c>
      <c r="G29" s="9">
        <v>45</v>
      </c>
      <c r="H29" s="9">
        <v>20</v>
      </c>
      <c r="I29" s="9">
        <v>19</v>
      </c>
      <c r="J29" s="9">
        <v>2600</v>
      </c>
      <c r="K29" s="9" t="s">
        <v>46</v>
      </c>
      <c r="L29" s="9"/>
      <c r="M29" s="9">
        <f>ROUND(E29*F29/G29*1000,2)</f>
        <v>17.78</v>
      </c>
      <c r="N29" s="9">
        <f t="shared" si="20"/>
        <v>4.4000000000000004</v>
      </c>
      <c r="O29" s="9">
        <f>E29*F29*I29</f>
        <v>15.200000000000001</v>
      </c>
      <c r="P29" s="22">
        <f>ROUND(playerHealth/(E29*F29),1)</f>
        <v>10</v>
      </c>
      <c r="Q29" s="9">
        <f>-(FLOOR(H29/6,1)-1)</f>
        <v>-2</v>
      </c>
      <c r="R29" s="9">
        <f>ROUND(D29/H29,3)</f>
        <v>0.05</v>
      </c>
      <c r="S29" s="18" t="s">
        <v>29</v>
      </c>
      <c r="T29" s="9"/>
      <c r="U29" s="9">
        <f xml:space="preserve"> E29*F29*9/10</f>
        <v>0.72</v>
      </c>
      <c r="V29" s="23">
        <f>ROUND(playerHealth/(U29),2)</f>
        <v>11.11</v>
      </c>
      <c r="W29" s="9">
        <f>E29*(F29-0.2)</f>
        <v>0.60000000000000009</v>
      </c>
      <c r="X29" s="23">
        <f>ROUND(playerHealth/(W29),2)</f>
        <v>13.33</v>
      </c>
      <c r="Y29" s="9"/>
      <c r="Z29" s="44"/>
      <c r="AL29" s="94">
        <v>2</v>
      </c>
    </row>
    <row r="30" spans="1:38" ht="23.5" customHeight="1" x14ac:dyDescent="0.45">
      <c r="A30" s="8" t="e" vm="21">
        <v>#VALUE!</v>
      </c>
      <c r="B30" s="8" t="s">
        <v>48</v>
      </c>
      <c r="C30" s="29">
        <v>700</v>
      </c>
      <c r="D30" s="9">
        <v>1</v>
      </c>
      <c r="E30" s="9">
        <v>1</v>
      </c>
      <c r="F30" s="9">
        <v>0.8</v>
      </c>
      <c r="G30" s="9">
        <v>70</v>
      </c>
      <c r="H30" s="9">
        <v>22</v>
      </c>
      <c r="I30" s="9">
        <v>30</v>
      </c>
      <c r="J30" s="9">
        <v>2100</v>
      </c>
      <c r="K30" s="9" t="s">
        <v>46</v>
      </c>
      <c r="L30" s="9"/>
      <c r="M30" s="9">
        <f>ROUND(E30*F30/G30*1000,2)</f>
        <v>11.43</v>
      </c>
      <c r="N30" s="9">
        <f t="shared" si="20"/>
        <v>5.71</v>
      </c>
      <c r="O30" s="9">
        <f>E30*F30*I30</f>
        <v>24</v>
      </c>
      <c r="P30" s="22">
        <f>ROUND(playerHealth/(E30*F30),1)</f>
        <v>10</v>
      </c>
      <c r="Q30" s="9">
        <f>-(FLOOR(H30/6,1)-1)</f>
        <v>-2</v>
      </c>
      <c r="R30" s="9">
        <f>ROUND(D30/H30,3)</f>
        <v>4.4999999999999998E-2</v>
      </c>
      <c r="S30" s="18" t="s">
        <v>29</v>
      </c>
      <c r="T30" s="9"/>
      <c r="U30" s="9">
        <f xml:space="preserve"> E30*F30*9/10</f>
        <v>0.72</v>
      </c>
      <c r="V30" s="23">
        <f>ROUND(playerHealth/(U30),2)</f>
        <v>11.11</v>
      </c>
      <c r="W30" s="9">
        <f>E30*(F30-0.2)</f>
        <v>0.60000000000000009</v>
      </c>
      <c r="X30" s="23">
        <f>ROUND(playerHealth/(W30),2)</f>
        <v>13.33</v>
      </c>
      <c r="Y30" s="9"/>
      <c r="Z30" s="44"/>
      <c r="AL30" s="94">
        <v>8</v>
      </c>
    </row>
    <row r="31" spans="1:38" ht="23.5" customHeight="1" thickBot="1" x14ac:dyDescent="0.5">
      <c r="A31" s="114"/>
      <c r="B31" s="114"/>
      <c r="C31" s="115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31"/>
      <c r="T31" s="116"/>
      <c r="U31" s="116"/>
      <c r="V31" s="132"/>
      <c r="W31" s="116"/>
      <c r="X31" s="132"/>
      <c r="Y31" s="116"/>
      <c r="Z31" s="44"/>
      <c r="AL31" s="25"/>
    </row>
    <row r="32" spans="1:38" ht="23.5" customHeight="1" x14ac:dyDescent="0.45">
      <c r="A32" s="127"/>
      <c r="B32" s="128" t="s">
        <v>49</v>
      </c>
      <c r="C32" s="129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30"/>
      <c r="T32" s="110"/>
      <c r="U32" s="110"/>
      <c r="V32" s="123"/>
      <c r="W32" s="110"/>
      <c r="X32" s="123"/>
      <c r="Y32" s="110"/>
      <c r="Z32" s="44"/>
      <c r="AL32" s="25"/>
    </row>
    <row r="33" spans="1:38" ht="23.5" customHeight="1" x14ac:dyDescent="0.45">
      <c r="A33" s="8" t="e" vm="22">
        <v>#VALUE!</v>
      </c>
      <c r="B33" s="8" t="s">
        <v>50</v>
      </c>
      <c r="C33" s="29">
        <v>24</v>
      </c>
      <c r="D33" s="9">
        <v>0</v>
      </c>
      <c r="E33" s="13">
        <v>1</v>
      </c>
      <c r="F33" s="9">
        <v>0.5</v>
      </c>
      <c r="G33" s="9">
        <v>300</v>
      </c>
      <c r="H33" s="9">
        <v>6</v>
      </c>
      <c r="I33" s="9" t="s">
        <v>51</v>
      </c>
      <c r="J33" s="9">
        <v>0</v>
      </c>
      <c r="K33" s="9"/>
      <c r="L33" s="9"/>
      <c r="M33" s="9">
        <f>ROUND(E33*F33/G33*1000,2)</f>
        <v>1.67</v>
      </c>
      <c r="N33" s="9">
        <f>ROUND(E33*F33/(G33+J33)*1000,2)</f>
        <v>1.67</v>
      </c>
      <c r="O33" s="9"/>
      <c r="P33" s="22">
        <f>ROUND(8/(E33*F33),1)</f>
        <v>16</v>
      </c>
      <c r="Q33" s="9"/>
      <c r="R33" s="9"/>
      <c r="S33" s="21"/>
      <c r="T33" s="9"/>
      <c r="U33" s="9">
        <f t="shared" ref="U33:U34" si="33" xml:space="preserve"> E33*F33*9/10</f>
        <v>0.45</v>
      </c>
      <c r="V33" s="23">
        <f>ROUND(playerHealth/(U33),2)</f>
        <v>17.78</v>
      </c>
      <c r="W33" s="9">
        <f t="shared" ref="W33" si="34">E33*(F33-0.2)</f>
        <v>0.3</v>
      </c>
      <c r="X33" s="23">
        <f>ROUND(playerHealth/(W33),2)</f>
        <v>26.67</v>
      </c>
      <c r="Y33" s="9"/>
      <c r="Z33" s="44" t="s">
        <v>52</v>
      </c>
      <c r="AL33" s="25"/>
    </row>
    <row r="34" spans="1:38" ht="23.5" customHeight="1" x14ac:dyDescent="0.45">
      <c r="A34" s="8" t="e" vm="23">
        <v>#VALUE!</v>
      </c>
      <c r="B34" s="8" t="s">
        <v>53</v>
      </c>
      <c r="C34" s="29">
        <v>32</v>
      </c>
      <c r="D34" s="9">
        <v>0</v>
      </c>
      <c r="E34" s="9">
        <v>1</v>
      </c>
      <c r="F34" s="9">
        <v>1</v>
      </c>
      <c r="G34" s="9">
        <v>200</v>
      </c>
      <c r="H34" s="9">
        <v>8</v>
      </c>
      <c r="I34" s="9" t="s">
        <v>51</v>
      </c>
      <c r="J34" s="9">
        <v>0</v>
      </c>
      <c r="K34" s="9"/>
      <c r="L34" s="9"/>
      <c r="M34" s="9">
        <f>ROUND(E34*F34/G34*1000,2)</f>
        <v>5</v>
      </c>
      <c r="N34" s="9">
        <f>ROUND(E34*F34/(G34+J34)*1000,2)</f>
        <v>5</v>
      </c>
      <c r="O34" s="9"/>
      <c r="P34" s="22">
        <f>ROUND(8/(E34*F34),1)</f>
        <v>8</v>
      </c>
      <c r="Q34" s="9"/>
      <c r="R34" s="9"/>
      <c r="S34" s="21"/>
      <c r="T34" s="9"/>
      <c r="U34" s="9">
        <f t="shared" si="33"/>
        <v>0.9</v>
      </c>
      <c r="V34" s="23">
        <f>ROUND(playerHealth/(U34),2)</f>
        <v>8.89</v>
      </c>
      <c r="W34" s="9">
        <f>E34*(F34-0.4)</f>
        <v>0.6</v>
      </c>
      <c r="X34" s="23">
        <f>ROUND(playerHealth/(W34),2)</f>
        <v>13.33</v>
      </c>
      <c r="Y34" s="9"/>
      <c r="Z34" s="44"/>
      <c r="AL34" s="25"/>
    </row>
    <row r="35" spans="1:38" ht="23.5" customHeight="1" x14ac:dyDescent="0.45">
      <c r="A35" s="8" t="e" vm="24">
        <v>#VALUE!</v>
      </c>
      <c r="B35" s="8" t="s">
        <v>54</v>
      </c>
      <c r="C35" s="29">
        <v>48</v>
      </c>
      <c r="D35" s="9">
        <v>1</v>
      </c>
      <c r="E35" s="9">
        <v>1</v>
      </c>
      <c r="F35" s="9">
        <v>2</v>
      </c>
      <c r="G35" s="9">
        <v>500</v>
      </c>
      <c r="H35" s="9">
        <v>6</v>
      </c>
      <c r="I35" s="9" t="s">
        <v>51</v>
      </c>
      <c r="J35" s="9">
        <v>0</v>
      </c>
      <c r="K35" s="9"/>
      <c r="L35" s="9"/>
      <c r="M35" s="9">
        <f>ROUND(E35*F35/G35*1000,2)</f>
        <v>4</v>
      </c>
      <c r="N35" s="9">
        <f>ROUND(E35*F35/(G35+J35)*1000,2)</f>
        <v>4</v>
      </c>
      <c r="O35" s="9"/>
      <c r="P35" s="22">
        <f>ROUND(8/(E35*F35),1)</f>
        <v>4</v>
      </c>
      <c r="Q35" s="9"/>
      <c r="R35" s="9"/>
      <c r="S35" s="21"/>
      <c r="T35" s="9"/>
      <c r="U35" s="9">
        <f t="shared" ref="U35" si="35" xml:space="preserve"> E35*F35*9/10</f>
        <v>1.8</v>
      </c>
      <c r="V35" s="23">
        <f>ROUND(playerHealth/(U35),2)</f>
        <v>4.4400000000000004</v>
      </c>
      <c r="W35" s="9">
        <f>E35*(F35-0.4)</f>
        <v>1.6</v>
      </c>
      <c r="X35" s="23">
        <f>ROUND(playerHealth/(W35),2)</f>
        <v>5</v>
      </c>
      <c r="Y35" s="9"/>
      <c r="Z35" s="44"/>
      <c r="AL35" s="25"/>
    </row>
    <row r="36" spans="1:38" ht="23.5" customHeight="1" x14ac:dyDescent="0.45">
      <c r="A36" s="8" t="s">
        <v>196</v>
      </c>
      <c r="B36" s="8" t="s">
        <v>265</v>
      </c>
      <c r="C36" s="42" t="s">
        <v>264</v>
      </c>
      <c r="D36" s="58">
        <v>0</v>
      </c>
      <c r="E36" s="58">
        <v>1</v>
      </c>
      <c r="F36" s="58">
        <v>3.5</v>
      </c>
      <c r="G36" s="9">
        <v>800</v>
      </c>
      <c r="H36" s="52" t="s">
        <v>263</v>
      </c>
      <c r="I36" s="9" t="s">
        <v>51</v>
      </c>
      <c r="J36" s="9">
        <v>0</v>
      </c>
      <c r="K36" s="58"/>
      <c r="L36" s="58"/>
      <c r="M36" s="9">
        <f>ROUND(E36*F36/G36*1000,2)</f>
        <v>4.38</v>
      </c>
      <c r="N36" s="9">
        <f>ROUND(E36*F36/(G36+J36)*1000,2)</f>
        <v>4.38</v>
      </c>
      <c r="O36" s="58"/>
      <c r="P36" s="10">
        <f>ROUND(8/(E36*F36),1)</f>
        <v>2.2999999999999998</v>
      </c>
      <c r="Q36" s="58"/>
      <c r="R36" s="58"/>
      <c r="S36" s="58"/>
      <c r="T36" s="58"/>
      <c r="U36" s="9">
        <f xml:space="preserve"> E36*F36*7/10</f>
        <v>2.4500000000000002</v>
      </c>
      <c r="V36" s="97">
        <f>ROUND(playerHealth/(U36),2)</f>
        <v>3.27</v>
      </c>
      <c r="W36" s="9">
        <f t="shared" ref="W36" si="36">E36*(F36-0.4)</f>
        <v>3.1</v>
      </c>
      <c r="X36" s="19">
        <f>ROUND(playerHealth/(W36),2)</f>
        <v>2.58</v>
      </c>
      <c r="Y36" s="9"/>
      <c r="Z36" t="s">
        <v>262</v>
      </c>
      <c r="AL36" s="25"/>
    </row>
    <row r="37" spans="1:38" ht="23.5" customHeight="1" thickBot="1" x14ac:dyDescent="0.5">
      <c r="A37" s="114" t="e" vm="25">
        <v>#VALUE!</v>
      </c>
      <c r="B37" s="114" t="s">
        <v>255</v>
      </c>
      <c r="C37" s="124">
        <v>90</v>
      </c>
      <c r="D37" s="119">
        <v>1</v>
      </c>
      <c r="E37" s="119">
        <v>3</v>
      </c>
      <c r="F37" s="119">
        <v>1.2</v>
      </c>
      <c r="G37" s="119">
        <v>300</v>
      </c>
      <c r="H37" s="119">
        <v>7</v>
      </c>
      <c r="I37" s="116" t="s">
        <v>51</v>
      </c>
      <c r="J37" s="116">
        <v>0</v>
      </c>
      <c r="K37" s="119"/>
      <c r="L37" s="150"/>
      <c r="M37" s="119">
        <f>ROUND(E37*F37/G37*1000,2)</f>
        <v>12</v>
      </c>
      <c r="N37" s="119">
        <f>ROUND(E37*F37/(G37+J37)*1000,2)</f>
        <v>12</v>
      </c>
      <c r="O37" s="119"/>
      <c r="P37" s="151">
        <f>ROUND(8/(E37*F37),1)</f>
        <v>2.2000000000000002</v>
      </c>
      <c r="Q37" s="119"/>
      <c r="R37" s="119"/>
      <c r="S37" s="119"/>
      <c r="T37" s="119"/>
      <c r="U37" s="116">
        <f t="shared" ref="U37" si="37" xml:space="preserve"> E37*F37*9/10</f>
        <v>3.2399999999999998</v>
      </c>
      <c r="V37" s="132">
        <f>ROUND(playerHealth/(U37),2)</f>
        <v>2.4700000000000002</v>
      </c>
      <c r="W37" s="116">
        <f>E37*(F37-0.2)</f>
        <v>3</v>
      </c>
      <c r="X37" s="132">
        <f>ROUND(playerHealth/(W37),2)</f>
        <v>2.67</v>
      </c>
      <c r="Y37" s="116"/>
      <c r="AL37" s="25"/>
    </row>
    <row r="38" spans="1:38" ht="23.5" customHeight="1" x14ac:dyDescent="0.45"/>
    <row r="39" spans="1:38" ht="23.5" customHeight="1" x14ac:dyDescent="0.45">
      <c r="A39" s="24"/>
      <c r="B39" s="61" t="s">
        <v>168</v>
      </c>
      <c r="C39" s="188" t="s">
        <v>56</v>
      </c>
      <c r="D39" s="188"/>
      <c r="E39" s="188"/>
      <c r="F39" s="188"/>
      <c r="G39" s="188"/>
      <c r="H39" s="188"/>
      <c r="I39" s="188" t="s">
        <v>57</v>
      </c>
      <c r="J39" s="188"/>
      <c r="K39" s="188"/>
      <c r="L39" s="188"/>
      <c r="M39" s="90"/>
      <c r="N39" s="90"/>
      <c r="O39" s="90"/>
      <c r="P39" s="104" t="s">
        <v>303</v>
      </c>
      <c r="Q39" s="103" t="s">
        <v>251</v>
      </c>
    </row>
    <row r="40" spans="1:38" ht="23.5" customHeight="1" x14ac:dyDescent="0.45">
      <c r="A40" s="27" t="e" vm="26">
        <v>#VALUE!</v>
      </c>
      <c r="B40" s="27" t="s">
        <v>62</v>
      </c>
      <c r="C40" s="181" t="s">
        <v>63</v>
      </c>
      <c r="D40" s="181"/>
      <c r="E40" s="181"/>
      <c r="F40" s="181" t="s">
        <v>194</v>
      </c>
      <c r="G40" s="181"/>
      <c r="H40" s="181"/>
      <c r="I40" s="181" t="s">
        <v>64</v>
      </c>
      <c r="J40" s="181"/>
      <c r="K40" s="181"/>
      <c r="L40" s="181"/>
      <c r="M40" s="91"/>
      <c r="N40" s="91"/>
      <c r="O40" s="91"/>
      <c r="P40" s="167">
        <v>4</v>
      </c>
      <c r="Q40" s="52" t="s">
        <v>252</v>
      </c>
    </row>
    <row r="41" spans="1:38" ht="23.5" customHeight="1" x14ac:dyDescent="0.45">
      <c r="A41" s="27" t="e" vm="27">
        <v>#VALUE!</v>
      </c>
      <c r="B41" s="27" t="s">
        <v>58</v>
      </c>
      <c r="C41" s="181" t="s">
        <v>59</v>
      </c>
      <c r="D41" s="181"/>
      <c r="E41" s="181"/>
      <c r="F41" s="181" t="s">
        <v>60</v>
      </c>
      <c r="G41" s="181"/>
      <c r="H41" s="181"/>
      <c r="I41" s="181" t="s">
        <v>61</v>
      </c>
      <c r="J41" s="181"/>
      <c r="K41" s="181"/>
      <c r="L41" s="181"/>
      <c r="M41" s="91"/>
      <c r="N41" s="91"/>
      <c r="O41" s="91"/>
      <c r="P41" s="167">
        <v>3</v>
      </c>
      <c r="Q41" s="52" t="s">
        <v>252</v>
      </c>
    </row>
    <row r="42" spans="1:38" ht="23.5" customHeight="1" x14ac:dyDescent="0.45">
      <c r="A42" s="8" t="e" vm="28">
        <v>#VALUE!</v>
      </c>
      <c r="B42" s="8" t="s">
        <v>197</v>
      </c>
      <c r="C42" s="182" t="s">
        <v>201</v>
      </c>
      <c r="D42" s="182"/>
      <c r="E42" s="182"/>
      <c r="F42" s="182" t="s">
        <v>202</v>
      </c>
      <c r="G42" s="182"/>
      <c r="H42" s="182"/>
      <c r="I42" s="182" t="s">
        <v>199</v>
      </c>
      <c r="J42" s="182"/>
      <c r="K42" s="182"/>
      <c r="L42" s="182"/>
      <c r="M42" s="31"/>
      <c r="N42" s="31"/>
      <c r="O42" s="91"/>
      <c r="P42" s="167">
        <v>2</v>
      </c>
      <c r="Q42" s="52" t="s">
        <v>252</v>
      </c>
    </row>
    <row r="43" spans="1:38" ht="23.5" customHeight="1" thickBot="1" x14ac:dyDescent="0.5">
      <c r="A43" s="114" t="e" vm="29">
        <v>#VALUE!</v>
      </c>
      <c r="B43" s="114" t="s">
        <v>198</v>
      </c>
      <c r="C43" s="177" t="s">
        <v>260</v>
      </c>
      <c r="D43" s="177"/>
      <c r="E43" s="177"/>
      <c r="F43" s="177"/>
      <c r="G43" s="177"/>
      <c r="H43" s="177"/>
      <c r="I43" s="177" t="s">
        <v>200</v>
      </c>
      <c r="J43" s="177"/>
      <c r="K43" s="177"/>
      <c r="L43" s="177"/>
      <c r="M43" s="150"/>
      <c r="N43" s="150"/>
      <c r="O43" s="152"/>
      <c r="P43" s="168">
        <v>1</v>
      </c>
      <c r="Q43" s="153" t="s">
        <v>252</v>
      </c>
    </row>
    <row r="44" spans="1:38" ht="23.5" customHeight="1" x14ac:dyDescent="0.45"/>
    <row r="45" spans="1:38" ht="23.5" customHeight="1" x14ac:dyDescent="0.45">
      <c r="A45" s="24"/>
      <c r="B45" s="61" t="s">
        <v>185</v>
      </c>
      <c r="C45" s="104" t="s">
        <v>301</v>
      </c>
      <c r="D45" s="104"/>
      <c r="E45" s="104" t="s">
        <v>186</v>
      </c>
      <c r="F45" s="104"/>
      <c r="G45" s="188" t="s">
        <v>302</v>
      </c>
      <c r="H45" s="188"/>
      <c r="I45" s="93"/>
      <c r="J45" s="93"/>
      <c r="K45" s="103" t="s">
        <v>251</v>
      </c>
      <c r="N45" s="196" t="s">
        <v>77</v>
      </c>
      <c r="O45" s="196"/>
      <c r="P45" s="44"/>
    </row>
    <row r="46" spans="1:38" ht="23.5" customHeight="1" x14ac:dyDescent="0.45">
      <c r="A46" s="27" t="e" vm="30">
        <v>#VALUE!</v>
      </c>
      <c r="B46" s="27" t="s">
        <v>188</v>
      </c>
      <c r="C46" s="105">
        <v>2</v>
      </c>
      <c r="D46" s="105"/>
      <c r="E46" s="105" t="s">
        <v>190</v>
      </c>
      <c r="F46" s="105"/>
      <c r="G46" s="181">
        <v>1</v>
      </c>
      <c r="H46" s="181"/>
      <c r="I46" s="92"/>
      <c r="J46" s="92"/>
      <c r="K46" s="52" t="s">
        <v>252</v>
      </c>
      <c r="N46" s="196" t="s">
        <v>75</v>
      </c>
      <c r="O46" s="196"/>
      <c r="P46" s="44">
        <v>8</v>
      </c>
      <c r="Q46" s="44"/>
    </row>
    <row r="47" spans="1:38" ht="23.5" customHeight="1" x14ac:dyDescent="0.45">
      <c r="A47" s="27" t="e" vm="31">
        <v>#VALUE!</v>
      </c>
      <c r="B47" s="27" t="s">
        <v>187</v>
      </c>
      <c r="C47" s="105" t="s">
        <v>189</v>
      </c>
      <c r="D47" s="105"/>
      <c r="E47" s="105" t="s">
        <v>94</v>
      </c>
      <c r="F47" s="105"/>
      <c r="G47" s="181">
        <v>4</v>
      </c>
      <c r="H47" s="181"/>
      <c r="I47" s="92"/>
      <c r="J47" s="92"/>
      <c r="K47" s="52" t="s">
        <v>252</v>
      </c>
      <c r="N47" s="196" t="s">
        <v>67</v>
      </c>
      <c r="O47" s="196"/>
      <c r="P47" s="44">
        <v>128</v>
      </c>
      <c r="Q47" s="44"/>
    </row>
    <row r="48" spans="1:38" ht="23.5" customHeight="1" x14ac:dyDescent="0.45">
      <c r="A48" s="8" t="e" vm="32">
        <v>#VALUE!</v>
      </c>
      <c r="B48" s="8" t="s">
        <v>286</v>
      </c>
      <c r="C48" s="105">
        <v>6.4</v>
      </c>
      <c r="D48" s="183" t="s">
        <v>294</v>
      </c>
      <c r="E48" s="181"/>
      <c r="F48" s="181"/>
      <c r="G48" s="182">
        <v>1.5</v>
      </c>
      <c r="H48" s="182"/>
      <c r="I48" s="31"/>
      <c r="J48" s="31"/>
      <c r="K48" s="52" t="s">
        <v>252</v>
      </c>
      <c r="N48" s="196" t="s">
        <v>97</v>
      </c>
      <c r="O48" s="196"/>
      <c r="P48" s="44">
        <v>16</v>
      </c>
      <c r="Q48" s="44" t="s">
        <v>98</v>
      </c>
    </row>
    <row r="49" spans="1:36" ht="23.5" customHeight="1" thickBot="1" x14ac:dyDescent="0.5">
      <c r="A49" s="163" t="e" vm="33">
        <v>#VALUE!</v>
      </c>
      <c r="B49" s="163" t="s">
        <v>300</v>
      </c>
      <c r="C49" s="164">
        <v>3.2</v>
      </c>
      <c r="D49" s="189" t="s">
        <v>294</v>
      </c>
      <c r="E49" s="189"/>
      <c r="F49" s="189"/>
      <c r="G49" s="190">
        <v>1</v>
      </c>
      <c r="H49" s="190"/>
      <c r="I49" s="165"/>
      <c r="J49" s="165"/>
      <c r="K49" s="166" t="s">
        <v>252</v>
      </c>
      <c r="N49" s="44"/>
      <c r="O49" s="44"/>
      <c r="P49" s="44"/>
    </row>
    <row r="50" spans="1:36" ht="23.5" customHeight="1" x14ac:dyDescent="0.45"/>
    <row r="51" spans="1:36" ht="23.5" customHeight="1" x14ac:dyDescent="0.45">
      <c r="A51" s="24"/>
      <c r="B51" s="61" t="s">
        <v>256</v>
      </c>
      <c r="C51" s="188" t="s">
        <v>261</v>
      </c>
      <c r="D51" s="188"/>
      <c r="E51" s="188" t="s">
        <v>138</v>
      </c>
      <c r="F51" s="188"/>
      <c r="G51" s="188"/>
      <c r="H51" s="188"/>
      <c r="I51" s="188"/>
      <c r="J51" s="188"/>
      <c r="K51" s="103" t="s">
        <v>251</v>
      </c>
    </row>
    <row r="52" spans="1:36" ht="23.5" customHeight="1" x14ac:dyDescent="0.45">
      <c r="A52" s="27" t="e" vm="34">
        <v>#VALUE!</v>
      </c>
      <c r="B52" s="27" t="s">
        <v>257</v>
      </c>
      <c r="C52" s="185" t="s">
        <v>277</v>
      </c>
      <c r="D52" s="185"/>
      <c r="E52" s="176" t="s">
        <v>281</v>
      </c>
      <c r="F52" s="176"/>
      <c r="G52" s="176"/>
      <c r="H52" s="176"/>
      <c r="I52" s="176"/>
      <c r="J52" s="176"/>
      <c r="K52" s="52" t="s">
        <v>252</v>
      </c>
    </row>
    <row r="53" spans="1:36" ht="23.5" customHeight="1" x14ac:dyDescent="0.45">
      <c r="A53" s="27" t="e" vm="35">
        <v>#VALUE!</v>
      </c>
      <c r="B53" s="27" t="s">
        <v>258</v>
      </c>
      <c r="C53" s="185" t="s">
        <v>284</v>
      </c>
      <c r="D53" s="185"/>
      <c r="E53" s="176" t="s">
        <v>279</v>
      </c>
      <c r="F53" s="176"/>
      <c r="G53" s="176"/>
      <c r="H53" s="176"/>
      <c r="I53" s="176"/>
      <c r="J53" s="176"/>
      <c r="K53" s="52" t="s">
        <v>252</v>
      </c>
    </row>
    <row r="54" spans="1:36" ht="23.5" customHeight="1" thickBot="1" x14ac:dyDescent="0.5">
      <c r="A54" s="114" t="e" vm="36">
        <v>#VALUE!</v>
      </c>
      <c r="B54" s="114" t="s">
        <v>259</v>
      </c>
      <c r="C54" s="186" t="s">
        <v>278</v>
      </c>
      <c r="D54" s="186"/>
      <c r="E54" s="187" t="s">
        <v>280</v>
      </c>
      <c r="F54" s="187"/>
      <c r="G54" s="187"/>
      <c r="H54" s="187"/>
      <c r="I54" s="187"/>
      <c r="J54" s="187"/>
      <c r="K54" s="153" t="s">
        <v>252</v>
      </c>
    </row>
    <row r="55" spans="1:36" ht="23.5" customHeight="1" x14ac:dyDescent="0.45">
      <c r="A55" s="45" t="s">
        <v>184</v>
      </c>
    </row>
    <row r="56" spans="1:36" ht="23.5" customHeight="1" x14ac:dyDescent="0.45">
      <c r="C56" s="50" t="s">
        <v>160</v>
      </c>
      <c r="D56" s="25" t="s">
        <v>158</v>
      </c>
      <c r="H56" s="184" t="s">
        <v>68</v>
      </c>
      <c r="I56" s="184"/>
      <c r="J56" s="184"/>
      <c r="K56" s="184"/>
      <c r="L56" s="184"/>
      <c r="M56" s="184"/>
    </row>
    <row r="57" spans="1:36" ht="23.5" customHeight="1" x14ac:dyDescent="0.45">
      <c r="A57" s="74"/>
      <c r="B57" s="70" t="s">
        <v>167</v>
      </c>
      <c r="C57" s="71">
        <v>-1</v>
      </c>
      <c r="D57" s="71">
        <v>0</v>
      </c>
      <c r="E57" s="71">
        <v>1</v>
      </c>
      <c r="F57" s="71">
        <v>2</v>
      </c>
      <c r="G57" s="71">
        <v>3</v>
      </c>
      <c r="H57" s="72">
        <v>4</v>
      </c>
      <c r="I57" s="72">
        <v>5</v>
      </c>
      <c r="J57" s="72">
        <v>6</v>
      </c>
      <c r="K57" s="72">
        <v>7</v>
      </c>
      <c r="L57" s="72">
        <v>8</v>
      </c>
      <c r="M57" s="72">
        <v>9</v>
      </c>
    </row>
    <row r="58" spans="1:36" ht="23.5" customHeight="1" x14ac:dyDescent="0.45">
      <c r="A58" s="73" t="e" vm="37">
        <v>#VALUE!</v>
      </c>
      <c r="B58" s="46" t="s">
        <v>69</v>
      </c>
      <c r="C58" s="9">
        <f t="shared" ref="C58:M58" si="38">(2+C57)*tilesize</f>
        <v>128</v>
      </c>
      <c r="D58" s="9">
        <f t="shared" si="38"/>
        <v>256</v>
      </c>
      <c r="E58" s="9">
        <f t="shared" si="38"/>
        <v>384</v>
      </c>
      <c r="F58" s="9">
        <f t="shared" si="38"/>
        <v>512</v>
      </c>
      <c r="G58" s="9">
        <f t="shared" si="38"/>
        <v>640</v>
      </c>
      <c r="H58" s="9">
        <f t="shared" si="38"/>
        <v>768</v>
      </c>
      <c r="I58" s="9">
        <f t="shared" si="38"/>
        <v>896</v>
      </c>
      <c r="J58" s="9">
        <f t="shared" si="38"/>
        <v>1024</v>
      </c>
      <c r="K58" s="9">
        <f t="shared" si="38"/>
        <v>1152</v>
      </c>
      <c r="L58" s="9">
        <f t="shared" si="38"/>
        <v>1280</v>
      </c>
      <c r="M58" s="9">
        <f t="shared" si="38"/>
        <v>1408</v>
      </c>
    </row>
    <row r="59" spans="1:36" ht="23.5" customHeight="1" x14ac:dyDescent="0.45">
      <c r="A59" s="73"/>
      <c r="B59" s="46" t="s">
        <v>70</v>
      </c>
      <c r="C59" s="38">
        <f t="shared" ref="C59:M59" si="39">(2+C57+1)*tilesize+tilesize/2</f>
        <v>320</v>
      </c>
      <c r="D59" s="39">
        <f t="shared" si="39"/>
        <v>448</v>
      </c>
      <c r="E59" s="35">
        <f t="shared" si="39"/>
        <v>576</v>
      </c>
      <c r="F59" s="37">
        <f t="shared" si="39"/>
        <v>704</v>
      </c>
      <c r="G59" s="36">
        <f t="shared" si="39"/>
        <v>832</v>
      </c>
      <c r="H59" s="75">
        <f t="shared" si="39"/>
        <v>960</v>
      </c>
      <c r="I59" s="33">
        <f t="shared" si="39"/>
        <v>1088</v>
      </c>
      <c r="J59" s="34">
        <f t="shared" si="39"/>
        <v>1216</v>
      </c>
      <c r="K59" s="76">
        <f t="shared" si="39"/>
        <v>1344</v>
      </c>
      <c r="L59" s="32">
        <f t="shared" si="39"/>
        <v>1472</v>
      </c>
      <c r="M59" s="29">
        <f t="shared" si="39"/>
        <v>1600</v>
      </c>
    </row>
    <row r="60" spans="1:36" ht="23.5" customHeight="1" x14ac:dyDescent="0.45">
      <c r="C60" s="51" t="s">
        <v>161</v>
      </c>
      <c r="D60" s="47" t="s">
        <v>76</v>
      </c>
      <c r="E60" s="48"/>
      <c r="F60" s="49"/>
      <c r="G60" s="44"/>
      <c r="H60" s="106" t="s">
        <v>159</v>
      </c>
      <c r="I60" s="106"/>
      <c r="J60" s="106"/>
      <c r="K60" s="106"/>
      <c r="L60" s="106"/>
      <c r="M60" s="106"/>
      <c r="O60" t="s">
        <v>108</v>
      </c>
      <c r="P60" t="s">
        <v>111</v>
      </c>
      <c r="Q60" t="s">
        <v>109</v>
      </c>
      <c r="R60" t="s">
        <v>110</v>
      </c>
      <c r="S60" t="s">
        <v>113</v>
      </c>
      <c r="AG60" s="64"/>
      <c r="AH60" s="64"/>
      <c r="AI60" s="64"/>
      <c r="AJ60" s="64"/>
    </row>
    <row r="61" spans="1:36" ht="23.5" customHeight="1" x14ac:dyDescent="0.45">
      <c r="O61">
        <v>200</v>
      </c>
      <c r="P61">
        <v>30</v>
      </c>
      <c r="Q61">
        <v>12</v>
      </c>
      <c r="R61">
        <v>50</v>
      </c>
      <c r="S61">
        <v>10</v>
      </c>
      <c r="AG61" s="65"/>
      <c r="AH61" s="65"/>
      <c r="AI61" s="65"/>
      <c r="AJ61" s="65"/>
    </row>
    <row r="62" spans="1:36" ht="23.5" customHeight="1" x14ac:dyDescent="0.45">
      <c r="I62" t="s">
        <v>95</v>
      </c>
      <c r="J62" s="194" t="s">
        <v>99</v>
      </c>
      <c r="K62" s="194"/>
      <c r="L62" t="s">
        <v>100</v>
      </c>
      <c r="M62" s="78">
        <f>COUNTIF(H3:H35,"&gt;0")</f>
        <v>26</v>
      </c>
      <c r="O62" s="193" t="s">
        <v>105</v>
      </c>
      <c r="P62" s="193"/>
      <c r="Q62" s="193"/>
      <c r="R62" s="193"/>
      <c r="S62" s="193"/>
      <c r="AG62" s="65"/>
      <c r="AH62" s="65"/>
      <c r="AI62" s="65"/>
      <c r="AJ62" s="65"/>
    </row>
    <row r="63" spans="1:36" ht="23.5" customHeight="1" x14ac:dyDescent="0.45">
      <c r="A63" s="74"/>
      <c r="B63" s="68" t="s">
        <v>166</v>
      </c>
      <c r="C63" s="69" t="s">
        <v>88</v>
      </c>
      <c r="D63" s="69" t="s">
        <v>89</v>
      </c>
      <c r="E63" s="69" t="s">
        <v>90</v>
      </c>
      <c r="F63" s="169" t="s">
        <v>91</v>
      </c>
      <c r="G63" s="169"/>
      <c r="H63" s="69" t="s">
        <v>183</v>
      </c>
      <c r="I63" s="69" t="s">
        <v>16</v>
      </c>
      <c r="J63" s="169" t="s">
        <v>96</v>
      </c>
      <c r="K63" s="169"/>
      <c r="L63" s="69" t="s">
        <v>101</v>
      </c>
      <c r="M63" s="69" t="s">
        <v>102</v>
      </c>
      <c r="N63" s="69" t="s">
        <v>285</v>
      </c>
      <c r="O63" s="87" t="s">
        <v>107</v>
      </c>
      <c r="P63" s="69" t="s">
        <v>55</v>
      </c>
      <c r="Q63" s="69" t="s">
        <v>104</v>
      </c>
      <c r="R63" s="69" t="s">
        <v>106</v>
      </c>
      <c r="S63" s="88" t="s">
        <v>112</v>
      </c>
      <c r="T63" s="69"/>
      <c r="U63" s="169" t="s">
        <v>116</v>
      </c>
      <c r="V63" s="169"/>
      <c r="W63" s="69" t="s">
        <v>22</v>
      </c>
      <c r="X63" s="69" t="s">
        <v>118</v>
      </c>
      <c r="Y63" s="44"/>
      <c r="Z63" s="44"/>
      <c r="AG63" s="65"/>
      <c r="AH63" s="65"/>
      <c r="AI63" s="65"/>
      <c r="AJ63" s="65"/>
    </row>
    <row r="64" spans="1:36" ht="23.5" customHeight="1" x14ac:dyDescent="0.45">
      <c r="A64" s="27"/>
      <c r="B64" s="27" t="s">
        <v>84</v>
      </c>
      <c r="C64" s="79">
        <v>24</v>
      </c>
      <c r="D64" s="79">
        <v>30</v>
      </c>
      <c r="E64" s="79">
        <v>6</v>
      </c>
      <c r="F64" s="197" t="s">
        <v>94</v>
      </c>
      <c r="G64" s="197"/>
      <c r="H64" s="79">
        <v>1</v>
      </c>
      <c r="I64" s="79">
        <v>0</v>
      </c>
      <c r="J64" s="185">
        <f t="shared" ref="J64:J69" si="40">(C64-player_radius)*2</f>
        <v>16</v>
      </c>
      <c r="K64" s="185"/>
      <c r="L64" s="79">
        <f>COUNTIF(H3:H35,"&gt;16")</f>
        <v>15</v>
      </c>
      <c r="M64" s="79">
        <f>21-L64</f>
        <v>6</v>
      </c>
      <c r="N64" s="79">
        <v>0.12</v>
      </c>
      <c r="O64" s="81">
        <f t="shared" ref="O64:O70" si="41">ROUND(D64/health_cap,2)*10</f>
        <v>1.5</v>
      </c>
      <c r="P64" s="82">
        <f t="shared" ref="P64:P70" si="42">ROUND(M64/guns_cap,2)*10</f>
        <v>2</v>
      </c>
      <c r="Q64" s="83">
        <f t="shared" ref="Q64:Q70" si="43">ROUND(E64/speed_cap,2)*10</f>
        <v>5</v>
      </c>
      <c r="R64" s="84">
        <f t="shared" ref="R64:R70" si="44">ROUND(I64/DPS_cap,2)*10</f>
        <v>0</v>
      </c>
      <c r="S64" s="85">
        <f>SUM(O64:R64)</f>
        <v>8.5</v>
      </c>
      <c r="T64" s="79"/>
      <c r="U64" s="178">
        <f>R64+O64+P64</f>
        <v>3.5</v>
      </c>
      <c r="V64" s="178"/>
      <c r="W64" s="86" t="s">
        <v>29</v>
      </c>
      <c r="X64" s="45" t="s">
        <v>123</v>
      </c>
      <c r="Y64" s="44"/>
      <c r="Z64" s="44"/>
      <c r="AG64" s="65"/>
      <c r="AH64" s="65"/>
      <c r="AI64" s="65"/>
      <c r="AJ64" s="65"/>
    </row>
    <row r="65" spans="1:36" ht="23.5" customHeight="1" x14ac:dyDescent="0.45">
      <c r="A65" s="8"/>
      <c r="B65" s="8" t="s">
        <v>85</v>
      </c>
      <c r="C65" s="41">
        <v>32</v>
      </c>
      <c r="D65" s="41">
        <v>90</v>
      </c>
      <c r="E65" s="41">
        <v>4</v>
      </c>
      <c r="F65" s="173" t="s">
        <v>94</v>
      </c>
      <c r="G65" s="173"/>
      <c r="H65" s="41">
        <v>1</v>
      </c>
      <c r="I65" s="41">
        <v>0</v>
      </c>
      <c r="J65" s="185">
        <f t="shared" si="40"/>
        <v>32</v>
      </c>
      <c r="K65" s="185"/>
      <c r="L65" s="41">
        <f>COUNTIF(H3:H35,"&gt;32")</f>
        <v>4</v>
      </c>
      <c r="M65" s="41">
        <f t="shared" ref="M65:M68" si="45">21-L65</f>
        <v>17</v>
      </c>
      <c r="N65" s="41">
        <v>0.08</v>
      </c>
      <c r="O65" s="53">
        <f t="shared" si="41"/>
        <v>4.5</v>
      </c>
      <c r="P65" s="54">
        <f t="shared" si="42"/>
        <v>5.6999999999999993</v>
      </c>
      <c r="Q65" s="55">
        <f t="shared" si="43"/>
        <v>3.3000000000000003</v>
      </c>
      <c r="R65" s="56">
        <f t="shared" si="44"/>
        <v>0</v>
      </c>
      <c r="S65" s="57">
        <f t="shared" ref="S65:S69" si="46">SUM(O65:R65)</f>
        <v>13.5</v>
      </c>
      <c r="T65" s="41"/>
      <c r="U65" s="179">
        <f t="shared" ref="U65:U70" si="47">R65+O65+P65</f>
        <v>10.199999999999999</v>
      </c>
      <c r="V65" s="179"/>
      <c r="W65" s="18" t="s">
        <v>29</v>
      </c>
      <c r="X65" s="45" t="s">
        <v>122</v>
      </c>
      <c r="Y65" s="44"/>
      <c r="Z65" s="44"/>
      <c r="AG65" s="65"/>
      <c r="AH65" s="65"/>
      <c r="AI65" s="65"/>
      <c r="AJ65" s="65"/>
    </row>
    <row r="66" spans="1:36" ht="23.5" customHeight="1" x14ac:dyDescent="0.45">
      <c r="A66" s="8"/>
      <c r="B66" s="8" t="s">
        <v>86</v>
      </c>
      <c r="C66" s="41">
        <v>30</v>
      </c>
      <c r="D66" s="41">
        <v>60</v>
      </c>
      <c r="E66" s="41">
        <v>3</v>
      </c>
      <c r="F66" s="173" t="s">
        <v>40</v>
      </c>
      <c r="G66" s="173"/>
      <c r="H66" s="41">
        <v>1</v>
      </c>
      <c r="I66" s="41">
        <v>11.11</v>
      </c>
      <c r="J66" s="185">
        <f t="shared" si="40"/>
        <v>28</v>
      </c>
      <c r="K66" s="185"/>
      <c r="L66" s="41">
        <f>COUNTIF(H3:H35,"&gt;28")</f>
        <v>5</v>
      </c>
      <c r="M66" s="41">
        <f t="shared" si="45"/>
        <v>16</v>
      </c>
      <c r="N66" s="41">
        <v>0.1</v>
      </c>
      <c r="O66" s="53">
        <f t="shared" si="41"/>
        <v>3</v>
      </c>
      <c r="P66" s="54">
        <f t="shared" si="42"/>
        <v>5.3000000000000007</v>
      </c>
      <c r="Q66" s="55">
        <f t="shared" si="43"/>
        <v>2.5</v>
      </c>
      <c r="R66" s="56">
        <f t="shared" si="44"/>
        <v>2.2000000000000002</v>
      </c>
      <c r="S66" s="57">
        <f t="shared" si="46"/>
        <v>13</v>
      </c>
      <c r="T66" s="41"/>
      <c r="U66" s="179">
        <f t="shared" si="47"/>
        <v>10.5</v>
      </c>
      <c r="V66" s="179"/>
      <c r="W66" s="18" t="s">
        <v>29</v>
      </c>
      <c r="X66" s="45" t="s">
        <v>124</v>
      </c>
      <c r="Y66" s="44"/>
      <c r="Z66" s="44"/>
      <c r="AG66" s="65"/>
      <c r="AH66" s="65"/>
      <c r="AI66" s="65"/>
      <c r="AJ66" s="65"/>
    </row>
    <row r="67" spans="1:36" ht="23.5" customHeight="1" x14ac:dyDescent="0.45">
      <c r="A67" s="8"/>
      <c r="B67" s="8" t="s">
        <v>87</v>
      </c>
      <c r="C67" s="41">
        <v>45</v>
      </c>
      <c r="D67" s="41">
        <v>192</v>
      </c>
      <c r="E67" s="41">
        <v>1</v>
      </c>
      <c r="F67" s="173" t="s">
        <v>93</v>
      </c>
      <c r="G67" s="173"/>
      <c r="H67" s="41">
        <v>1</v>
      </c>
      <c r="I67" s="41">
        <v>5.63</v>
      </c>
      <c r="J67" s="185">
        <f t="shared" si="40"/>
        <v>58</v>
      </c>
      <c r="K67" s="185"/>
      <c r="L67" s="41">
        <f>COUNTIF(H3:H35,"&gt;48")</f>
        <v>0</v>
      </c>
      <c r="M67" s="41">
        <f t="shared" si="45"/>
        <v>21</v>
      </c>
      <c r="N67" s="41">
        <v>0.05</v>
      </c>
      <c r="O67" s="53">
        <f t="shared" si="41"/>
        <v>9.6</v>
      </c>
      <c r="P67" s="54">
        <f t="shared" si="42"/>
        <v>7</v>
      </c>
      <c r="Q67" s="55">
        <f t="shared" si="43"/>
        <v>0.8</v>
      </c>
      <c r="R67" s="56">
        <f t="shared" si="44"/>
        <v>1.1000000000000001</v>
      </c>
      <c r="S67" s="57">
        <f t="shared" si="46"/>
        <v>18.500000000000004</v>
      </c>
      <c r="T67" s="41"/>
      <c r="U67" s="179">
        <f t="shared" si="47"/>
        <v>17.7</v>
      </c>
      <c r="V67" s="179"/>
      <c r="W67" s="11" t="s">
        <v>28</v>
      </c>
      <c r="X67" s="45" t="s">
        <v>121</v>
      </c>
      <c r="Y67" s="44"/>
      <c r="Z67" s="44"/>
    </row>
    <row r="68" spans="1:36" ht="23.5" customHeight="1" x14ac:dyDescent="0.45">
      <c r="A68" s="8"/>
      <c r="B68" s="8" t="s">
        <v>92</v>
      </c>
      <c r="C68" s="41">
        <v>52</v>
      </c>
      <c r="D68" s="41">
        <v>148</v>
      </c>
      <c r="E68" s="41">
        <v>0</v>
      </c>
      <c r="F68" s="173" t="s">
        <v>36</v>
      </c>
      <c r="G68" s="173"/>
      <c r="H68" s="41">
        <v>1</v>
      </c>
      <c r="I68" s="41">
        <v>13.33</v>
      </c>
      <c r="J68" s="185">
        <f t="shared" si="40"/>
        <v>72</v>
      </c>
      <c r="K68" s="185"/>
      <c r="L68" s="41">
        <f>COUNTIF(H3:H35,"&gt;72")</f>
        <v>0</v>
      </c>
      <c r="M68" s="41">
        <f t="shared" si="45"/>
        <v>21</v>
      </c>
      <c r="N68" s="41">
        <v>0</v>
      </c>
      <c r="O68" s="53">
        <f t="shared" si="41"/>
        <v>7.4</v>
      </c>
      <c r="P68" s="54">
        <f t="shared" si="42"/>
        <v>7</v>
      </c>
      <c r="Q68" s="55">
        <f t="shared" si="43"/>
        <v>0</v>
      </c>
      <c r="R68" s="56">
        <f t="shared" si="44"/>
        <v>2.7</v>
      </c>
      <c r="S68" s="57">
        <f t="shared" si="46"/>
        <v>17.100000000000001</v>
      </c>
      <c r="T68" s="41"/>
      <c r="U68" s="179">
        <f t="shared" si="47"/>
        <v>17.100000000000001</v>
      </c>
      <c r="V68" s="179"/>
      <c r="W68" s="18" t="s">
        <v>29</v>
      </c>
      <c r="X68" s="45" t="s">
        <v>119</v>
      </c>
      <c r="Y68" s="44"/>
      <c r="Z68" s="44"/>
    </row>
    <row r="69" spans="1:36" ht="23.5" customHeight="1" x14ac:dyDescent="0.45">
      <c r="A69" s="8"/>
      <c r="B69" s="8" t="s">
        <v>103</v>
      </c>
      <c r="C69" s="41">
        <v>26</v>
      </c>
      <c r="D69" s="41">
        <v>40</v>
      </c>
      <c r="E69" s="41">
        <v>12</v>
      </c>
      <c r="F69" s="173" t="s">
        <v>39</v>
      </c>
      <c r="G69" s="173"/>
      <c r="H69" s="41">
        <v>1</v>
      </c>
      <c r="I69" s="41">
        <v>9.09</v>
      </c>
      <c r="J69" s="185">
        <f t="shared" si="40"/>
        <v>20</v>
      </c>
      <c r="K69" s="185"/>
      <c r="L69" s="41">
        <f>COUNTIF(H3:H35,"&gt;20")</f>
        <v>10</v>
      </c>
      <c r="M69" s="41">
        <f>21-L69</f>
        <v>11</v>
      </c>
      <c r="N69" s="41">
        <v>0.18</v>
      </c>
      <c r="O69" s="53">
        <f t="shared" si="41"/>
        <v>2</v>
      </c>
      <c r="P69" s="54">
        <f t="shared" si="42"/>
        <v>3.7</v>
      </c>
      <c r="Q69" s="55">
        <f>ROUND(E69/speed_cap,2)*10</f>
        <v>10</v>
      </c>
      <c r="R69" s="56">
        <f t="shared" si="44"/>
        <v>1.7999999999999998</v>
      </c>
      <c r="S69" s="57">
        <f t="shared" si="46"/>
        <v>17.5</v>
      </c>
      <c r="T69" s="41"/>
      <c r="U69" s="179">
        <f t="shared" si="47"/>
        <v>7.5</v>
      </c>
      <c r="V69" s="179"/>
      <c r="W69" s="11" t="s">
        <v>28</v>
      </c>
      <c r="X69" s="45" t="s">
        <v>120</v>
      </c>
      <c r="Y69" s="44"/>
      <c r="Z69" s="44"/>
    </row>
    <row r="70" spans="1:36" ht="23.5" customHeight="1" thickBot="1" x14ac:dyDescent="0.5">
      <c r="A70" s="114"/>
      <c r="B70" s="114" t="s">
        <v>114</v>
      </c>
      <c r="C70" s="154">
        <v>28</v>
      </c>
      <c r="D70" s="154">
        <v>50</v>
      </c>
      <c r="E70" s="154">
        <v>10</v>
      </c>
      <c r="F70" s="198" t="s">
        <v>115</v>
      </c>
      <c r="G70" s="198"/>
      <c r="H70" s="154">
        <v>1</v>
      </c>
      <c r="I70" s="154">
        <v>48</v>
      </c>
      <c r="J70" s="186">
        <f t="shared" ref="J70" si="48">(C70-player_radius)*2</f>
        <v>24</v>
      </c>
      <c r="K70" s="186"/>
      <c r="L70" s="154">
        <f>COUNTIF(H3:H35,"&gt;24")</f>
        <v>7</v>
      </c>
      <c r="M70" s="154">
        <f>21-L70</f>
        <v>14</v>
      </c>
      <c r="N70" s="154">
        <v>0.14000000000000001</v>
      </c>
      <c r="O70" s="155">
        <f t="shared" si="41"/>
        <v>2.5</v>
      </c>
      <c r="P70" s="156">
        <f t="shared" si="42"/>
        <v>4.6999999999999993</v>
      </c>
      <c r="Q70" s="157">
        <f t="shared" si="43"/>
        <v>8.2999999999999989</v>
      </c>
      <c r="R70" s="158">
        <f t="shared" si="44"/>
        <v>9.6</v>
      </c>
      <c r="S70" s="159">
        <f t="shared" ref="S70" si="49">SUM(O70:R70)</f>
        <v>25.099999999999998</v>
      </c>
      <c r="T70" s="154"/>
      <c r="U70" s="180">
        <f t="shared" si="47"/>
        <v>16.799999999999997</v>
      </c>
      <c r="V70" s="180"/>
      <c r="W70" s="160" t="s">
        <v>74</v>
      </c>
      <c r="X70" s="161" t="s">
        <v>117</v>
      </c>
      <c r="Y70" s="44"/>
      <c r="Z70" s="44"/>
    </row>
    <row r="71" spans="1:36" ht="23.5" customHeight="1" x14ac:dyDescent="0.45"/>
    <row r="72" spans="1:36" ht="23.5" customHeight="1" x14ac:dyDescent="0.45"/>
    <row r="73" spans="1:36" ht="23.5" customHeight="1" x14ac:dyDescent="0.45">
      <c r="B73" s="99" t="s">
        <v>233</v>
      </c>
      <c r="O73" s="195" t="s">
        <v>162</v>
      </c>
      <c r="P73" s="195"/>
      <c r="Q73" s="195"/>
      <c r="R73" s="195"/>
    </row>
    <row r="74" spans="1:36" ht="23.5" customHeight="1" x14ac:dyDescent="0.45">
      <c r="A74" s="24"/>
      <c r="B74" s="61" t="s">
        <v>127</v>
      </c>
      <c r="C74" s="89" t="s">
        <v>89</v>
      </c>
      <c r="D74" s="89" t="s">
        <v>88</v>
      </c>
      <c r="E74" s="89" t="s">
        <v>133</v>
      </c>
      <c r="F74" s="174" t="s">
        <v>134</v>
      </c>
      <c r="G74" s="174"/>
      <c r="H74" s="174" t="s">
        <v>135</v>
      </c>
      <c r="I74" s="174"/>
      <c r="J74" s="174" t="s">
        <v>132</v>
      </c>
      <c r="K74" s="174"/>
      <c r="L74" s="174"/>
      <c r="M74" s="174"/>
      <c r="N74" s="89" t="s">
        <v>163</v>
      </c>
      <c r="O74" s="174" t="s">
        <v>164</v>
      </c>
      <c r="P74" s="174"/>
      <c r="Q74" s="174" t="s">
        <v>165</v>
      </c>
      <c r="R74" s="174"/>
      <c r="S74" s="103" t="s">
        <v>251</v>
      </c>
    </row>
    <row r="75" spans="1:36" ht="23.5" customHeight="1" x14ac:dyDescent="0.45">
      <c r="A75" s="27" t="e" vm="38">
        <v>#VALUE!</v>
      </c>
      <c r="B75" s="27" t="s">
        <v>128</v>
      </c>
      <c r="C75" s="52">
        <v>2</v>
      </c>
      <c r="D75" s="41">
        <v>24</v>
      </c>
      <c r="E75" s="41">
        <v>18</v>
      </c>
      <c r="F75" s="185" t="s">
        <v>66</v>
      </c>
      <c r="G75" s="185"/>
      <c r="H75" s="185">
        <f>E75*frag_damage</f>
        <v>36</v>
      </c>
      <c r="I75" s="185"/>
      <c r="J75" s="185" t="s">
        <v>131</v>
      </c>
      <c r="K75" s="185"/>
      <c r="L75" s="185"/>
      <c r="M75" s="185"/>
      <c r="N75" s="62" t="e" vm="39">
        <v>#VALUE!</v>
      </c>
      <c r="O75" s="57" t="e" vm="40">
        <v>#VALUE!</v>
      </c>
      <c r="P75" s="57" t="e" vm="41">
        <v>#VALUE!</v>
      </c>
      <c r="Q75" s="63" t="e" vm="42">
        <v>#VALUE!</v>
      </c>
      <c r="R75" s="77" t="e" vm="43">
        <v>#VALUE!</v>
      </c>
      <c r="S75" s="52" t="s">
        <v>252</v>
      </c>
    </row>
    <row r="76" spans="1:36" ht="23.5" customHeight="1" x14ac:dyDescent="0.45">
      <c r="A76" s="27" t="e" vm="44">
        <v>#VALUE!</v>
      </c>
      <c r="B76" s="27" t="s">
        <v>129</v>
      </c>
      <c r="C76" s="52">
        <v>30</v>
      </c>
      <c r="D76" s="41">
        <v>32</v>
      </c>
      <c r="E76" s="41">
        <v>12</v>
      </c>
      <c r="F76" s="185" t="s">
        <v>125</v>
      </c>
      <c r="G76" s="185"/>
      <c r="H76" s="185">
        <f>E76*shockWave_damage</f>
        <v>180</v>
      </c>
      <c r="I76" s="185"/>
      <c r="J76" s="185" t="s">
        <v>130</v>
      </c>
      <c r="K76" s="185"/>
      <c r="L76" s="185"/>
      <c r="M76" s="185"/>
      <c r="N76" s="62" t="e" vm="45">
        <v>#VALUE!</v>
      </c>
      <c r="O76" s="57" t="e" vm="46">
        <v>#VALUE!</v>
      </c>
      <c r="P76" s="57" t="e" vm="47">
        <v>#VALUE!</v>
      </c>
      <c r="Q76" s="63" t="e" vm="48">
        <v>#VALUE!</v>
      </c>
      <c r="R76" s="77" t="e" vm="49">
        <v>#VALUE!</v>
      </c>
      <c r="S76" s="52" t="s">
        <v>252</v>
      </c>
    </row>
    <row r="77" spans="1:36" ht="23.5" customHeight="1" thickBot="1" x14ac:dyDescent="0.5">
      <c r="A77" s="114"/>
      <c r="B77" s="114"/>
      <c r="C77" s="150"/>
      <c r="D77" s="150"/>
      <c r="E77" s="150"/>
      <c r="F77" s="177"/>
      <c r="G77" s="177"/>
      <c r="H77" s="177"/>
      <c r="I77" s="177"/>
      <c r="J77" s="177"/>
      <c r="K77" s="177"/>
      <c r="L77" s="177"/>
      <c r="M77" s="177"/>
      <c r="N77" s="162"/>
      <c r="O77" s="172"/>
      <c r="P77" s="172"/>
      <c r="Q77" s="172"/>
      <c r="R77" s="172"/>
      <c r="S77" s="153"/>
    </row>
    <row r="78" spans="1:36" ht="23.5" customHeight="1" x14ac:dyDescent="0.45">
      <c r="A78" s="94" t="s">
        <v>193</v>
      </c>
      <c r="B78" s="94" t="s">
        <v>192</v>
      </c>
    </row>
    <row r="79" spans="1:36" ht="23.5" customHeight="1" x14ac:dyDescent="0.45"/>
    <row r="80" spans="1:36" ht="23.5" customHeight="1" x14ac:dyDescent="0.45"/>
    <row r="81" spans="1:29" ht="23.5" customHeight="1" x14ac:dyDescent="0.45">
      <c r="A81" s="24" t="e" vm="50">
        <v>#VALUE!</v>
      </c>
      <c r="B81" s="61" t="s">
        <v>136</v>
      </c>
      <c r="C81" s="89" t="s">
        <v>137</v>
      </c>
      <c r="D81" s="89" t="s">
        <v>90</v>
      </c>
      <c r="E81" s="89" t="s">
        <v>143</v>
      </c>
      <c r="F81" s="174" t="s">
        <v>138</v>
      </c>
      <c r="G81" s="174"/>
      <c r="H81" s="174"/>
      <c r="I81" s="174"/>
      <c r="J81" s="174"/>
      <c r="K81" s="174"/>
      <c r="L81" s="174"/>
      <c r="M81" s="174"/>
      <c r="N81" s="174"/>
      <c r="O81" s="174"/>
      <c r="P81" s="174"/>
      <c r="Q81" s="174" t="s">
        <v>150</v>
      </c>
      <c r="R81" s="174"/>
      <c r="S81" s="174"/>
      <c r="T81" s="174"/>
      <c r="U81" s="174"/>
      <c r="V81" s="174"/>
      <c r="W81" s="174"/>
      <c r="X81" s="174"/>
      <c r="Y81" s="174"/>
      <c r="Z81" s="174"/>
      <c r="AA81" s="174"/>
      <c r="AB81" s="103" t="s">
        <v>251</v>
      </c>
    </row>
    <row r="82" spans="1:29" ht="23.5" customHeight="1" x14ac:dyDescent="0.45">
      <c r="A82" s="27"/>
      <c r="B82" s="27" t="s">
        <v>144</v>
      </c>
      <c r="C82" s="80" t="s">
        <v>139</v>
      </c>
      <c r="D82" s="25">
        <v>8</v>
      </c>
      <c r="E82" s="79">
        <v>16</v>
      </c>
      <c r="F82" s="175" t="s">
        <v>148</v>
      </c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 t="s">
        <v>151</v>
      </c>
      <c r="R82" s="175"/>
      <c r="S82" s="175"/>
      <c r="T82" s="175"/>
      <c r="U82" s="175"/>
      <c r="V82" s="175"/>
      <c r="W82" s="175"/>
      <c r="X82" s="175"/>
      <c r="Y82" s="175"/>
      <c r="Z82" s="175"/>
      <c r="AA82" s="175"/>
      <c r="AB82" s="52" t="s">
        <v>252</v>
      </c>
    </row>
    <row r="83" spans="1:29" ht="23.5" customHeight="1" x14ac:dyDescent="0.45">
      <c r="A83" s="27"/>
      <c r="B83" s="27" t="s">
        <v>145</v>
      </c>
      <c r="C83" s="52" t="s">
        <v>140</v>
      </c>
      <c r="D83" s="41" t="s">
        <v>304</v>
      </c>
      <c r="E83" s="41">
        <v>1</v>
      </c>
      <c r="F83" s="176" t="s">
        <v>219</v>
      </c>
      <c r="G83" s="176"/>
      <c r="H83" s="176"/>
      <c r="I83" s="176"/>
      <c r="J83" s="176"/>
      <c r="K83" s="176"/>
      <c r="L83" s="176"/>
      <c r="M83" s="176"/>
      <c r="N83" s="176"/>
      <c r="O83" s="176"/>
      <c r="P83" s="176"/>
      <c r="Q83" s="176"/>
      <c r="R83" s="176"/>
      <c r="S83" s="176"/>
      <c r="T83" s="176"/>
      <c r="U83" s="176"/>
      <c r="V83" s="176"/>
      <c r="W83" s="176"/>
      <c r="X83" s="176"/>
      <c r="Y83" s="176"/>
      <c r="Z83" s="176"/>
      <c r="AA83" s="176"/>
      <c r="AB83" s="52" t="s">
        <v>252</v>
      </c>
    </row>
    <row r="84" spans="1:29" ht="23.5" customHeight="1" x14ac:dyDescent="0.45">
      <c r="A84" s="27"/>
      <c r="B84" s="27" t="s">
        <v>146</v>
      </c>
      <c r="C84" s="52" t="s">
        <v>141</v>
      </c>
      <c r="D84" s="41" t="s">
        <v>305</v>
      </c>
      <c r="E84" s="41">
        <v>1</v>
      </c>
      <c r="F84" s="176" t="s">
        <v>220</v>
      </c>
      <c r="G84" s="176"/>
      <c r="H84" s="176"/>
      <c r="I84" s="176"/>
      <c r="J84" s="176"/>
      <c r="K84" s="176"/>
      <c r="L84" s="176"/>
      <c r="M84" s="176"/>
      <c r="N84" s="176"/>
      <c r="O84" s="176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76"/>
      <c r="AA84" s="176"/>
      <c r="AB84" s="52" t="s">
        <v>252</v>
      </c>
    </row>
    <row r="85" spans="1:29" ht="23.5" customHeight="1" x14ac:dyDescent="0.45">
      <c r="A85" s="27"/>
      <c r="B85" s="27" t="s">
        <v>147</v>
      </c>
      <c r="C85" s="52" t="s">
        <v>142</v>
      </c>
      <c r="D85" s="41">
        <v>7</v>
      </c>
      <c r="E85" s="41">
        <v>1</v>
      </c>
      <c r="F85" s="176" t="s">
        <v>149</v>
      </c>
      <c r="G85" s="176"/>
      <c r="H85" s="176"/>
      <c r="I85" s="176"/>
      <c r="J85" s="176"/>
      <c r="K85" s="176"/>
      <c r="L85" s="176"/>
      <c r="M85" s="176"/>
      <c r="N85" s="176"/>
      <c r="O85" s="176"/>
      <c r="P85" s="176"/>
      <c r="Q85" s="176" t="s">
        <v>152</v>
      </c>
      <c r="R85" s="176"/>
      <c r="S85" s="176"/>
      <c r="T85" s="176"/>
      <c r="U85" s="176"/>
      <c r="V85" s="176"/>
      <c r="W85" s="176"/>
      <c r="X85" s="176"/>
      <c r="Y85" s="176"/>
      <c r="Z85" s="176"/>
      <c r="AA85" s="176"/>
      <c r="AB85" s="52" t="s">
        <v>252</v>
      </c>
    </row>
    <row r="86" spans="1:29" ht="23.5" customHeight="1" x14ac:dyDescent="0.45">
      <c r="A86" s="27"/>
      <c r="B86" s="27" t="s">
        <v>195</v>
      </c>
      <c r="C86" s="52" t="s">
        <v>250</v>
      </c>
      <c r="D86" s="41">
        <v>6</v>
      </c>
      <c r="E86" s="41">
        <v>1</v>
      </c>
      <c r="F86" s="176" t="s">
        <v>290</v>
      </c>
      <c r="G86" s="176"/>
      <c r="H86" s="176"/>
      <c r="I86" s="176"/>
      <c r="J86" s="176"/>
      <c r="K86" s="176"/>
      <c r="L86" s="176"/>
      <c r="M86" s="176"/>
      <c r="N86" s="176"/>
      <c r="O86" s="176"/>
      <c r="P86" s="176"/>
      <c r="Q86" s="176" t="s">
        <v>289</v>
      </c>
      <c r="R86" s="176"/>
      <c r="S86" s="176"/>
      <c r="T86" s="176"/>
      <c r="U86" s="176"/>
      <c r="V86" s="176"/>
      <c r="W86" s="176"/>
      <c r="X86" s="176"/>
      <c r="Y86" s="176"/>
      <c r="Z86" s="176"/>
      <c r="AA86" s="176"/>
      <c r="AB86" s="52" t="s">
        <v>252</v>
      </c>
      <c r="AC86" t="s">
        <v>288</v>
      </c>
    </row>
    <row r="87" spans="1:29" ht="24.5" customHeight="1" thickBot="1" x14ac:dyDescent="0.5">
      <c r="A87" s="114"/>
      <c r="B87" s="114" t="s">
        <v>267</v>
      </c>
      <c r="C87" s="153" t="s">
        <v>254</v>
      </c>
      <c r="D87" s="154">
        <v>0</v>
      </c>
      <c r="E87" s="154">
        <v>1</v>
      </c>
      <c r="F87" s="187" t="s">
        <v>269</v>
      </c>
      <c r="G87" s="187"/>
      <c r="H87" s="187"/>
      <c r="I87" s="187"/>
      <c r="J87" s="187"/>
      <c r="K87" s="187"/>
      <c r="L87" s="187"/>
      <c r="M87" s="187"/>
      <c r="N87" s="187"/>
      <c r="O87" s="187"/>
      <c r="P87" s="187"/>
      <c r="Q87" s="187" t="s">
        <v>268</v>
      </c>
      <c r="R87" s="187"/>
      <c r="S87" s="187"/>
      <c r="T87" s="187"/>
      <c r="U87" s="187"/>
      <c r="V87" s="187"/>
      <c r="W87" s="187"/>
      <c r="X87" s="187"/>
      <c r="Y87" s="187"/>
      <c r="Z87" s="187"/>
      <c r="AA87" s="187"/>
      <c r="AB87" s="153" t="s">
        <v>253</v>
      </c>
    </row>
    <row r="88" spans="1:29" ht="24" customHeight="1" x14ac:dyDescent="0.45">
      <c r="B88" s="45" t="s">
        <v>270</v>
      </c>
    </row>
    <row r="89" spans="1:29" ht="24.5" customHeight="1" x14ac:dyDescent="0.45"/>
    <row r="90" spans="1:29" ht="24.5" customHeight="1" x14ac:dyDescent="0.45">
      <c r="A90" s="24"/>
      <c r="B90" s="61" t="s">
        <v>169</v>
      </c>
      <c r="C90" s="170" t="s">
        <v>174</v>
      </c>
      <c r="D90" s="170"/>
      <c r="E90" s="170"/>
      <c r="F90" s="170"/>
      <c r="G90" s="170"/>
      <c r="H90" s="170" t="s">
        <v>138</v>
      </c>
      <c r="I90" s="170"/>
      <c r="J90" s="170"/>
      <c r="K90" s="170"/>
      <c r="L90" s="170"/>
      <c r="M90" s="174" t="s">
        <v>181</v>
      </c>
      <c r="N90" s="174"/>
      <c r="O90" s="89"/>
      <c r="T90" s="45" t="s">
        <v>191</v>
      </c>
    </row>
    <row r="91" spans="1:29" ht="24.5" customHeight="1" x14ac:dyDescent="0.45">
      <c r="A91" s="27" t="e" vm="51">
        <v>#VALUE!</v>
      </c>
      <c r="B91" s="27" t="s">
        <v>172</v>
      </c>
      <c r="C91" s="171" t="s">
        <v>176</v>
      </c>
      <c r="D91" s="171"/>
      <c r="E91" s="171"/>
      <c r="F91" s="171"/>
      <c r="G91" s="171"/>
      <c r="H91" s="171" t="s">
        <v>178</v>
      </c>
      <c r="I91" s="171"/>
      <c r="J91" s="171"/>
      <c r="K91" s="171"/>
      <c r="L91" s="171"/>
      <c r="M91" s="173" t="s">
        <v>182</v>
      </c>
      <c r="N91" s="173"/>
      <c r="O91" s="52"/>
    </row>
    <row r="92" spans="1:29" ht="24.5" customHeight="1" x14ac:dyDescent="0.45">
      <c r="A92" s="27" t="e" vm="52">
        <v>#VALUE!</v>
      </c>
      <c r="B92" s="27" t="s">
        <v>173</v>
      </c>
      <c r="C92" s="171" t="s">
        <v>179</v>
      </c>
      <c r="D92" s="171"/>
      <c r="E92" s="171"/>
      <c r="F92" s="171"/>
      <c r="G92" s="171"/>
      <c r="H92" s="171" t="s">
        <v>180</v>
      </c>
      <c r="I92" s="171"/>
      <c r="J92" s="171"/>
      <c r="K92" s="171"/>
      <c r="L92" s="171"/>
      <c r="M92" s="173" t="s">
        <v>182</v>
      </c>
      <c r="N92" s="173"/>
      <c r="O92" s="52"/>
    </row>
    <row r="93" spans="1:29" ht="24.5" customHeight="1" x14ac:dyDescent="0.45">
      <c r="A93" s="27" t="e" vm="53">
        <v>#VALUE!</v>
      </c>
      <c r="B93" s="27" t="s">
        <v>175</v>
      </c>
      <c r="C93" s="171" t="s">
        <v>210</v>
      </c>
      <c r="D93" s="171"/>
      <c r="E93" s="171"/>
      <c r="F93" s="171"/>
      <c r="G93" s="171"/>
      <c r="H93" s="171" t="s">
        <v>177</v>
      </c>
      <c r="I93" s="171"/>
      <c r="J93" s="171"/>
      <c r="K93" s="171"/>
      <c r="L93" s="171"/>
      <c r="M93" s="173" t="s">
        <v>182</v>
      </c>
      <c r="N93" s="173"/>
      <c r="O93" s="52"/>
    </row>
    <row r="94" spans="1:29" ht="24.5" customHeight="1" x14ac:dyDescent="0.45">
      <c r="A94" s="27" t="e" vm="54">
        <v>#VALUE!</v>
      </c>
      <c r="B94" s="27" t="s">
        <v>203</v>
      </c>
      <c r="C94" s="171" t="s">
        <v>210</v>
      </c>
      <c r="D94" s="171"/>
      <c r="E94" s="171"/>
      <c r="F94" s="171"/>
      <c r="G94" s="171"/>
      <c r="H94" s="171" t="s">
        <v>211</v>
      </c>
      <c r="I94" s="171"/>
      <c r="J94" s="171"/>
      <c r="K94" s="171"/>
      <c r="L94" s="171"/>
      <c r="M94" s="173" t="s">
        <v>182</v>
      </c>
      <c r="N94" s="173"/>
      <c r="O94" s="52"/>
    </row>
    <row r="95" spans="1:29" ht="24.5" customHeight="1" x14ac:dyDescent="0.45">
      <c r="A95" s="27" t="e" vm="55">
        <v>#VALUE!</v>
      </c>
      <c r="B95" s="27" t="s">
        <v>204</v>
      </c>
      <c r="C95" s="171" t="s">
        <v>210</v>
      </c>
      <c r="D95" s="171"/>
      <c r="E95" s="171"/>
      <c r="F95" s="171"/>
      <c r="G95" s="171"/>
      <c r="H95" s="171" t="s">
        <v>212</v>
      </c>
      <c r="I95" s="171"/>
      <c r="J95" s="171"/>
      <c r="K95" s="171"/>
      <c r="L95" s="171"/>
      <c r="M95" s="173" t="s">
        <v>182</v>
      </c>
      <c r="N95" s="173"/>
      <c r="O95" s="52"/>
    </row>
    <row r="96" spans="1:29" ht="24.5" customHeight="1" x14ac:dyDescent="0.45">
      <c r="A96" s="27" t="e" vm="56">
        <v>#VALUE!</v>
      </c>
      <c r="B96" s="27" t="s">
        <v>205</v>
      </c>
      <c r="C96" s="171" t="s">
        <v>210</v>
      </c>
      <c r="D96" s="171"/>
      <c r="E96" s="171"/>
      <c r="F96" s="171"/>
      <c r="G96" s="171"/>
      <c r="H96" s="171" t="s">
        <v>213</v>
      </c>
      <c r="I96" s="171"/>
      <c r="J96" s="171"/>
      <c r="K96" s="171"/>
      <c r="L96" s="171"/>
      <c r="M96" s="173" t="s">
        <v>182</v>
      </c>
      <c r="N96" s="173"/>
      <c r="O96" s="52"/>
    </row>
    <row r="97" spans="1:15" ht="24.5" customHeight="1" x14ac:dyDescent="0.45">
      <c r="A97" s="27" t="e" vm="57">
        <v>#VALUE!</v>
      </c>
      <c r="B97" s="27" t="s">
        <v>206</v>
      </c>
      <c r="C97" s="171" t="s">
        <v>210</v>
      </c>
      <c r="D97" s="171"/>
      <c r="E97" s="171"/>
      <c r="F97" s="171"/>
      <c r="G97" s="171"/>
      <c r="H97" s="171" t="s">
        <v>214</v>
      </c>
      <c r="I97" s="171"/>
      <c r="J97" s="171"/>
      <c r="K97" s="171"/>
      <c r="L97" s="171"/>
      <c r="M97" s="173" t="s">
        <v>182</v>
      </c>
      <c r="N97" s="173"/>
      <c r="O97" s="52"/>
    </row>
    <row r="98" spans="1:15" ht="24.5" customHeight="1" x14ac:dyDescent="0.45">
      <c r="A98" s="27" t="e" vm="58">
        <v>#VALUE!</v>
      </c>
      <c r="B98" s="27" t="s">
        <v>207</v>
      </c>
      <c r="C98" s="171" t="s">
        <v>210</v>
      </c>
      <c r="D98" s="171"/>
      <c r="E98" s="171"/>
      <c r="F98" s="171"/>
      <c r="G98" s="171"/>
      <c r="H98" s="171" t="s">
        <v>215</v>
      </c>
      <c r="I98" s="171"/>
      <c r="J98" s="171"/>
      <c r="K98" s="171"/>
      <c r="L98" s="171"/>
      <c r="M98" s="173" t="s">
        <v>182</v>
      </c>
      <c r="N98" s="173"/>
      <c r="O98" s="52"/>
    </row>
    <row r="99" spans="1:15" ht="23" customHeight="1" x14ac:dyDescent="0.45">
      <c r="A99" s="27" t="e" vm="59">
        <v>#VALUE!</v>
      </c>
      <c r="B99" s="27" t="s">
        <v>208</v>
      </c>
      <c r="C99" s="171" t="s">
        <v>210</v>
      </c>
      <c r="D99" s="171"/>
      <c r="E99" s="171"/>
      <c r="F99" s="171"/>
      <c r="G99" s="171"/>
      <c r="H99" s="171" t="s">
        <v>216</v>
      </c>
      <c r="I99" s="171"/>
      <c r="J99" s="171"/>
      <c r="K99" s="171"/>
      <c r="L99" s="171"/>
      <c r="M99" s="173" t="s">
        <v>182</v>
      </c>
      <c r="N99" s="173"/>
      <c r="O99" s="52"/>
    </row>
    <row r="100" spans="1:15" ht="23" customHeight="1" x14ac:dyDescent="0.45">
      <c r="A100" s="27" t="e" vm="60">
        <v>#VALUE!</v>
      </c>
      <c r="B100" s="27" t="s">
        <v>209</v>
      </c>
      <c r="C100" s="171" t="s">
        <v>210</v>
      </c>
      <c r="D100" s="171"/>
      <c r="E100" s="171"/>
      <c r="F100" s="171"/>
      <c r="G100" s="171"/>
      <c r="H100" s="171" t="s">
        <v>217</v>
      </c>
      <c r="I100" s="171"/>
      <c r="J100" s="171"/>
      <c r="K100" s="171"/>
      <c r="L100" s="171"/>
      <c r="M100" s="173" t="s">
        <v>182</v>
      </c>
      <c r="N100" s="173"/>
      <c r="O100" s="52"/>
    </row>
    <row r="101" spans="1:15" ht="23" customHeight="1" x14ac:dyDescent="0.45">
      <c r="A101" s="27"/>
      <c r="B101" s="27"/>
      <c r="C101" s="171"/>
      <c r="D101" s="171"/>
      <c r="E101" s="171"/>
      <c r="F101" s="171"/>
      <c r="G101" s="171"/>
      <c r="H101" s="171"/>
      <c r="I101" s="171"/>
      <c r="J101" s="171"/>
      <c r="K101" s="171"/>
      <c r="L101" s="171"/>
      <c r="M101" s="173"/>
      <c r="N101" s="173"/>
      <c r="O101" s="52"/>
    </row>
    <row r="102" spans="1:15" ht="23" customHeight="1" x14ac:dyDescent="0.45">
      <c r="A102" s="27"/>
      <c r="B102" s="27"/>
      <c r="H102" s="171"/>
      <c r="I102" s="171"/>
      <c r="J102" s="171"/>
      <c r="K102" s="171"/>
      <c r="L102" s="171"/>
      <c r="M102" s="173"/>
      <c r="N102" s="173"/>
      <c r="O102" s="52"/>
    </row>
    <row r="103" spans="1:15" ht="23" customHeight="1" x14ac:dyDescent="0.45">
      <c r="A103" s="27"/>
      <c r="B103" s="27"/>
      <c r="C103" s="171"/>
      <c r="D103" s="171"/>
      <c r="E103" s="171"/>
      <c r="F103" s="171"/>
      <c r="G103" s="171"/>
      <c r="H103" s="171"/>
      <c r="I103" s="171"/>
      <c r="J103" s="171"/>
      <c r="K103" s="171"/>
      <c r="L103" s="171"/>
      <c r="M103" s="173"/>
      <c r="N103" s="173"/>
      <c r="O103" s="52"/>
    </row>
    <row r="104" spans="1:15" ht="23" customHeight="1" x14ac:dyDescent="0.45">
      <c r="A104" s="27"/>
      <c r="B104" s="27"/>
      <c r="C104" s="171"/>
      <c r="D104" s="171"/>
      <c r="E104" s="171"/>
      <c r="F104" s="171"/>
      <c r="G104" s="171"/>
      <c r="H104" s="171"/>
      <c r="I104" s="171"/>
      <c r="J104" s="171"/>
      <c r="K104" s="171"/>
      <c r="L104" s="171"/>
      <c r="M104" s="173"/>
      <c r="N104" s="173"/>
      <c r="O104" s="52"/>
    </row>
    <row r="105" spans="1:15" ht="23" customHeight="1" x14ac:dyDescent="0.45">
      <c r="A105" s="27"/>
      <c r="B105" s="27"/>
      <c r="C105" s="171"/>
      <c r="D105" s="171"/>
      <c r="E105" s="171"/>
      <c r="F105" s="171"/>
      <c r="G105" s="171"/>
      <c r="H105" s="171"/>
      <c r="I105" s="171"/>
      <c r="J105" s="171"/>
      <c r="K105" s="171"/>
      <c r="L105" s="171"/>
      <c r="M105" s="173"/>
      <c r="N105" s="173"/>
      <c r="O105" s="52"/>
    </row>
    <row r="106" spans="1:15" ht="23" customHeight="1" x14ac:dyDescent="0.45">
      <c r="A106" s="27"/>
      <c r="B106" s="27"/>
      <c r="C106" s="171"/>
      <c r="D106" s="171"/>
      <c r="E106" s="171"/>
      <c r="F106" s="171"/>
      <c r="G106" s="171"/>
      <c r="H106" s="171"/>
      <c r="I106" s="171"/>
      <c r="J106" s="171"/>
      <c r="K106" s="171"/>
      <c r="L106" s="171"/>
      <c r="M106" s="173"/>
      <c r="N106" s="173"/>
      <c r="O106" s="52"/>
    </row>
    <row r="107" spans="1:15" ht="23" customHeight="1" x14ac:dyDescent="0.45">
      <c r="A107" s="66"/>
      <c r="B107" s="96" t="s">
        <v>228</v>
      </c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</row>
    <row r="108" spans="1:15" ht="23" customHeight="1" x14ac:dyDescent="0.45">
      <c r="A108" s="27" t="e" vm="46">
        <v>#VALUE!</v>
      </c>
      <c r="B108" s="101" t="s">
        <v>229</v>
      </c>
      <c r="C108" s="98" t="s">
        <v>230</v>
      </c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52"/>
      <c r="O108" s="52"/>
    </row>
    <row r="109" spans="1:15" ht="23" customHeight="1" x14ac:dyDescent="0.45">
      <c r="A109" s="27"/>
      <c r="B109" s="101"/>
      <c r="C109" s="98" t="s">
        <v>231</v>
      </c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52"/>
      <c r="O109" s="52"/>
    </row>
    <row r="110" spans="1:15" ht="23" customHeight="1" x14ac:dyDescent="0.45">
      <c r="A110" s="27"/>
      <c r="B110" s="101"/>
      <c r="C110" s="98" t="s">
        <v>234</v>
      </c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52"/>
      <c r="O110" s="52"/>
    </row>
    <row r="111" spans="1:15" ht="23" customHeight="1" x14ac:dyDescent="0.45">
      <c r="A111" s="27"/>
      <c r="B111" s="101"/>
      <c r="C111" s="98" t="s">
        <v>275</v>
      </c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52"/>
      <c r="O111" s="52"/>
    </row>
    <row r="112" spans="1:15" ht="23" customHeight="1" x14ac:dyDescent="0.45">
      <c r="A112" s="27"/>
      <c r="B112" s="101"/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52"/>
      <c r="O112" s="52"/>
    </row>
    <row r="113" spans="1:15" ht="23" customHeight="1" x14ac:dyDescent="0.45">
      <c r="A113" s="27"/>
      <c r="B113" s="101" t="s">
        <v>232</v>
      </c>
      <c r="C113" s="98" t="s">
        <v>235</v>
      </c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52"/>
      <c r="O113" s="52"/>
    </row>
    <row r="114" spans="1:15" ht="23" customHeight="1" x14ac:dyDescent="0.45">
      <c r="A114" s="27"/>
      <c r="B114" s="101"/>
      <c r="C114" s="98" t="s">
        <v>236</v>
      </c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52"/>
      <c r="O114" s="52"/>
    </row>
    <row r="115" spans="1:15" ht="23" customHeight="1" x14ac:dyDescent="0.45">
      <c r="A115" s="27"/>
      <c r="B115" s="101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52"/>
      <c r="O115" s="52"/>
    </row>
    <row r="116" spans="1:15" ht="23" customHeight="1" x14ac:dyDescent="0.45">
      <c r="A116" s="27"/>
      <c r="B116" s="101" t="s">
        <v>247</v>
      </c>
      <c r="C116" s="100" t="s">
        <v>248</v>
      </c>
      <c r="D116" s="100" t="s">
        <v>237</v>
      </c>
      <c r="E116" s="100" t="s">
        <v>238</v>
      </c>
      <c r="F116" s="100" t="s">
        <v>239</v>
      </c>
      <c r="G116" s="100" t="s">
        <v>266</v>
      </c>
      <c r="H116" s="98" t="s">
        <v>249</v>
      </c>
      <c r="I116" s="98"/>
      <c r="J116" s="98"/>
      <c r="K116" s="98"/>
      <c r="L116" s="98"/>
      <c r="M116" s="98"/>
      <c r="N116" s="52"/>
      <c r="O116" s="52"/>
    </row>
    <row r="117" spans="1:15" ht="32" customHeight="1" x14ac:dyDescent="0.45">
      <c r="A117" s="27"/>
      <c r="B117" s="101"/>
      <c r="C117" s="102" t="s">
        <v>241</v>
      </c>
      <c r="D117" s="102" t="s">
        <v>240</v>
      </c>
      <c r="E117" s="199" t="s">
        <v>309</v>
      </c>
      <c r="F117" s="102" t="s">
        <v>242</v>
      </c>
      <c r="G117" s="102" t="s">
        <v>242</v>
      </c>
      <c r="H117" s="98" t="s">
        <v>310</v>
      </c>
      <c r="I117" s="98"/>
      <c r="J117" s="98"/>
      <c r="K117" s="98"/>
      <c r="L117" s="98"/>
      <c r="M117" s="98"/>
      <c r="N117" s="52"/>
      <c r="O117" s="52"/>
    </row>
    <row r="118" spans="1:15" ht="23" customHeight="1" x14ac:dyDescent="0.45">
      <c r="A118" s="27"/>
      <c r="B118" s="101"/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52"/>
      <c r="O118" s="52"/>
    </row>
    <row r="119" spans="1:15" x14ac:dyDescent="0.45">
      <c r="A119" s="27"/>
      <c r="B119" s="101"/>
      <c r="C119" s="98" t="s">
        <v>244</v>
      </c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52"/>
      <c r="O119" s="52"/>
    </row>
    <row r="120" spans="1:15" x14ac:dyDescent="0.45">
      <c r="A120" s="27"/>
      <c r="B120" s="101"/>
      <c r="C120" s="98" t="s">
        <v>245</v>
      </c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52"/>
      <c r="O120" s="52"/>
    </row>
    <row r="121" spans="1:15" x14ac:dyDescent="0.45">
      <c r="A121" s="27"/>
      <c r="B121" s="101"/>
      <c r="C121" s="98" t="s">
        <v>243</v>
      </c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52"/>
      <c r="O121" s="52"/>
    </row>
    <row r="122" spans="1:15" x14ac:dyDescent="0.45">
      <c r="A122" s="27"/>
      <c r="B122" s="101"/>
      <c r="C122" s="98" t="s">
        <v>246</v>
      </c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52"/>
      <c r="O122" s="52"/>
    </row>
    <row r="123" spans="1:15" x14ac:dyDescent="0.45">
      <c r="A123" s="27"/>
      <c r="B123" s="101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52"/>
      <c r="O123" s="52"/>
    </row>
    <row r="124" spans="1:15" ht="21.4" customHeight="1" x14ac:dyDescent="0.45">
      <c r="A124" s="27" t="e" vm="61">
        <v>#VALUE!</v>
      </c>
      <c r="B124" s="101" t="s">
        <v>274</v>
      </c>
      <c r="C124" s="98" t="s">
        <v>271</v>
      </c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52"/>
      <c r="O124" s="52"/>
    </row>
    <row r="125" spans="1:15" ht="21.4" customHeight="1" x14ac:dyDescent="0.45">
      <c r="A125" s="27"/>
      <c r="B125" s="101"/>
      <c r="C125" s="98" t="s">
        <v>272</v>
      </c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52"/>
      <c r="O125" s="52"/>
    </row>
    <row r="126" spans="1:15" ht="21.4" customHeight="1" x14ac:dyDescent="0.45">
      <c r="A126" s="27"/>
      <c r="B126" s="101"/>
      <c r="C126" s="98" t="s">
        <v>273</v>
      </c>
      <c r="D126" s="98"/>
      <c r="E126" s="98"/>
      <c r="F126" s="98"/>
      <c r="G126" s="98"/>
      <c r="H126" s="98"/>
      <c r="I126" s="98"/>
      <c r="J126" s="98"/>
      <c r="K126" s="98"/>
      <c r="L126" s="98"/>
      <c r="M126" s="98"/>
      <c r="N126" s="52"/>
      <c r="O126" s="52"/>
    </row>
    <row r="127" spans="1:15" ht="21.4" customHeight="1" x14ac:dyDescent="0.45">
      <c r="A127" s="27"/>
      <c r="B127" s="101"/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52"/>
      <c r="O127" s="52"/>
    </row>
    <row r="128" spans="1:15" ht="21.4" customHeight="1" x14ac:dyDescent="0.45">
      <c r="A128" s="27" t="e" vm="3">
        <v>#VALUE!</v>
      </c>
      <c r="B128" s="101" t="s">
        <v>282</v>
      </c>
      <c r="C128" s="98" t="s">
        <v>283</v>
      </c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52"/>
      <c r="O128" s="52"/>
    </row>
    <row r="129" spans="1:15" ht="21.4" customHeight="1" x14ac:dyDescent="0.45">
      <c r="A129" s="27"/>
      <c r="B129" s="101"/>
      <c r="C129" s="98" t="s">
        <v>299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52"/>
      <c r="O129" s="52"/>
    </row>
    <row r="130" spans="1:15" ht="21.4" customHeight="1" x14ac:dyDescent="0.45">
      <c r="A130" s="27"/>
      <c r="B130" s="101"/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52"/>
      <c r="O130" s="52"/>
    </row>
    <row r="131" spans="1:15" ht="21.4" customHeight="1" x14ac:dyDescent="0.45">
      <c r="A131" s="27"/>
      <c r="B131" s="101" t="s">
        <v>306</v>
      </c>
      <c r="C131" s="98" t="s">
        <v>308</v>
      </c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52"/>
      <c r="O131" s="52"/>
    </row>
    <row r="132" spans="1:15" ht="21.4" customHeight="1" x14ac:dyDescent="0.45">
      <c r="A132" s="27"/>
      <c r="B132" s="101"/>
      <c r="C132" s="98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52"/>
      <c r="O132" s="52"/>
    </row>
    <row r="133" spans="1:15" ht="21.4" customHeight="1" x14ac:dyDescent="0.45">
      <c r="A133" s="27"/>
      <c r="B133" s="101"/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52"/>
      <c r="O133" s="52"/>
    </row>
    <row r="134" spans="1:15" ht="21.4" customHeight="1" x14ac:dyDescent="0.45">
      <c r="A134" s="27"/>
      <c r="B134" s="101"/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52"/>
      <c r="O134" s="52"/>
    </row>
    <row r="135" spans="1:15" ht="21.4" customHeight="1" x14ac:dyDescent="0.45">
      <c r="A135" s="27"/>
      <c r="B135" s="101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52"/>
      <c r="O135" s="52"/>
    </row>
    <row r="136" spans="1:15" ht="21.4" customHeight="1" x14ac:dyDescent="0.45">
      <c r="A136" s="27"/>
      <c r="B136" s="101"/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52"/>
      <c r="O136" s="52"/>
    </row>
    <row r="137" spans="1:15" ht="21.4" customHeight="1" x14ac:dyDescent="0.45">
      <c r="A137" s="27"/>
      <c r="B137" s="101"/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52"/>
      <c r="O137" s="52"/>
    </row>
    <row r="138" spans="1:15" ht="21.4" customHeight="1" x14ac:dyDescent="0.45"/>
    <row r="139" spans="1:15" ht="21.4" customHeight="1" x14ac:dyDescent="0.45"/>
    <row r="140" spans="1:15" ht="21.4" customHeight="1" x14ac:dyDescent="0.45"/>
    <row r="141" spans="1:15" ht="21.4" customHeight="1" x14ac:dyDescent="0.45"/>
    <row r="142" spans="1:15" ht="21.4" customHeight="1" x14ac:dyDescent="0.45"/>
    <row r="143" spans="1:15" ht="21.4" customHeight="1" x14ac:dyDescent="0.45"/>
  </sheetData>
  <mergeCells count="144">
    <mergeCell ref="E1:F1"/>
    <mergeCell ref="C106:G106"/>
    <mergeCell ref="H106:L106"/>
    <mergeCell ref="M106:N106"/>
    <mergeCell ref="H102:L102"/>
    <mergeCell ref="M102:N102"/>
    <mergeCell ref="C103:G103"/>
    <mergeCell ref="H103:L103"/>
    <mergeCell ref="M103:N103"/>
    <mergeCell ref="C104:G104"/>
    <mergeCell ref="H104:L104"/>
    <mergeCell ref="M104:N104"/>
    <mergeCell ref="C105:G105"/>
    <mergeCell ref="H105:L105"/>
    <mergeCell ref="M105:N105"/>
    <mergeCell ref="C99:G99"/>
    <mergeCell ref="H99:L99"/>
    <mergeCell ref="M99:N99"/>
    <mergeCell ref="C100:G100"/>
    <mergeCell ref="H100:L100"/>
    <mergeCell ref="M100:N100"/>
    <mergeCell ref="H101:L101"/>
    <mergeCell ref="M101:N101"/>
    <mergeCell ref="C101:G101"/>
    <mergeCell ref="C97:G97"/>
    <mergeCell ref="H97:L97"/>
    <mergeCell ref="M97:N97"/>
    <mergeCell ref="C98:G98"/>
    <mergeCell ref="H98:L98"/>
    <mergeCell ref="M98:N98"/>
    <mergeCell ref="M92:N92"/>
    <mergeCell ref="M93:N93"/>
    <mergeCell ref="M96:N96"/>
    <mergeCell ref="C94:G94"/>
    <mergeCell ref="C92:G92"/>
    <mergeCell ref="C93:G93"/>
    <mergeCell ref="C96:G96"/>
    <mergeCell ref="H92:L92"/>
    <mergeCell ref="H93:L93"/>
    <mergeCell ref="H94:L94"/>
    <mergeCell ref="H95:L95"/>
    <mergeCell ref="H96:L96"/>
    <mergeCell ref="U67:V67"/>
    <mergeCell ref="U68:V68"/>
    <mergeCell ref="F76:G76"/>
    <mergeCell ref="H74:I74"/>
    <mergeCell ref="H75:I75"/>
    <mergeCell ref="H76:I76"/>
    <mergeCell ref="J75:M75"/>
    <mergeCell ref="O73:R73"/>
    <mergeCell ref="J76:M76"/>
    <mergeCell ref="F74:G74"/>
    <mergeCell ref="F75:G75"/>
    <mergeCell ref="F70:G70"/>
    <mergeCell ref="J68:K68"/>
    <mergeCell ref="J69:K69"/>
    <mergeCell ref="J70:K70"/>
    <mergeCell ref="J74:M74"/>
    <mergeCell ref="N47:O47"/>
    <mergeCell ref="N46:O46"/>
    <mergeCell ref="N48:O48"/>
    <mergeCell ref="J63:K63"/>
    <mergeCell ref="J64:K64"/>
    <mergeCell ref="I39:L39"/>
    <mergeCell ref="I41:L41"/>
    <mergeCell ref="I40:L40"/>
    <mergeCell ref="C39:H39"/>
    <mergeCell ref="C41:E41"/>
    <mergeCell ref="C40:E40"/>
    <mergeCell ref="F41:H41"/>
    <mergeCell ref="F40:H40"/>
    <mergeCell ref="C42:E42"/>
    <mergeCell ref="C43:E43"/>
    <mergeCell ref="F42:H42"/>
    <mergeCell ref="F43:H43"/>
    <mergeCell ref="I42:L42"/>
    <mergeCell ref="I43:L43"/>
    <mergeCell ref="C51:D51"/>
    <mergeCell ref="C52:D52"/>
    <mergeCell ref="C53:D53"/>
    <mergeCell ref="G45:H45"/>
    <mergeCell ref="G46:H46"/>
    <mergeCell ref="C1:D1"/>
    <mergeCell ref="M90:N90"/>
    <mergeCell ref="F83:P83"/>
    <mergeCell ref="F84:P84"/>
    <mergeCell ref="F85:P85"/>
    <mergeCell ref="F86:P86"/>
    <mergeCell ref="F87:P87"/>
    <mergeCell ref="F68:G68"/>
    <mergeCell ref="F69:G69"/>
    <mergeCell ref="O62:S62"/>
    <mergeCell ref="J62:K62"/>
    <mergeCell ref="O74:P74"/>
    <mergeCell ref="Q74:R74"/>
    <mergeCell ref="O77:P77"/>
    <mergeCell ref="C90:G90"/>
    <mergeCell ref="Q86:AA86"/>
    <mergeCell ref="Q87:AA87"/>
    <mergeCell ref="Z2:AA2"/>
    <mergeCell ref="N45:O45"/>
    <mergeCell ref="F63:G63"/>
    <mergeCell ref="F64:G64"/>
    <mergeCell ref="F65:G65"/>
    <mergeCell ref="F66:G66"/>
    <mergeCell ref="F67:G67"/>
    <mergeCell ref="G47:H47"/>
    <mergeCell ref="G48:H48"/>
    <mergeCell ref="D48:F48"/>
    <mergeCell ref="H56:M56"/>
    <mergeCell ref="J65:K65"/>
    <mergeCell ref="J66:K66"/>
    <mergeCell ref="J67:K67"/>
    <mergeCell ref="C54:D54"/>
    <mergeCell ref="E52:J52"/>
    <mergeCell ref="E53:J53"/>
    <mergeCell ref="E54:J54"/>
    <mergeCell ref="E51:J51"/>
    <mergeCell ref="D49:F49"/>
    <mergeCell ref="G49:H49"/>
    <mergeCell ref="U63:V63"/>
    <mergeCell ref="H90:L90"/>
    <mergeCell ref="H91:L91"/>
    <mergeCell ref="Q77:R77"/>
    <mergeCell ref="C95:G95"/>
    <mergeCell ref="M94:N94"/>
    <mergeCell ref="M95:N95"/>
    <mergeCell ref="Q81:AA81"/>
    <mergeCell ref="Q82:AA82"/>
    <mergeCell ref="Q85:AA85"/>
    <mergeCell ref="Q83:AA83"/>
    <mergeCell ref="Q84:AA84"/>
    <mergeCell ref="F77:G77"/>
    <mergeCell ref="H77:I77"/>
    <mergeCell ref="J77:M77"/>
    <mergeCell ref="F81:P81"/>
    <mergeCell ref="F82:P82"/>
    <mergeCell ref="M91:N91"/>
    <mergeCell ref="C91:G91"/>
    <mergeCell ref="U64:V64"/>
    <mergeCell ref="U65:V65"/>
    <mergeCell ref="U66:V66"/>
    <mergeCell ref="U69:V69"/>
    <mergeCell ref="U70:V70"/>
  </mergeCells>
  <phoneticPr fontId="1" type="noConversion"/>
  <pageMargins left="0" right="0" top="0" bottom="0" header="0" footer="0"/>
  <pageSetup paperSize="2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12</vt:i4>
      </vt:variant>
    </vt:vector>
  </HeadingPairs>
  <TitlesOfParts>
    <vt:vector size="13" baseType="lpstr">
      <vt:lpstr>Sheet1</vt:lpstr>
      <vt:lpstr>DPS_cap</vt:lpstr>
      <vt:lpstr>frag_damage</vt:lpstr>
      <vt:lpstr>fragHitNum</vt:lpstr>
      <vt:lpstr>fraghitnum2</vt:lpstr>
      <vt:lpstr>gun_bullet_explosion_damage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cp:lastPrinted>2024-04-10T00:59:21Z</cp:lastPrinted>
  <dcterms:created xsi:type="dcterms:W3CDTF">2015-06-05T18:19:34Z</dcterms:created>
  <dcterms:modified xsi:type="dcterms:W3CDTF">2024-07-04T03:03:42Z</dcterms:modified>
</cp:coreProperties>
</file>