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9C02CE59-3EA2-467C-BEC7-90BDF6DCCC4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</future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<sst xmlns="http://schemas.openxmlformats.org/spreadsheetml/2006/main" count="391" uniqueCount="303">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</sst>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18" fillId="10" borderId="0" xfId="0" applyFon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77" zoomScale="85" zoomScaleNormal="85" workbookViewId="0">
      <selection activeCell="H90" sqref="H90:L90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0"/>
      <c r="B1" s="81" t="s">
        <v>172</v>
      </c>
      <c r="C1" s="126" t="s">
        <v>278</v>
      </c>
      <c r="D1" s="127"/>
      <c r="E1" s="126" t="s">
        <v>288</v>
      </c>
      <c r="F1" s="127"/>
      <c r="G1" s="54" t="s">
        <v>156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5" t="s">
        <v>171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34" t="s">
        <v>27</v>
      </c>
      <c r="AA2" s="134"/>
      <c r="AG2" s="41" t="s">
        <v>83</v>
      </c>
      <c r="AH2" s="38"/>
      <c r="AI2" s="38"/>
      <c r="AL2" s="112" t="s">
        <v>220</v>
      </c>
    </row>
    <row r="3" spans="1:38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82</v>
      </c>
      <c r="AH3" s="51"/>
      <c r="AI3" s="51"/>
      <c r="AJ3" s="51"/>
      <c r="AL3" s="111">
        <v>1</v>
      </c>
    </row>
    <row r="4" spans="1:38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126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125">
        <v>704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5" t="s">
        <v>301</v>
      </c>
      <c r="AL5" s="35" t="s">
        <v>229</v>
      </c>
    </row>
    <row r="6" spans="1:38" ht="23.55" customHeight="1" x14ac:dyDescent="0.6">
      <c r="A6" s="22" t="e" vm="3">
        <v>#VALUE!</v>
      </c>
      <c r="B6" s="22" t="s">
        <v>125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125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127</v>
      </c>
      <c r="AL6" s="35"/>
    </row>
    <row r="7" spans="1:38" ht="23.55" customHeight="1" x14ac:dyDescent="0.6">
      <c r="A7" s="22" t="e" vm="4">
        <v>#VALUE!</v>
      </c>
      <c r="B7" s="22" t="s">
        <v>154</v>
      </c>
      <c r="C7" s="53" t="s">
        <v>155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157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158</v>
      </c>
      <c r="T7" s="72"/>
      <c r="U7" s="19"/>
      <c r="V7" s="33"/>
      <c r="W7" s="19"/>
      <c r="X7" s="26"/>
      <c r="Y7" s="72"/>
      <c r="Z7" s="55" t="s">
        <v>299</v>
      </c>
      <c r="AL7" s="35"/>
    </row>
    <row r="8" spans="1:38" ht="23.55" customHeight="1" x14ac:dyDescent="0.6">
      <c r="A8" s="22" t="e" vm="1">
        <v>#VALUE!</v>
      </c>
      <c r="B8" s="18" t="s">
        <v>227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 t="shared" ref="M8:M14" si="10">ROUND(E8*F8/G8*1000,2)</f>
        <v>2</v>
      </c>
      <c r="N8" s="19">
        <f>ROUND(E8*F8/(G8+J8/I8)*1000,2)</f>
        <v>0.67</v>
      </c>
      <c r="O8" s="19">
        <f t="shared" ref="O8:O14" si="11">E8*F8*I8</f>
        <v>1</v>
      </c>
      <c r="P8" s="32">
        <f t="shared" ref="P8:P14" si="12"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3" xml:space="preserve"> E8*F8*7/10</f>
        <v>0.7</v>
      </c>
      <c r="V8" s="33">
        <f t="shared" ref="V8:V14" si="14">ROUND(playerHealth/(U8),2)</f>
        <v>11.43</v>
      </c>
      <c r="W8" s="19">
        <f t="shared" ref="W8" si="15">E8*(F8-0.4)</f>
        <v>0.6</v>
      </c>
      <c r="X8" s="33">
        <f t="shared" ref="X8:X14" si="16">ROUND(playerHealth/(W8),2)</f>
        <v>13.33</v>
      </c>
      <c r="Y8" s="72"/>
      <c r="Z8" s="55"/>
      <c r="AL8" s="35"/>
    </row>
    <row r="9" spans="1:38" ht="23.55" customHeight="1" x14ac:dyDescent="0.6">
      <c r="A9" s="18" t="e" vm="5">
        <v>#VALUE!</v>
      </c>
      <c r="B9" s="18" t="s">
        <v>293</v>
      </c>
      <c r="C9" s="40">
        <v>3000</v>
      </c>
      <c r="D9" s="19">
        <v>0</v>
      </c>
      <c r="E9" s="19">
        <v>1</v>
      </c>
      <c r="F9" s="19">
        <v>50</v>
      </c>
      <c r="G9" s="19">
        <v>2200</v>
      </c>
      <c r="H9" s="19">
        <v>40</v>
      </c>
      <c r="I9" s="19">
        <v>5</v>
      </c>
      <c r="J9" s="19">
        <v>4000</v>
      </c>
      <c r="K9" s="19">
        <v>7</v>
      </c>
      <c r="L9" s="19"/>
      <c r="M9" s="19">
        <f t="shared" si="10"/>
        <v>22.73</v>
      </c>
      <c r="N9" s="19">
        <f>ROUND(E9*F9/(G9+J9/I9)*1000,2)</f>
        <v>16.670000000000002</v>
      </c>
      <c r="O9" s="19">
        <f t="shared" si="11"/>
        <v>250</v>
      </c>
      <c r="P9" s="24">
        <f t="shared" si="12"/>
        <v>0.2</v>
      </c>
      <c r="Q9" s="19">
        <f t="shared" ref="Q9:Q14" si="17">-(FLOOR(H9/6,1)-1)</f>
        <v>-5</v>
      </c>
      <c r="R9" s="19">
        <f t="shared" ref="R9:R14" si="18">ROUND(D9/H9,3)</f>
        <v>0</v>
      </c>
      <c r="S9" s="21" t="s">
        <v>28</v>
      </c>
      <c r="T9" s="19"/>
      <c r="U9" s="19">
        <f xml:space="preserve"> E9*F9*7/10</f>
        <v>35</v>
      </c>
      <c r="V9" s="27">
        <f t="shared" si="14"/>
        <v>0.23</v>
      </c>
      <c r="W9" s="19">
        <f t="shared" ref="W9:W14" si="19">E9*(F9-0.4)</f>
        <v>49.6</v>
      </c>
      <c r="X9" s="27">
        <f t="shared" si="16"/>
        <v>0.16</v>
      </c>
      <c r="Y9" s="72"/>
      <c r="Z9" s="55" t="s">
        <v>300</v>
      </c>
      <c r="AL9" s="35"/>
    </row>
    <row r="10" spans="1:38" ht="23.55" customHeight="1" x14ac:dyDescent="0.6">
      <c r="A10" s="18" t="e" vm="6">
        <v>#VALUE!</v>
      </c>
      <c r="B10" s="18" t="s">
        <v>30</v>
      </c>
      <c r="C10" s="40">
        <v>2000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 t="shared" si="10"/>
        <v>4.62</v>
      </c>
      <c r="N10" s="19">
        <f>ROUND(E10*F10/(G10+J10/I10)*1000,2)</f>
        <v>2.97</v>
      </c>
      <c r="O10" s="19">
        <f t="shared" si="11"/>
        <v>30</v>
      </c>
      <c r="P10" s="30">
        <f t="shared" si="12"/>
        <v>1.3</v>
      </c>
      <c r="Q10" s="19">
        <f t="shared" si="17"/>
        <v>-6</v>
      </c>
      <c r="R10" s="19">
        <f t="shared" si="18"/>
        <v>0</v>
      </c>
      <c r="S10" s="21" t="s">
        <v>28</v>
      </c>
      <c r="T10" s="19"/>
      <c r="U10" s="19">
        <f xml:space="preserve"> E10*F10*7/10</f>
        <v>4.2</v>
      </c>
      <c r="V10" s="26">
        <f t="shared" si="14"/>
        <v>1.9</v>
      </c>
      <c r="W10" s="19">
        <f t="shared" si="19"/>
        <v>5.6</v>
      </c>
      <c r="X10" s="26">
        <f t="shared" si="16"/>
        <v>1.43</v>
      </c>
      <c r="Y10" s="19"/>
      <c r="Z10" s="55"/>
      <c r="AL10" s="110">
        <v>15</v>
      </c>
    </row>
    <row r="11" spans="1:38" ht="23.55" customHeight="1" x14ac:dyDescent="0.6">
      <c r="A11" s="18" t="e" vm="7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 t="shared" si="10"/>
        <v>5.38</v>
      </c>
      <c r="N11" s="19">
        <f t="shared" ref="N11:N30" si="20">ROUND(E11*F11/(G11+J11/I11)*1000,2)</f>
        <v>3.95</v>
      </c>
      <c r="O11" s="19">
        <f t="shared" si="11"/>
        <v>49</v>
      </c>
      <c r="P11" s="20">
        <f t="shared" si="12"/>
        <v>2.2999999999999998</v>
      </c>
      <c r="Q11" s="19">
        <f t="shared" si="17"/>
        <v>-4</v>
      </c>
      <c r="R11" s="19">
        <f t="shared" si="18"/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 t="shared" si="14"/>
        <v>3.27</v>
      </c>
      <c r="W11" s="19">
        <f t="shared" si="19"/>
        <v>3.1</v>
      </c>
      <c r="X11" s="29">
        <f t="shared" si="16"/>
        <v>2.58</v>
      </c>
      <c r="Y11" s="19"/>
      <c r="Z11" s="55"/>
      <c r="AL11" s="110">
        <v>11</v>
      </c>
    </row>
    <row r="12" spans="1:38" ht="23.55" customHeight="1" x14ac:dyDescent="0.6">
      <c r="A12" s="18" t="e" vm="8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 t="shared" si="10"/>
        <v>8.33</v>
      </c>
      <c r="N12" s="19">
        <f t="shared" si="20"/>
        <v>4.3899999999999997</v>
      </c>
      <c r="O12" s="19">
        <f t="shared" si="11"/>
        <v>25</v>
      </c>
      <c r="P12" s="123">
        <f t="shared" si="12"/>
        <v>3.2</v>
      </c>
      <c r="Q12" s="19">
        <f t="shared" si="17"/>
        <v>-5</v>
      </c>
      <c r="R12" s="19">
        <f t="shared" si="18"/>
        <v>2.8000000000000001E-2</v>
      </c>
      <c r="S12" s="28" t="s">
        <v>29</v>
      </c>
      <c r="T12" s="19"/>
      <c r="U12" s="19">
        <f xml:space="preserve"> E12*F12*9/10</f>
        <v>2.25</v>
      </c>
      <c r="V12" s="113">
        <f t="shared" si="14"/>
        <v>3.56</v>
      </c>
      <c r="W12" s="19">
        <f t="shared" si="19"/>
        <v>2.1</v>
      </c>
      <c r="X12" s="113">
        <f t="shared" si="16"/>
        <v>3.81</v>
      </c>
      <c r="Y12" s="19"/>
      <c r="Z12" s="55"/>
      <c r="AL12" s="110">
        <v>6</v>
      </c>
    </row>
    <row r="13" spans="1:38" ht="23.55" customHeight="1" x14ac:dyDescent="0.6">
      <c r="A13" s="18" t="e" vm="9">
        <v>#VALUE!</v>
      </c>
      <c r="B13" s="18" t="s">
        <v>33</v>
      </c>
      <c r="C13" s="40">
        <v>2400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4000</v>
      </c>
      <c r="K13" s="19">
        <v>7</v>
      </c>
      <c r="L13" s="19"/>
      <c r="M13" s="19">
        <f t="shared" si="10"/>
        <v>5.5</v>
      </c>
      <c r="N13" s="19">
        <f t="shared" si="20"/>
        <v>4.28</v>
      </c>
      <c r="O13" s="19">
        <f t="shared" si="11"/>
        <v>77</v>
      </c>
      <c r="P13" s="24">
        <f t="shared" si="12"/>
        <v>0.7</v>
      </c>
      <c r="Q13" s="19">
        <f t="shared" si="17"/>
        <v>-4</v>
      </c>
      <c r="R13" s="19">
        <f t="shared" si="18"/>
        <v>0</v>
      </c>
      <c r="S13" s="21" t="s">
        <v>28</v>
      </c>
      <c r="T13" s="19"/>
      <c r="U13" s="19">
        <f xml:space="preserve"> E13*F13*7/10</f>
        <v>7.7</v>
      </c>
      <c r="V13" s="26">
        <f t="shared" si="14"/>
        <v>1.04</v>
      </c>
      <c r="W13" s="19">
        <f t="shared" si="19"/>
        <v>10.6</v>
      </c>
      <c r="X13" s="27">
        <f t="shared" si="16"/>
        <v>0.75</v>
      </c>
      <c r="Y13" s="19"/>
      <c r="Z13" s="55" t="s">
        <v>34</v>
      </c>
      <c r="AL13" s="110">
        <v>2</v>
      </c>
    </row>
    <row r="14" spans="1:38" ht="23.55" customHeight="1" x14ac:dyDescent="0.6">
      <c r="A14" s="18" t="e" vm="10">
        <v>#VALUE!</v>
      </c>
      <c r="B14" s="18" t="s">
        <v>224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 t="shared" si="10"/>
        <v>8.57</v>
      </c>
      <c r="N14" s="19">
        <f t="shared" ref="N14" si="21">ROUND(E14*F14/(G14+J14/I14)*1000,2)</f>
        <v>3.65</v>
      </c>
      <c r="O14" s="19">
        <f t="shared" si="11"/>
        <v>21</v>
      </c>
      <c r="P14" s="20">
        <f t="shared" si="12"/>
        <v>2.7</v>
      </c>
      <c r="Q14" s="19">
        <f t="shared" si="17"/>
        <v>-2</v>
      </c>
      <c r="R14" s="19">
        <f t="shared" si="18"/>
        <v>5.6000000000000001E-2</v>
      </c>
      <c r="S14" s="21" t="s">
        <v>28</v>
      </c>
      <c r="T14" s="19"/>
      <c r="U14" s="19">
        <f xml:space="preserve"> E14*F14*9/10</f>
        <v>2.7</v>
      </c>
      <c r="V14" s="29">
        <f t="shared" si="14"/>
        <v>2.96</v>
      </c>
      <c r="W14" s="19">
        <f t="shared" si="19"/>
        <v>2.6</v>
      </c>
      <c r="X14" s="113">
        <f t="shared" si="16"/>
        <v>3.08</v>
      </c>
      <c r="Y14" s="19"/>
      <c r="Z14" s="55" t="s">
        <v>225</v>
      </c>
      <c r="AL14" s="111">
        <v>16</v>
      </c>
    </row>
    <row r="15" spans="1:38" ht="23.55" customHeight="1" x14ac:dyDescent="0.6">
      <c r="A15" s="18"/>
      <c r="B15" s="18"/>
      <c r="C15" s="74"/>
      <c r="D15" s="72"/>
      <c r="E15" s="55"/>
      <c r="F15" s="55"/>
      <c r="G15" s="55"/>
      <c r="H15" s="55"/>
      <c r="I15" s="55"/>
      <c r="J15" s="55"/>
      <c r="K15" s="55"/>
      <c r="L15" s="55"/>
      <c r="M15" s="55"/>
      <c r="N15" s="19"/>
      <c r="O15" s="55"/>
      <c r="P15" s="55"/>
      <c r="Q15" s="55"/>
      <c r="R15" s="55"/>
      <c r="S15" s="55"/>
      <c r="T15" s="55"/>
      <c r="U15" s="72"/>
      <c r="V15" s="72"/>
      <c r="W15" s="72"/>
      <c r="X15" s="72"/>
      <c r="Y15" s="72"/>
    </row>
    <row r="16" spans="1:38" ht="23.55" customHeight="1" x14ac:dyDescent="0.6">
      <c r="A16" s="18" t="e" vm="11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22">ROUND(E16*F16/G16*1000,2)</f>
        <v>3.33</v>
      </c>
      <c r="N16" s="19">
        <f t="shared" si="20"/>
        <v>2.68</v>
      </c>
      <c r="O16" s="19">
        <f t="shared" ref="O16:O20" si="23">E16*F16*I16</f>
        <v>15</v>
      </c>
      <c r="P16" s="32">
        <f t="shared" ref="P16:P20" si="24">ROUND(playerHealth/(E16*F16),1)</f>
        <v>8</v>
      </c>
      <c r="Q16" s="19">
        <f t="shared" ref="Q16:Q20" si="25">-(FLOOR(H16/6,1)-1)</f>
        <v>-1</v>
      </c>
      <c r="R16" s="19">
        <f t="shared" ref="R16:R20" si="26">ROUND(D16/H16,3)</f>
        <v>0.13300000000000001</v>
      </c>
      <c r="S16" s="25" t="s">
        <v>74</v>
      </c>
      <c r="T16" s="19"/>
      <c r="U16" s="19">
        <f t="shared" ref="U16:U20" si="27" xml:space="preserve"> E16*F16*9/10</f>
        <v>0.9</v>
      </c>
      <c r="V16" s="33">
        <f t="shared" ref="V16:V20" si="28">ROUND(playerHealth/(U16),2)</f>
        <v>8.89</v>
      </c>
      <c r="W16" s="19">
        <f t="shared" ref="W16:W20" si="29">E16*(F16-0.4)</f>
        <v>0.6</v>
      </c>
      <c r="X16" s="33">
        <f t="shared" ref="X16:X20" si="30">ROUND(playerHealth/(W16),2)</f>
        <v>13.33</v>
      </c>
      <c r="Y16" s="19"/>
      <c r="Z16" s="55" t="s">
        <v>226</v>
      </c>
      <c r="AL16" s="35" t="s">
        <v>229</v>
      </c>
    </row>
    <row r="17" spans="1:38" ht="23.55" customHeight="1" x14ac:dyDescent="0.6">
      <c r="A17" s="18" t="e" vm="12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22"/>
        <v>10</v>
      </c>
      <c r="N17" s="19">
        <f>ROUND(E17*F17/(G17+J17/I17)*1000,2)</f>
        <v>5.81</v>
      </c>
      <c r="O17" s="19">
        <f t="shared" si="23"/>
        <v>100</v>
      </c>
      <c r="P17" s="32">
        <f t="shared" si="24"/>
        <v>8</v>
      </c>
      <c r="Q17" s="19">
        <f t="shared" si="25"/>
        <v>-2</v>
      </c>
      <c r="R17" s="19">
        <f t="shared" si="26"/>
        <v>4.2999999999999997E-2</v>
      </c>
      <c r="S17" s="21" t="s">
        <v>28</v>
      </c>
      <c r="T17" s="19"/>
      <c r="U17" s="19">
        <f t="shared" si="27"/>
        <v>0.9</v>
      </c>
      <c r="V17" s="33">
        <f t="shared" si="28"/>
        <v>8.89</v>
      </c>
      <c r="W17" s="19">
        <f t="shared" si="29"/>
        <v>0.6</v>
      </c>
      <c r="X17" s="33">
        <f t="shared" si="30"/>
        <v>13.33</v>
      </c>
      <c r="Y17" s="19"/>
      <c r="Z17" s="55" t="s">
        <v>37</v>
      </c>
      <c r="AG17" s="51" t="s">
        <v>80</v>
      </c>
      <c r="AH17" s="51"/>
      <c r="AI17" s="51"/>
      <c r="AJ17" s="51"/>
      <c r="AL17" s="110">
        <v>10</v>
      </c>
    </row>
    <row r="18" spans="1:38" ht="23.55" customHeight="1" x14ac:dyDescent="0.6">
      <c r="A18" s="18" t="e" vm="13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22"/>
        <v>10</v>
      </c>
      <c r="N18" s="19">
        <f t="shared" si="20"/>
        <v>4.6500000000000004</v>
      </c>
      <c r="O18" s="19">
        <f t="shared" si="23"/>
        <v>20</v>
      </c>
      <c r="P18" s="32">
        <f t="shared" si="24"/>
        <v>8</v>
      </c>
      <c r="Q18" s="19">
        <f t="shared" si="25"/>
        <v>-2</v>
      </c>
      <c r="R18" s="19">
        <f t="shared" si="26"/>
        <v>5.2999999999999999E-2</v>
      </c>
      <c r="S18" s="28" t="s">
        <v>29</v>
      </c>
      <c r="T18" s="19"/>
      <c r="U18" s="19">
        <f t="shared" si="27"/>
        <v>0.9</v>
      </c>
      <c r="V18" s="33">
        <f t="shared" si="28"/>
        <v>8.89</v>
      </c>
      <c r="W18" s="19">
        <f t="shared" si="29"/>
        <v>0.6</v>
      </c>
      <c r="X18" s="33">
        <f t="shared" si="30"/>
        <v>13.33</v>
      </c>
      <c r="Y18" s="19"/>
      <c r="Z18" s="55" t="s">
        <v>223</v>
      </c>
      <c r="AL18" s="110">
        <v>12</v>
      </c>
    </row>
    <row r="19" spans="1:38" ht="23.55" customHeight="1" x14ac:dyDescent="0.6">
      <c r="A19" s="18" t="e" vm="14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22"/>
        <v>9.09</v>
      </c>
      <c r="N19" s="19">
        <f t="shared" si="20"/>
        <v>5.66</v>
      </c>
      <c r="O19" s="19">
        <f t="shared" si="23"/>
        <v>30</v>
      </c>
      <c r="P19" s="32">
        <f t="shared" si="24"/>
        <v>8</v>
      </c>
      <c r="Q19" s="19">
        <f t="shared" si="25"/>
        <v>-2</v>
      </c>
      <c r="R19" s="19">
        <f t="shared" si="26"/>
        <v>4.8000000000000001E-2</v>
      </c>
      <c r="S19" s="28" t="s">
        <v>29</v>
      </c>
      <c r="T19" s="19"/>
      <c r="U19" s="19">
        <f t="shared" si="27"/>
        <v>0.9</v>
      </c>
      <c r="V19" s="33">
        <f t="shared" si="28"/>
        <v>8.89</v>
      </c>
      <c r="W19" s="19">
        <f t="shared" si="29"/>
        <v>0.6</v>
      </c>
      <c r="X19" s="33">
        <f t="shared" si="30"/>
        <v>13.33</v>
      </c>
      <c r="Y19" s="19"/>
      <c r="Z19" s="55"/>
      <c r="AL19" s="110">
        <v>5</v>
      </c>
    </row>
    <row r="20" spans="1:38" ht="23.55" customHeight="1" x14ac:dyDescent="0.6">
      <c r="A20" s="18" t="e" vm="15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22"/>
        <v>11.11</v>
      </c>
      <c r="N20" s="19">
        <f t="shared" si="20"/>
        <v>5.08</v>
      </c>
      <c r="O20" s="19">
        <f t="shared" si="23"/>
        <v>30</v>
      </c>
      <c r="P20" s="32">
        <f t="shared" si="24"/>
        <v>8</v>
      </c>
      <c r="Q20" s="19">
        <f t="shared" si="25"/>
        <v>-2</v>
      </c>
      <c r="R20" s="19">
        <f t="shared" si="26"/>
        <v>0.05</v>
      </c>
      <c r="S20" s="28" t="s">
        <v>29</v>
      </c>
      <c r="T20" s="19"/>
      <c r="U20" s="19">
        <f t="shared" si="27"/>
        <v>0.9</v>
      </c>
      <c r="V20" s="33">
        <f t="shared" si="28"/>
        <v>8.89</v>
      </c>
      <c r="W20" s="19">
        <f t="shared" si="29"/>
        <v>0.6</v>
      </c>
      <c r="X20" s="33">
        <f t="shared" si="30"/>
        <v>13.33</v>
      </c>
      <c r="Y20" s="19"/>
      <c r="Z20" s="55"/>
      <c r="AG20" s="51" t="s">
        <v>81</v>
      </c>
      <c r="AH20" s="51"/>
      <c r="AI20" s="51"/>
      <c r="AJ20" s="51"/>
      <c r="AL20" s="110">
        <v>7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6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20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4</v>
      </c>
    </row>
    <row r="24" spans="1:38" ht="23.55" customHeight="1" x14ac:dyDescent="0.6">
      <c r="A24" s="18" t="e" vm="17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2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13</v>
      </c>
    </row>
    <row r="25" spans="1:38" ht="23.55" customHeight="1" x14ac:dyDescent="0.6">
      <c r="A25" s="18" t="e" vm="18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31">-(FLOOR(H25/6,1)-1)</f>
        <v>-1</v>
      </c>
      <c r="R25" s="19">
        <f t="shared" ref="R25" si="32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228</v>
      </c>
      <c r="AL25" s="110">
        <v>8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9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20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14</v>
      </c>
    </row>
    <row r="29" spans="1:38" ht="23.55" customHeight="1" x14ac:dyDescent="0.6">
      <c r="A29" s="18" t="e" vm="20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20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3</v>
      </c>
    </row>
    <row r="30" spans="1:38" ht="23.55" customHeight="1" x14ac:dyDescent="0.6">
      <c r="A30" s="18" t="e" vm="21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20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9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2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33" xml:space="preserve"> E33*F33*9/10</f>
        <v>0.45</v>
      </c>
      <c r="V33" s="33">
        <f>ROUND(playerHealth/(U33),2)</f>
        <v>17.78</v>
      </c>
      <c r="W33" s="19">
        <f t="shared" ref="W33" si="34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3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33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4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35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198</v>
      </c>
      <c r="B36" s="18" t="s">
        <v>267</v>
      </c>
      <c r="C36" s="53" t="s">
        <v>266</v>
      </c>
      <c r="D36" s="72">
        <v>0</v>
      </c>
      <c r="E36" s="72">
        <v>1</v>
      </c>
      <c r="F36" s="72">
        <v>3.5</v>
      </c>
      <c r="G36" s="19">
        <v>800</v>
      </c>
      <c r="H36" s="63" t="s">
        <v>265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36">E36*(F36-0.4)</f>
        <v>3.1</v>
      </c>
      <c r="X36" s="29">
        <f>ROUND(playerHealth/(W36),2)</f>
        <v>2.58</v>
      </c>
      <c r="Y36" s="19"/>
      <c r="Z36" t="s">
        <v>264</v>
      </c>
      <c r="AL36" s="35"/>
    </row>
    <row r="37" spans="1:38" ht="23.55" customHeight="1" x14ac:dyDescent="0.6">
      <c r="A37" s="18" t="e" vm="25">
        <v>#VALUE!</v>
      </c>
      <c r="B37" s="18" t="s">
        <v>257</v>
      </c>
      <c r="C37" s="74">
        <v>90</v>
      </c>
      <c r="D37" s="72">
        <v>1</v>
      </c>
      <c r="E37" s="72">
        <v>3</v>
      </c>
      <c r="F37" s="72">
        <v>0.5</v>
      </c>
      <c r="G37" s="72">
        <v>300</v>
      </c>
      <c r="H37" s="72">
        <v>7</v>
      </c>
      <c r="I37" s="19" t="s">
        <v>51</v>
      </c>
      <c r="J37" s="19">
        <v>0</v>
      </c>
      <c r="K37" s="72"/>
      <c r="L37" s="72"/>
      <c r="M37" s="72">
        <f>ROUND(E37*F37/G37*1000,2)</f>
        <v>5</v>
      </c>
      <c r="N37" s="72">
        <f>ROUND(E37*F37/(G37+J37)*1000,2)</f>
        <v>5</v>
      </c>
      <c r="O37" s="72"/>
      <c r="P37" s="124">
        <f>ROUND(8/(E37*F37),1)</f>
        <v>5.3</v>
      </c>
      <c r="Q37" s="72"/>
      <c r="R37" s="72"/>
      <c r="S37" s="72"/>
      <c r="T37" s="72"/>
      <c r="U37" s="19">
        <f t="shared" ref="U37" si="37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169</v>
      </c>
      <c r="C40" s="137" t="s">
        <v>56</v>
      </c>
      <c r="D40" s="137"/>
      <c r="E40" s="137"/>
      <c r="F40" s="137"/>
      <c r="G40" s="137"/>
      <c r="H40" s="137"/>
      <c r="I40" s="137" t="s">
        <v>57</v>
      </c>
      <c r="J40" s="137"/>
      <c r="K40" s="137"/>
      <c r="L40" s="137"/>
      <c r="M40" s="106"/>
      <c r="N40" s="106"/>
      <c r="O40" s="106"/>
      <c r="P40" s="106"/>
      <c r="Q40" s="119" t="s">
        <v>253</v>
      </c>
      <c r="S40" s="135" t="s">
        <v>77</v>
      </c>
      <c r="T40" s="135"/>
      <c r="U40" s="55"/>
    </row>
    <row r="41" spans="1:38" ht="23.55" customHeight="1" x14ac:dyDescent="0.6">
      <c r="A41" s="37" t="e" vm="26">
        <v>#VALUE!</v>
      </c>
      <c r="B41" s="37" t="s">
        <v>58</v>
      </c>
      <c r="C41" s="138" t="s">
        <v>59</v>
      </c>
      <c r="D41" s="138"/>
      <c r="E41" s="138"/>
      <c r="F41" s="138" t="s">
        <v>60</v>
      </c>
      <c r="G41" s="138"/>
      <c r="H41" s="138"/>
      <c r="I41" s="138" t="s">
        <v>61</v>
      </c>
      <c r="J41" s="138"/>
      <c r="K41" s="138"/>
      <c r="L41" s="138"/>
      <c r="M41" s="107"/>
      <c r="N41" s="107"/>
      <c r="O41" s="107"/>
      <c r="P41" s="107"/>
      <c r="Q41" s="63" t="s">
        <v>254</v>
      </c>
      <c r="S41" s="135" t="s">
        <v>75</v>
      </c>
      <c r="T41" s="135"/>
      <c r="U41" s="55">
        <v>8</v>
      </c>
      <c r="V41" s="55"/>
    </row>
    <row r="42" spans="1:38" ht="23.55" customHeight="1" x14ac:dyDescent="0.6">
      <c r="A42" s="37" t="e" vm="27">
        <v>#VALUE!</v>
      </c>
      <c r="B42" s="37" t="s">
        <v>62</v>
      </c>
      <c r="C42" s="138" t="s">
        <v>63</v>
      </c>
      <c r="D42" s="138"/>
      <c r="E42" s="138"/>
      <c r="F42" s="138" t="s">
        <v>196</v>
      </c>
      <c r="G42" s="138"/>
      <c r="H42" s="138"/>
      <c r="I42" s="138" t="s">
        <v>64</v>
      </c>
      <c r="J42" s="138"/>
      <c r="K42" s="138"/>
      <c r="L42" s="138"/>
      <c r="M42" s="107"/>
      <c r="N42" s="107"/>
      <c r="O42" s="107"/>
      <c r="P42" s="107"/>
      <c r="Q42" s="63" t="s">
        <v>254</v>
      </c>
      <c r="S42" s="135" t="s">
        <v>67</v>
      </c>
      <c r="T42" s="135"/>
      <c r="U42" s="55">
        <v>128</v>
      </c>
      <c r="V42" s="55"/>
    </row>
    <row r="43" spans="1:38" ht="23.55" customHeight="1" x14ac:dyDescent="0.6">
      <c r="A43" s="18" t="s">
        <v>198</v>
      </c>
      <c r="B43" s="18" t="s">
        <v>199</v>
      </c>
      <c r="C43" s="139" t="s">
        <v>203</v>
      </c>
      <c r="D43" s="139"/>
      <c r="E43" s="139"/>
      <c r="F43" s="139" t="s">
        <v>204</v>
      </c>
      <c r="G43" s="139"/>
      <c r="H43" s="139"/>
      <c r="I43" s="139" t="s">
        <v>201</v>
      </c>
      <c r="J43" s="139"/>
      <c r="K43" s="139"/>
      <c r="L43" s="139"/>
      <c r="M43" s="42"/>
      <c r="N43" s="42"/>
      <c r="O43" s="107"/>
      <c r="P43" s="107"/>
      <c r="Q43" s="63" t="s">
        <v>255</v>
      </c>
      <c r="S43" s="135" t="s">
        <v>97</v>
      </c>
      <c r="T43" s="135"/>
      <c r="U43" s="55">
        <v>16</v>
      </c>
      <c r="V43" s="55" t="s">
        <v>98</v>
      </c>
    </row>
    <row r="44" spans="1:38" ht="23.55" customHeight="1" x14ac:dyDescent="0.6">
      <c r="A44" s="18" t="s">
        <v>198</v>
      </c>
      <c r="B44" s="18" t="s">
        <v>200</v>
      </c>
      <c r="C44" s="139" t="s">
        <v>262</v>
      </c>
      <c r="D44" s="139"/>
      <c r="E44" s="139"/>
      <c r="F44" s="139"/>
      <c r="G44" s="139"/>
      <c r="H44" s="139"/>
      <c r="I44" s="139" t="s">
        <v>202</v>
      </c>
      <c r="J44" s="139"/>
      <c r="K44" s="139"/>
      <c r="L44" s="139"/>
      <c r="M44" s="42"/>
      <c r="N44" s="42"/>
      <c r="O44" s="107"/>
      <c r="P44" s="107"/>
      <c r="Q44" s="63" t="s">
        <v>255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186</v>
      </c>
      <c r="C46" s="120" t="s">
        <v>188</v>
      </c>
      <c r="D46" s="120"/>
      <c r="E46" s="120" t="s">
        <v>187</v>
      </c>
      <c r="F46" s="120"/>
      <c r="G46" s="137" t="s">
        <v>289</v>
      </c>
      <c r="H46" s="137"/>
      <c r="I46" s="109"/>
      <c r="J46" s="109"/>
      <c r="K46" s="119" t="s">
        <v>253</v>
      </c>
    </row>
    <row r="47" spans="1:38" ht="23.55" customHeight="1" x14ac:dyDescent="0.6">
      <c r="A47" s="37" t="e" vm="28">
        <v>#VALUE!</v>
      </c>
      <c r="B47" s="37" t="s">
        <v>190</v>
      </c>
      <c r="C47" s="121">
        <v>2</v>
      </c>
      <c r="D47" s="121"/>
      <c r="E47" s="121" t="s">
        <v>192</v>
      </c>
      <c r="F47" s="121"/>
      <c r="G47" s="138">
        <v>1</v>
      </c>
      <c r="H47" s="138"/>
      <c r="I47" s="108"/>
      <c r="J47" s="108"/>
      <c r="K47" s="63" t="s">
        <v>254</v>
      </c>
    </row>
    <row r="48" spans="1:38" ht="23.55" customHeight="1" x14ac:dyDescent="0.6">
      <c r="A48" s="37" t="e" vm="29">
        <v>#VALUE!</v>
      </c>
      <c r="B48" s="37" t="s">
        <v>189</v>
      </c>
      <c r="C48" s="121" t="s">
        <v>191</v>
      </c>
      <c r="D48" s="121"/>
      <c r="E48" s="121" t="s">
        <v>94</v>
      </c>
      <c r="F48" s="121"/>
      <c r="G48" s="138" t="s">
        <v>290</v>
      </c>
      <c r="H48" s="138"/>
      <c r="I48" s="108"/>
      <c r="J48" s="108"/>
      <c r="K48" s="63" t="s">
        <v>254</v>
      </c>
    </row>
    <row r="49" spans="1:36" ht="23.55" customHeight="1" x14ac:dyDescent="0.6">
      <c r="A49" s="18" t="e" vm="30">
        <v>#VALUE!</v>
      </c>
      <c r="B49" s="18" t="s">
        <v>292</v>
      </c>
      <c r="C49" s="121">
        <v>6</v>
      </c>
      <c r="D49" s="139" t="s">
        <v>302</v>
      </c>
      <c r="E49" s="139"/>
      <c r="F49" s="139"/>
      <c r="G49" s="139">
        <v>1</v>
      </c>
      <c r="H49" s="139"/>
      <c r="I49" s="42"/>
      <c r="J49" s="42"/>
      <c r="K49" s="63" t="s">
        <v>291</v>
      </c>
    </row>
    <row r="50" spans="1:36" ht="23.55" customHeight="1" x14ac:dyDescent="0.6"/>
    <row r="51" spans="1:36" ht="23.55" customHeight="1" x14ac:dyDescent="0.6">
      <c r="A51" s="34"/>
      <c r="B51" s="75" t="s">
        <v>258</v>
      </c>
      <c r="C51" s="137" t="s">
        <v>263</v>
      </c>
      <c r="D51" s="137"/>
      <c r="E51" s="137" t="s">
        <v>139</v>
      </c>
      <c r="F51" s="137"/>
      <c r="G51" s="137"/>
      <c r="H51" s="137"/>
      <c r="I51" s="137"/>
      <c r="J51" s="137"/>
      <c r="K51" s="119" t="s">
        <v>253</v>
      </c>
    </row>
    <row r="52" spans="1:36" ht="23.55" customHeight="1" x14ac:dyDescent="0.6">
      <c r="A52" s="37" t="e" vm="31">
        <v>#VALUE!</v>
      </c>
      <c r="B52" s="37" t="s">
        <v>259</v>
      </c>
      <c r="C52" s="132" t="s">
        <v>279</v>
      </c>
      <c r="D52" s="132"/>
      <c r="E52" s="140" t="s">
        <v>283</v>
      </c>
      <c r="F52" s="140"/>
      <c r="G52" s="140"/>
      <c r="H52" s="140"/>
      <c r="I52" s="140"/>
      <c r="J52" s="140"/>
      <c r="K52" s="63" t="s">
        <v>254</v>
      </c>
    </row>
    <row r="53" spans="1:36" ht="23.55" customHeight="1" x14ac:dyDescent="0.6">
      <c r="A53" s="37" t="e" vm="32">
        <v>#VALUE!</v>
      </c>
      <c r="B53" s="37" t="s">
        <v>260</v>
      </c>
      <c r="C53" s="132" t="s">
        <v>286</v>
      </c>
      <c r="D53" s="132"/>
      <c r="E53" s="140" t="s">
        <v>281</v>
      </c>
      <c r="F53" s="140"/>
      <c r="G53" s="140"/>
      <c r="H53" s="140"/>
      <c r="I53" s="140"/>
      <c r="J53" s="140"/>
      <c r="K53" s="63" t="s">
        <v>254</v>
      </c>
    </row>
    <row r="54" spans="1:36" ht="23.55" customHeight="1" x14ac:dyDescent="0.6">
      <c r="A54" s="18" t="e" vm="33">
        <v>#VALUE!</v>
      </c>
      <c r="B54" s="18" t="s">
        <v>261</v>
      </c>
      <c r="C54" s="132" t="s">
        <v>280</v>
      </c>
      <c r="D54" s="132"/>
      <c r="E54" s="140" t="s">
        <v>282</v>
      </c>
      <c r="F54" s="140"/>
      <c r="G54" s="140"/>
      <c r="H54" s="140"/>
      <c r="I54" s="140"/>
      <c r="J54" s="140"/>
      <c r="K54" s="63" t="s">
        <v>254</v>
      </c>
    </row>
    <row r="55" spans="1:36" ht="23.55" customHeight="1" x14ac:dyDescent="0.6">
      <c r="A55" s="56" t="s">
        <v>185</v>
      </c>
    </row>
    <row r="56" spans="1:36" ht="23.55" customHeight="1" x14ac:dyDescent="0.6">
      <c r="C56" s="61" t="s">
        <v>161</v>
      </c>
      <c r="D56" s="35" t="s">
        <v>159</v>
      </c>
      <c r="H56" s="147" t="s">
        <v>68</v>
      </c>
      <c r="I56" s="147"/>
      <c r="J56" s="147"/>
      <c r="K56" s="147"/>
      <c r="L56" s="147"/>
      <c r="M56" s="147"/>
    </row>
    <row r="57" spans="1:36" ht="23.55" customHeight="1" x14ac:dyDescent="0.6">
      <c r="A57" s="89"/>
      <c r="B57" s="85" t="s">
        <v>168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8">(2+C57)*tilesize</f>
        <v>128</v>
      </c>
      <c r="D58" s="19">
        <f t="shared" si="38"/>
        <v>256</v>
      </c>
      <c r="E58" s="19">
        <f t="shared" si="38"/>
        <v>384</v>
      </c>
      <c r="F58" s="19">
        <f t="shared" si="38"/>
        <v>512</v>
      </c>
      <c r="G58" s="19">
        <f t="shared" si="38"/>
        <v>640</v>
      </c>
      <c r="H58" s="19">
        <f t="shared" si="38"/>
        <v>768</v>
      </c>
      <c r="I58" s="19">
        <f t="shared" si="38"/>
        <v>896</v>
      </c>
      <c r="J58" s="19">
        <f t="shared" si="38"/>
        <v>1024</v>
      </c>
      <c r="K58" s="19">
        <f t="shared" si="38"/>
        <v>1152</v>
      </c>
      <c r="L58" s="19">
        <f t="shared" si="38"/>
        <v>1280</v>
      </c>
      <c r="M58" s="19">
        <f t="shared" si="38"/>
        <v>1408</v>
      </c>
    </row>
    <row r="59" spans="1:36" ht="23.55" customHeight="1" x14ac:dyDescent="0.6">
      <c r="A59" s="88"/>
      <c r="B59" s="57" t="s">
        <v>70</v>
      </c>
      <c r="C59" s="49">
        <f t="shared" ref="C59:M59" si="39">(2+C57+1)*tilesize+tilesize/2</f>
        <v>320</v>
      </c>
      <c r="D59" s="50">
        <f t="shared" si="39"/>
        <v>448</v>
      </c>
      <c r="E59" s="46">
        <f t="shared" si="39"/>
        <v>576</v>
      </c>
      <c r="F59" s="48">
        <f t="shared" si="39"/>
        <v>704</v>
      </c>
      <c r="G59" s="47">
        <f t="shared" si="39"/>
        <v>832</v>
      </c>
      <c r="H59" s="90">
        <f t="shared" si="39"/>
        <v>960</v>
      </c>
      <c r="I59" s="44">
        <f t="shared" si="39"/>
        <v>1088</v>
      </c>
      <c r="J59" s="45">
        <f t="shared" si="39"/>
        <v>1216</v>
      </c>
      <c r="K59" s="91">
        <f t="shared" si="39"/>
        <v>1344</v>
      </c>
      <c r="L59" s="43">
        <f t="shared" si="39"/>
        <v>1472</v>
      </c>
      <c r="M59" s="40">
        <f t="shared" si="39"/>
        <v>1600</v>
      </c>
    </row>
    <row r="60" spans="1:36" ht="23.55" customHeight="1" x14ac:dyDescent="0.6">
      <c r="C60" s="62" t="s">
        <v>162</v>
      </c>
      <c r="D60" s="58" t="s">
        <v>76</v>
      </c>
      <c r="E60" s="59"/>
      <c r="F60" s="60"/>
      <c r="G60" s="55"/>
      <c r="H60" s="122" t="s">
        <v>160</v>
      </c>
      <c r="I60" s="122"/>
      <c r="J60" s="122"/>
      <c r="K60" s="122"/>
      <c r="L60" s="122"/>
      <c r="M60" s="122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95</v>
      </c>
      <c r="J62" s="142" t="s">
        <v>99</v>
      </c>
      <c r="K62" s="142"/>
      <c r="L62" t="s">
        <v>100</v>
      </c>
      <c r="M62" s="94">
        <f>COUNTIF(H3:H35,"&gt;0")</f>
        <v>26</v>
      </c>
      <c r="O62" s="141" t="s">
        <v>105</v>
      </c>
      <c r="P62" s="141"/>
      <c r="Q62" s="141"/>
      <c r="R62" s="141"/>
      <c r="S62" s="141"/>
      <c r="AG62" s="79"/>
      <c r="AH62" s="79"/>
      <c r="AI62" s="79"/>
      <c r="AJ62" s="79"/>
    </row>
    <row r="63" spans="1:36" ht="23.55" customHeight="1" x14ac:dyDescent="0.6">
      <c r="A63" s="89" t="e" vm="34">
        <v>#VALUE!</v>
      </c>
      <c r="B63" s="83" t="s">
        <v>167</v>
      </c>
      <c r="C63" s="84" t="s">
        <v>88</v>
      </c>
      <c r="D63" s="84" t="s">
        <v>89</v>
      </c>
      <c r="E63" s="84" t="s">
        <v>90</v>
      </c>
      <c r="F63" s="136" t="s">
        <v>91</v>
      </c>
      <c r="G63" s="136"/>
      <c r="H63" s="84" t="s">
        <v>184</v>
      </c>
      <c r="I63" s="84" t="s">
        <v>16</v>
      </c>
      <c r="J63" s="136" t="s">
        <v>96</v>
      </c>
      <c r="K63" s="136"/>
      <c r="L63" s="84" t="s">
        <v>101</v>
      </c>
      <c r="M63" s="84" t="s">
        <v>102</v>
      </c>
      <c r="N63" s="84" t="s">
        <v>287</v>
      </c>
      <c r="O63" s="103" t="s">
        <v>107</v>
      </c>
      <c r="P63" s="84" t="s">
        <v>55</v>
      </c>
      <c r="Q63" s="84" t="s">
        <v>104</v>
      </c>
      <c r="R63" s="84" t="s">
        <v>106</v>
      </c>
      <c r="S63" s="104" t="s">
        <v>112</v>
      </c>
      <c r="T63" s="84"/>
      <c r="U63" s="136" t="s">
        <v>116</v>
      </c>
      <c r="V63" s="136"/>
      <c r="W63" s="84" t="s">
        <v>22</v>
      </c>
      <c r="X63" s="84" t="s">
        <v>118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84</v>
      </c>
      <c r="C64" s="95">
        <v>24</v>
      </c>
      <c r="D64" s="95">
        <v>30</v>
      </c>
      <c r="E64" s="95">
        <v>6</v>
      </c>
      <c r="F64" s="145" t="s">
        <v>94</v>
      </c>
      <c r="G64" s="145"/>
      <c r="H64" s="95">
        <v>1</v>
      </c>
      <c r="I64" s="95">
        <v>0</v>
      </c>
      <c r="J64" s="132">
        <f t="shared" ref="J64:J69" si="40">(C64-player_radius)*2</f>
        <v>16</v>
      </c>
      <c r="K64" s="132"/>
      <c r="L64" s="95">
        <f>COUNTIF(H3:H35,"&gt;16")</f>
        <v>13</v>
      </c>
      <c r="M64" s="95">
        <f>21-L64</f>
        <v>8</v>
      </c>
      <c r="N64" s="95">
        <v>0.12</v>
      </c>
      <c r="O64" s="97">
        <f t="shared" ref="O64:O70" si="41">ROUND(D64/health_cap,2)*10</f>
        <v>1.5</v>
      </c>
      <c r="P64" s="98">
        <f t="shared" ref="P64:P70" si="42">ROUND(M64/guns_cap,2)*10</f>
        <v>2.7</v>
      </c>
      <c r="Q64" s="99">
        <f t="shared" ref="Q64:Q70" si="43">ROUND(E64/speed_cap,2)*10</f>
        <v>5</v>
      </c>
      <c r="R64" s="100">
        <f t="shared" ref="R64:R70" si="44">ROUND(I64/DPS_cap,2)*10</f>
        <v>0</v>
      </c>
      <c r="S64" s="101">
        <f>SUM(O64:R64)</f>
        <v>9.1999999999999993</v>
      </c>
      <c r="T64" s="95"/>
      <c r="U64" s="130">
        <f>R64+O64+P64</f>
        <v>4.2</v>
      </c>
      <c r="V64" s="130"/>
      <c r="W64" s="102" t="s">
        <v>29</v>
      </c>
      <c r="X64" s="56" t="s">
        <v>123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85</v>
      </c>
      <c r="C65" s="52">
        <v>32</v>
      </c>
      <c r="D65" s="52">
        <v>90</v>
      </c>
      <c r="E65" s="52">
        <v>4</v>
      </c>
      <c r="F65" s="129" t="s">
        <v>94</v>
      </c>
      <c r="G65" s="129"/>
      <c r="H65" s="52">
        <v>1</v>
      </c>
      <c r="I65" s="52">
        <v>0</v>
      </c>
      <c r="J65" s="132">
        <f t="shared" si="40"/>
        <v>32</v>
      </c>
      <c r="K65" s="132"/>
      <c r="L65" s="52">
        <f>COUNTIF(H3:H35,"&gt;32")</f>
        <v>4</v>
      </c>
      <c r="M65" s="52">
        <f t="shared" ref="M65:M68" si="45">21-L65</f>
        <v>17</v>
      </c>
      <c r="N65" s="52">
        <v>0.08</v>
      </c>
      <c r="O65" s="64">
        <f t="shared" si="41"/>
        <v>4.5</v>
      </c>
      <c r="P65" s="65">
        <f t="shared" si="42"/>
        <v>5.6999999999999993</v>
      </c>
      <c r="Q65" s="66">
        <f t="shared" si="43"/>
        <v>3.3000000000000003</v>
      </c>
      <c r="R65" s="67">
        <f t="shared" si="44"/>
        <v>0</v>
      </c>
      <c r="S65" s="68">
        <f t="shared" ref="S65:S69" si="46">SUM(O65:R65)</f>
        <v>13.5</v>
      </c>
      <c r="T65" s="52"/>
      <c r="U65" s="131">
        <f t="shared" ref="U65:U70" si="47">R65+O65+P65</f>
        <v>10.199999999999999</v>
      </c>
      <c r="V65" s="131"/>
      <c r="W65" s="28" t="s">
        <v>29</v>
      </c>
      <c r="X65" s="56" t="s">
        <v>122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86</v>
      </c>
      <c r="C66" s="52">
        <v>30</v>
      </c>
      <c r="D66" s="52">
        <v>60</v>
      </c>
      <c r="E66" s="52">
        <v>3</v>
      </c>
      <c r="F66" s="129" t="s">
        <v>40</v>
      </c>
      <c r="G66" s="129"/>
      <c r="H66" s="52">
        <v>1</v>
      </c>
      <c r="I66" s="52">
        <v>11.11</v>
      </c>
      <c r="J66" s="132">
        <f t="shared" si="40"/>
        <v>28</v>
      </c>
      <c r="K66" s="132"/>
      <c r="L66" s="52">
        <f>COUNTIF(H3:H35,"&gt;28")</f>
        <v>5</v>
      </c>
      <c r="M66" s="52">
        <f t="shared" si="45"/>
        <v>16</v>
      </c>
      <c r="N66" s="52">
        <v>0.1</v>
      </c>
      <c r="O66" s="64">
        <f t="shared" si="41"/>
        <v>3</v>
      </c>
      <c r="P66" s="65">
        <f t="shared" si="42"/>
        <v>5.3000000000000007</v>
      </c>
      <c r="Q66" s="66">
        <f t="shared" si="43"/>
        <v>2.5</v>
      </c>
      <c r="R66" s="67">
        <f t="shared" si="44"/>
        <v>2.2000000000000002</v>
      </c>
      <c r="S66" s="68">
        <f t="shared" si="46"/>
        <v>13</v>
      </c>
      <c r="T66" s="52"/>
      <c r="U66" s="131">
        <f t="shared" si="47"/>
        <v>10.5</v>
      </c>
      <c r="V66" s="131"/>
      <c r="W66" s="28" t="s">
        <v>29</v>
      </c>
      <c r="X66" s="56" t="s">
        <v>124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87</v>
      </c>
      <c r="C67" s="52">
        <v>45</v>
      </c>
      <c r="D67" s="52">
        <v>192</v>
      </c>
      <c r="E67" s="52">
        <v>1</v>
      </c>
      <c r="F67" s="129" t="s">
        <v>93</v>
      </c>
      <c r="G67" s="129"/>
      <c r="H67" s="52">
        <v>1</v>
      </c>
      <c r="I67" s="52">
        <v>5.63</v>
      </c>
      <c r="J67" s="132">
        <f t="shared" si="40"/>
        <v>58</v>
      </c>
      <c r="K67" s="132"/>
      <c r="L67" s="52">
        <f>COUNTIF(H3:H35,"&gt;48")</f>
        <v>0</v>
      </c>
      <c r="M67" s="52">
        <f t="shared" si="45"/>
        <v>21</v>
      </c>
      <c r="N67" s="52">
        <v>0.05</v>
      </c>
      <c r="O67" s="64">
        <f t="shared" si="41"/>
        <v>9.6</v>
      </c>
      <c r="P67" s="65">
        <f t="shared" si="42"/>
        <v>7</v>
      </c>
      <c r="Q67" s="66">
        <f t="shared" si="43"/>
        <v>0.8</v>
      </c>
      <c r="R67" s="67">
        <f t="shared" si="44"/>
        <v>1.1000000000000001</v>
      </c>
      <c r="S67" s="68">
        <f t="shared" si="46"/>
        <v>18.500000000000004</v>
      </c>
      <c r="T67" s="52"/>
      <c r="U67" s="131">
        <f t="shared" si="47"/>
        <v>17.7</v>
      </c>
      <c r="V67" s="131"/>
      <c r="W67" s="21" t="s">
        <v>28</v>
      </c>
      <c r="X67" s="56" t="s">
        <v>121</v>
      </c>
      <c r="Y67" s="55"/>
      <c r="Z67" s="55"/>
    </row>
    <row r="68" spans="1:36" ht="23.55" customHeight="1" x14ac:dyDescent="0.6">
      <c r="A68" s="18"/>
      <c r="B68" s="18" t="s">
        <v>92</v>
      </c>
      <c r="C68" s="52">
        <v>52</v>
      </c>
      <c r="D68" s="52">
        <v>148</v>
      </c>
      <c r="E68" s="52">
        <v>0</v>
      </c>
      <c r="F68" s="129" t="s">
        <v>36</v>
      </c>
      <c r="G68" s="129"/>
      <c r="H68" s="52">
        <v>1</v>
      </c>
      <c r="I68" s="52">
        <v>13.33</v>
      </c>
      <c r="J68" s="132">
        <f t="shared" si="40"/>
        <v>72</v>
      </c>
      <c r="K68" s="132"/>
      <c r="L68" s="52">
        <f>COUNTIF(H3:H35,"&gt;72")</f>
        <v>0</v>
      </c>
      <c r="M68" s="52">
        <f t="shared" si="45"/>
        <v>21</v>
      </c>
      <c r="N68" s="52">
        <v>0</v>
      </c>
      <c r="O68" s="64">
        <f t="shared" si="41"/>
        <v>7.4</v>
      </c>
      <c r="P68" s="65">
        <f t="shared" si="42"/>
        <v>7</v>
      </c>
      <c r="Q68" s="66">
        <f t="shared" si="43"/>
        <v>0</v>
      </c>
      <c r="R68" s="67">
        <f t="shared" si="44"/>
        <v>2.7</v>
      </c>
      <c r="S68" s="68">
        <f t="shared" si="46"/>
        <v>17.100000000000001</v>
      </c>
      <c r="T68" s="52"/>
      <c r="U68" s="131">
        <f t="shared" si="47"/>
        <v>17.100000000000001</v>
      </c>
      <c r="V68" s="131"/>
      <c r="W68" s="28" t="s">
        <v>29</v>
      </c>
      <c r="X68" s="56" t="s">
        <v>119</v>
      </c>
      <c r="Y68" s="55"/>
      <c r="Z68" s="55"/>
    </row>
    <row r="69" spans="1:36" ht="23.55" customHeight="1" x14ac:dyDescent="0.6">
      <c r="A69" s="18"/>
      <c r="B69" s="18" t="s">
        <v>103</v>
      </c>
      <c r="C69" s="52">
        <v>26</v>
      </c>
      <c r="D69" s="52">
        <v>40</v>
      </c>
      <c r="E69" s="52">
        <v>12</v>
      </c>
      <c r="F69" s="129" t="s">
        <v>39</v>
      </c>
      <c r="G69" s="129"/>
      <c r="H69" s="52">
        <v>1</v>
      </c>
      <c r="I69" s="52">
        <v>9.09</v>
      </c>
      <c r="J69" s="132">
        <f t="shared" si="40"/>
        <v>20</v>
      </c>
      <c r="K69" s="132"/>
      <c r="L69" s="52">
        <f>COUNTIF(H3:H35,"&gt;20")</f>
        <v>7</v>
      </c>
      <c r="M69" s="52">
        <f>21-L69</f>
        <v>14</v>
      </c>
      <c r="N69" s="52">
        <v>0.18</v>
      </c>
      <c r="O69" s="64">
        <f t="shared" si="41"/>
        <v>2</v>
      </c>
      <c r="P69" s="65">
        <f t="shared" si="42"/>
        <v>4.6999999999999993</v>
      </c>
      <c r="Q69" s="66">
        <f>ROUND(E69/speed_cap,2)*10</f>
        <v>10</v>
      </c>
      <c r="R69" s="67">
        <f t="shared" si="44"/>
        <v>1.7999999999999998</v>
      </c>
      <c r="S69" s="68">
        <f t="shared" si="46"/>
        <v>18.5</v>
      </c>
      <c r="T69" s="52"/>
      <c r="U69" s="131">
        <f t="shared" si="47"/>
        <v>8.5</v>
      </c>
      <c r="V69" s="131"/>
      <c r="W69" s="21" t="s">
        <v>28</v>
      </c>
      <c r="X69" s="56" t="s">
        <v>120</v>
      </c>
      <c r="Y69" s="55"/>
      <c r="Z69" s="55"/>
    </row>
    <row r="70" spans="1:36" ht="23.55" customHeight="1" x14ac:dyDescent="0.6">
      <c r="A70" s="18"/>
      <c r="B70" s="18" t="s">
        <v>114</v>
      </c>
      <c r="C70" s="52">
        <v>28</v>
      </c>
      <c r="D70" s="52">
        <v>50</v>
      </c>
      <c r="E70" s="52">
        <v>10</v>
      </c>
      <c r="F70" s="129" t="s">
        <v>115</v>
      </c>
      <c r="G70" s="129"/>
      <c r="H70" s="52">
        <v>1</v>
      </c>
      <c r="I70" s="52">
        <v>48</v>
      </c>
      <c r="J70" s="132">
        <f t="shared" ref="J70" si="48">(C70-player_radius)*2</f>
        <v>24</v>
      </c>
      <c r="K70" s="132"/>
      <c r="L70" s="52">
        <f>COUNTIF(H3:H35,"&gt;24")</f>
        <v>5</v>
      </c>
      <c r="M70" s="52">
        <f>21-L70</f>
        <v>16</v>
      </c>
      <c r="N70" s="52">
        <v>0.14000000000000001</v>
      </c>
      <c r="O70" s="64">
        <f t="shared" si="41"/>
        <v>2.5</v>
      </c>
      <c r="P70" s="65">
        <f t="shared" si="42"/>
        <v>5.3000000000000007</v>
      </c>
      <c r="Q70" s="66">
        <f t="shared" si="43"/>
        <v>8.2999999999999989</v>
      </c>
      <c r="R70" s="67">
        <f t="shared" si="44"/>
        <v>9.6</v>
      </c>
      <c r="S70" s="68">
        <f t="shared" ref="S70" si="49">SUM(O70:R70)</f>
        <v>25.700000000000003</v>
      </c>
      <c r="T70" s="52"/>
      <c r="U70" s="131">
        <f t="shared" si="47"/>
        <v>17.399999999999999</v>
      </c>
      <c r="V70" s="131"/>
      <c r="W70" s="25" t="s">
        <v>74</v>
      </c>
      <c r="X70" s="56" t="s">
        <v>117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235</v>
      </c>
      <c r="O73" s="134" t="s">
        <v>163</v>
      </c>
      <c r="P73" s="134"/>
      <c r="Q73" s="134"/>
      <c r="R73" s="134"/>
    </row>
    <row r="74" spans="1:36" ht="23.55" customHeight="1" x14ac:dyDescent="0.6">
      <c r="A74" s="34"/>
      <c r="B74" s="75" t="s">
        <v>128</v>
      </c>
      <c r="C74" s="105" t="s">
        <v>89</v>
      </c>
      <c r="D74" s="105" t="s">
        <v>88</v>
      </c>
      <c r="E74" s="105" t="s">
        <v>134</v>
      </c>
      <c r="F74" s="133" t="s">
        <v>135</v>
      </c>
      <c r="G74" s="133"/>
      <c r="H74" s="133" t="s">
        <v>136</v>
      </c>
      <c r="I74" s="133"/>
      <c r="J74" s="133" t="s">
        <v>133</v>
      </c>
      <c r="K74" s="133"/>
      <c r="L74" s="133"/>
      <c r="M74" s="133"/>
      <c r="N74" s="105" t="s">
        <v>164</v>
      </c>
      <c r="O74" s="133" t="s">
        <v>165</v>
      </c>
      <c r="P74" s="133"/>
      <c r="Q74" s="133" t="s">
        <v>166</v>
      </c>
      <c r="R74" s="133"/>
      <c r="S74" s="119" t="s">
        <v>253</v>
      </c>
    </row>
    <row r="75" spans="1:36" ht="23.55" customHeight="1" x14ac:dyDescent="0.6">
      <c r="A75" s="37" t="e" vm="35">
        <v>#VALUE!</v>
      </c>
      <c r="B75" s="37" t="s">
        <v>129</v>
      </c>
      <c r="C75" s="63">
        <v>2</v>
      </c>
      <c r="D75" s="52">
        <v>24</v>
      </c>
      <c r="E75" s="52">
        <v>18</v>
      </c>
      <c r="F75" s="132" t="s">
        <v>66</v>
      </c>
      <c r="G75" s="132"/>
      <c r="H75" s="132">
        <f>E75*frag_damage</f>
        <v>36</v>
      </c>
      <c r="I75" s="132"/>
      <c r="J75" s="132" t="s">
        <v>132</v>
      </c>
      <c r="K75" s="132"/>
      <c r="L75" s="132"/>
      <c r="M75" s="132"/>
      <c r="N75" s="76" t="e" vm="36">
        <v>#VALUE!</v>
      </c>
      <c r="O75" s="68" t="e" vm="37">
        <v>#VALUE!</v>
      </c>
      <c r="P75" s="68" t="e" vm="38">
        <v>#VALUE!</v>
      </c>
      <c r="Q75" s="77" t="e" vm="39">
        <v>#VALUE!</v>
      </c>
      <c r="R75" s="93" t="e" vm="40">
        <v>#VALUE!</v>
      </c>
      <c r="S75" s="63" t="s">
        <v>254</v>
      </c>
    </row>
    <row r="76" spans="1:36" ht="23.55" customHeight="1" x14ac:dyDescent="0.6">
      <c r="A76" s="37" t="e" vm="41">
        <v>#VALUE!</v>
      </c>
      <c r="B76" s="37" t="s">
        <v>130</v>
      </c>
      <c r="C76" s="63">
        <v>30</v>
      </c>
      <c r="D76" s="52">
        <v>32</v>
      </c>
      <c r="E76" s="52">
        <v>12</v>
      </c>
      <c r="F76" s="132" t="s">
        <v>125</v>
      </c>
      <c r="G76" s="132"/>
      <c r="H76" s="132">
        <f>E76*shockWave_damage</f>
        <v>180</v>
      </c>
      <c r="I76" s="132"/>
      <c r="J76" s="132" t="s">
        <v>131</v>
      </c>
      <c r="K76" s="132"/>
      <c r="L76" s="132"/>
      <c r="M76" s="132"/>
      <c r="N76" s="76" t="e" vm="42">
        <v>#VALUE!</v>
      </c>
      <c r="O76" s="68" t="e" vm="43">
        <v>#VALUE!</v>
      </c>
      <c r="P76" s="68" t="e" vm="44">
        <v>#VALUE!</v>
      </c>
      <c r="Q76" s="77" t="e" vm="45">
        <v>#VALUE!</v>
      </c>
      <c r="R76" s="93" t="e" vm="46">
        <v>#VALUE!</v>
      </c>
      <c r="S76" s="63" t="s">
        <v>254</v>
      </c>
    </row>
    <row r="77" spans="1:36" ht="23.55" customHeight="1" x14ac:dyDescent="0.6">
      <c r="A77" s="18"/>
      <c r="B77" s="18"/>
      <c r="C77" s="42"/>
      <c r="D77" s="42"/>
      <c r="E77" s="42"/>
      <c r="F77" s="139"/>
      <c r="G77" s="139"/>
      <c r="H77" s="139"/>
      <c r="I77" s="139"/>
      <c r="J77" s="139"/>
      <c r="K77" s="139"/>
      <c r="L77" s="139"/>
      <c r="M77" s="139"/>
      <c r="N77" s="92"/>
      <c r="O77" s="143"/>
      <c r="P77" s="143"/>
      <c r="Q77" s="143"/>
      <c r="R77" s="143"/>
      <c r="S77" s="63"/>
    </row>
    <row r="78" spans="1:36" ht="23.55" customHeight="1" x14ac:dyDescent="0.6">
      <c r="A78" s="110" t="s">
        <v>195</v>
      </c>
      <c r="B78" s="110" t="s">
        <v>194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34" t="e" vm="47">
        <v>#VALUE!</v>
      </c>
      <c r="B81" s="75" t="s">
        <v>137</v>
      </c>
      <c r="C81" s="105" t="s">
        <v>138</v>
      </c>
      <c r="D81" s="105" t="s">
        <v>90</v>
      </c>
      <c r="E81" s="105" t="s">
        <v>144</v>
      </c>
      <c r="F81" s="133" t="s">
        <v>139</v>
      </c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 t="s">
        <v>151</v>
      </c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19" t="s">
        <v>253</v>
      </c>
    </row>
    <row r="82" spans="1:29" ht="23.55" customHeight="1" x14ac:dyDescent="0.6">
      <c r="A82" s="37"/>
      <c r="B82" s="37" t="s">
        <v>145</v>
      </c>
      <c r="C82" s="96" t="s">
        <v>140</v>
      </c>
      <c r="D82" s="35">
        <v>8</v>
      </c>
      <c r="E82" s="95">
        <v>16</v>
      </c>
      <c r="F82" s="146" t="s">
        <v>149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 t="s">
        <v>152</v>
      </c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63" t="s">
        <v>254</v>
      </c>
    </row>
    <row r="83" spans="1:29" ht="23.55" customHeight="1" x14ac:dyDescent="0.6">
      <c r="A83" s="37"/>
      <c r="B83" s="37" t="s">
        <v>146</v>
      </c>
      <c r="C83" s="63" t="s">
        <v>141</v>
      </c>
      <c r="D83" s="52" t="s">
        <v>294</v>
      </c>
      <c r="E83" s="52">
        <v>1</v>
      </c>
      <c r="F83" s="140" t="s">
        <v>221</v>
      </c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63" t="s">
        <v>254</v>
      </c>
    </row>
    <row r="84" spans="1:29" ht="23.55" customHeight="1" x14ac:dyDescent="0.6">
      <c r="A84" s="37"/>
      <c r="B84" s="37" t="s">
        <v>147</v>
      </c>
      <c r="C84" s="63" t="s">
        <v>142</v>
      </c>
      <c r="D84" s="52" t="s">
        <v>295</v>
      </c>
      <c r="E84" s="52">
        <v>1</v>
      </c>
      <c r="F84" s="140" t="s">
        <v>222</v>
      </c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63" t="s">
        <v>254</v>
      </c>
    </row>
    <row r="85" spans="1:29" ht="23.55" customHeight="1" x14ac:dyDescent="0.6">
      <c r="A85" s="37"/>
      <c r="B85" s="37" t="s">
        <v>148</v>
      </c>
      <c r="C85" s="63" t="s">
        <v>143</v>
      </c>
      <c r="D85" s="52">
        <v>7</v>
      </c>
      <c r="E85" s="52">
        <v>1</v>
      </c>
      <c r="F85" s="140" t="s">
        <v>150</v>
      </c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 t="s">
        <v>153</v>
      </c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63" t="s">
        <v>254</v>
      </c>
    </row>
    <row r="86" spans="1:29" ht="23.55" customHeight="1" x14ac:dyDescent="0.6">
      <c r="A86" s="37"/>
      <c r="B86" s="37" t="s">
        <v>197</v>
      </c>
      <c r="C86" s="63" t="s">
        <v>252</v>
      </c>
      <c r="D86" s="52">
        <v>7</v>
      </c>
      <c r="E86" s="52">
        <v>1</v>
      </c>
      <c r="F86" s="140" t="s">
        <v>298</v>
      </c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 t="s">
        <v>297</v>
      </c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63" t="s">
        <v>254</v>
      </c>
      <c r="AC86" t="s">
        <v>296</v>
      </c>
    </row>
    <row r="87" spans="1:29" ht="24.5" customHeight="1" x14ac:dyDescent="0.6">
      <c r="A87" s="37"/>
      <c r="B87" s="37" t="s">
        <v>269</v>
      </c>
      <c r="C87" s="63" t="s">
        <v>256</v>
      </c>
      <c r="D87" s="52">
        <v>0</v>
      </c>
      <c r="E87" s="52">
        <v>1</v>
      </c>
      <c r="F87" s="140" t="s">
        <v>271</v>
      </c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 t="s">
        <v>270</v>
      </c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63" t="s">
        <v>255</v>
      </c>
    </row>
    <row r="88" spans="1:29" ht="24" customHeight="1" x14ac:dyDescent="0.6">
      <c r="B88" s="56" t="s">
        <v>272</v>
      </c>
    </row>
    <row r="89" spans="1:29" ht="24.5" customHeight="1" x14ac:dyDescent="0.6"/>
    <row r="90" spans="1:29" ht="24.5" customHeight="1" x14ac:dyDescent="0.6">
      <c r="A90" s="34"/>
      <c r="B90" s="75" t="s">
        <v>170</v>
      </c>
      <c r="C90" s="144" t="s">
        <v>175</v>
      </c>
      <c r="D90" s="144"/>
      <c r="E90" s="144"/>
      <c r="F90" s="144"/>
      <c r="G90" s="144"/>
      <c r="H90" s="144" t="s">
        <v>139</v>
      </c>
      <c r="I90" s="144"/>
      <c r="J90" s="144"/>
      <c r="K90" s="144"/>
      <c r="L90" s="144"/>
      <c r="M90" s="133" t="s">
        <v>182</v>
      </c>
      <c r="N90" s="133"/>
      <c r="O90" s="105"/>
      <c r="T90" s="56" t="s">
        <v>193</v>
      </c>
    </row>
    <row r="91" spans="1:29" ht="24.5" customHeight="1" x14ac:dyDescent="0.6">
      <c r="A91" s="37" t="e" vm="48">
        <v>#VALUE!</v>
      </c>
      <c r="B91" s="37" t="s">
        <v>173</v>
      </c>
      <c r="C91" s="128" t="s">
        <v>177</v>
      </c>
      <c r="D91" s="128"/>
      <c r="E91" s="128"/>
      <c r="F91" s="128"/>
      <c r="G91" s="128"/>
      <c r="H91" s="128" t="s">
        <v>179</v>
      </c>
      <c r="I91" s="128"/>
      <c r="J91" s="128"/>
      <c r="K91" s="128"/>
      <c r="L91" s="128"/>
      <c r="M91" s="129" t="s">
        <v>183</v>
      </c>
      <c r="N91" s="129"/>
      <c r="O91" s="63"/>
    </row>
    <row r="92" spans="1:29" ht="24.5" customHeight="1" x14ac:dyDescent="0.6">
      <c r="A92" s="37" t="e" vm="49">
        <v>#VALUE!</v>
      </c>
      <c r="B92" s="37" t="s">
        <v>174</v>
      </c>
      <c r="C92" s="128" t="s">
        <v>180</v>
      </c>
      <c r="D92" s="128"/>
      <c r="E92" s="128"/>
      <c r="F92" s="128"/>
      <c r="G92" s="128"/>
      <c r="H92" s="128" t="s">
        <v>181</v>
      </c>
      <c r="I92" s="128"/>
      <c r="J92" s="128"/>
      <c r="K92" s="128"/>
      <c r="L92" s="128"/>
      <c r="M92" s="129" t="s">
        <v>183</v>
      </c>
      <c r="N92" s="129"/>
      <c r="O92" s="63"/>
    </row>
    <row r="93" spans="1:29" ht="24.5" customHeight="1" x14ac:dyDescent="0.6">
      <c r="A93" s="37" t="e" vm="50">
        <v>#VALUE!</v>
      </c>
      <c r="B93" s="37" t="s">
        <v>176</v>
      </c>
      <c r="C93" s="128" t="s">
        <v>212</v>
      </c>
      <c r="D93" s="128"/>
      <c r="E93" s="128"/>
      <c r="F93" s="128"/>
      <c r="G93" s="128"/>
      <c r="H93" s="128" t="s">
        <v>178</v>
      </c>
      <c r="I93" s="128"/>
      <c r="J93" s="128"/>
      <c r="K93" s="128"/>
      <c r="L93" s="128"/>
      <c r="M93" s="129" t="s">
        <v>183</v>
      </c>
      <c r="N93" s="129"/>
      <c r="O93" s="63"/>
    </row>
    <row r="94" spans="1:29" ht="24.5" customHeight="1" x14ac:dyDescent="0.6">
      <c r="A94" s="37" t="e" vm="51">
        <v>#VALUE!</v>
      </c>
      <c r="B94" s="37" t="s">
        <v>205</v>
      </c>
      <c r="C94" s="128" t="s">
        <v>212</v>
      </c>
      <c r="D94" s="128"/>
      <c r="E94" s="128"/>
      <c r="F94" s="128"/>
      <c r="G94" s="128"/>
      <c r="H94" s="128" t="s">
        <v>213</v>
      </c>
      <c r="I94" s="128"/>
      <c r="J94" s="128"/>
      <c r="K94" s="128"/>
      <c r="L94" s="128"/>
      <c r="M94" s="129" t="s">
        <v>183</v>
      </c>
      <c r="N94" s="129"/>
      <c r="O94" s="63"/>
    </row>
    <row r="95" spans="1:29" ht="24.5" customHeight="1" x14ac:dyDescent="0.6">
      <c r="A95" s="37" t="e" vm="52">
        <v>#VALUE!</v>
      </c>
      <c r="B95" s="37" t="s">
        <v>206</v>
      </c>
      <c r="C95" s="128" t="s">
        <v>212</v>
      </c>
      <c r="D95" s="128"/>
      <c r="E95" s="128"/>
      <c r="F95" s="128"/>
      <c r="G95" s="128"/>
      <c r="H95" s="128" t="s">
        <v>214</v>
      </c>
      <c r="I95" s="128"/>
      <c r="J95" s="128"/>
      <c r="K95" s="128"/>
      <c r="L95" s="128"/>
      <c r="M95" s="129" t="s">
        <v>183</v>
      </c>
      <c r="N95" s="129"/>
      <c r="O95" s="63"/>
    </row>
    <row r="96" spans="1:29" ht="24.5" customHeight="1" x14ac:dyDescent="0.6">
      <c r="A96" s="37" t="e" vm="53">
        <v>#VALUE!</v>
      </c>
      <c r="B96" s="37" t="s">
        <v>207</v>
      </c>
      <c r="C96" s="128" t="s">
        <v>212</v>
      </c>
      <c r="D96" s="128"/>
      <c r="E96" s="128"/>
      <c r="F96" s="128"/>
      <c r="G96" s="128"/>
      <c r="H96" s="128" t="s">
        <v>215</v>
      </c>
      <c r="I96" s="128"/>
      <c r="J96" s="128"/>
      <c r="K96" s="128"/>
      <c r="L96" s="128"/>
      <c r="M96" s="129" t="s">
        <v>183</v>
      </c>
      <c r="N96" s="129"/>
      <c r="O96" s="63"/>
    </row>
    <row r="97" spans="1:15" ht="24.5" customHeight="1" x14ac:dyDescent="0.6">
      <c r="A97" s="37" t="e" vm="54">
        <v>#VALUE!</v>
      </c>
      <c r="B97" s="37" t="s">
        <v>208</v>
      </c>
      <c r="C97" s="128" t="s">
        <v>212</v>
      </c>
      <c r="D97" s="128"/>
      <c r="E97" s="128"/>
      <c r="F97" s="128"/>
      <c r="G97" s="128"/>
      <c r="H97" s="128" t="s">
        <v>216</v>
      </c>
      <c r="I97" s="128"/>
      <c r="J97" s="128"/>
      <c r="K97" s="128"/>
      <c r="L97" s="128"/>
      <c r="M97" s="129" t="s">
        <v>183</v>
      </c>
      <c r="N97" s="129"/>
      <c r="O97" s="63"/>
    </row>
    <row r="98" spans="1:15" ht="24.5" customHeight="1" x14ac:dyDescent="0.6">
      <c r="A98" s="37" t="e" vm="55">
        <v>#VALUE!</v>
      </c>
      <c r="B98" s="37" t="s">
        <v>209</v>
      </c>
      <c r="C98" s="128" t="s">
        <v>212</v>
      </c>
      <c r="D98" s="128"/>
      <c r="E98" s="128"/>
      <c r="F98" s="128"/>
      <c r="G98" s="128"/>
      <c r="H98" s="128" t="s">
        <v>217</v>
      </c>
      <c r="I98" s="128"/>
      <c r="J98" s="128"/>
      <c r="K98" s="128"/>
      <c r="L98" s="128"/>
      <c r="M98" s="129" t="s">
        <v>183</v>
      </c>
      <c r="N98" s="129"/>
      <c r="O98" s="63"/>
    </row>
    <row r="99" spans="1:15" ht="23" customHeight="1" x14ac:dyDescent="0.6">
      <c r="A99" s="37" t="e" vm="56">
        <v>#VALUE!</v>
      </c>
      <c r="B99" s="37" t="s">
        <v>210</v>
      </c>
      <c r="C99" s="128" t="s">
        <v>212</v>
      </c>
      <c r="D99" s="128"/>
      <c r="E99" s="128"/>
      <c r="F99" s="128"/>
      <c r="G99" s="128"/>
      <c r="H99" s="128" t="s">
        <v>218</v>
      </c>
      <c r="I99" s="128"/>
      <c r="J99" s="128"/>
      <c r="K99" s="128"/>
      <c r="L99" s="128"/>
      <c r="M99" s="129" t="s">
        <v>183</v>
      </c>
      <c r="N99" s="129"/>
      <c r="O99" s="63"/>
    </row>
    <row r="100" spans="1:15" ht="23" customHeight="1" x14ac:dyDescent="0.6">
      <c r="A100" s="37" t="e" vm="57">
        <v>#VALUE!</v>
      </c>
      <c r="B100" s="37" t="s">
        <v>211</v>
      </c>
      <c r="C100" s="128" t="s">
        <v>212</v>
      </c>
      <c r="D100" s="128"/>
      <c r="E100" s="128"/>
      <c r="F100" s="128"/>
      <c r="G100" s="128"/>
      <c r="H100" s="128" t="s">
        <v>219</v>
      </c>
      <c r="I100" s="128"/>
      <c r="J100" s="128"/>
      <c r="K100" s="128"/>
      <c r="L100" s="128"/>
      <c r="M100" s="129" t="s">
        <v>183</v>
      </c>
      <c r="N100" s="129"/>
      <c r="O100" s="63"/>
    </row>
    <row r="101" spans="1:15" ht="23" customHeight="1" x14ac:dyDescent="0.6">
      <c r="A101" s="37"/>
      <c r="B101" s="37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9"/>
      <c r="N101" s="129"/>
      <c r="O101" s="63"/>
    </row>
    <row r="102" spans="1:15" ht="23" customHeight="1" x14ac:dyDescent="0.6">
      <c r="A102" s="37"/>
      <c r="B102" s="37"/>
      <c r="H102" s="128"/>
      <c r="I102" s="128"/>
      <c r="J102" s="128"/>
      <c r="K102" s="128"/>
      <c r="L102" s="128"/>
      <c r="M102" s="129"/>
      <c r="N102" s="129"/>
      <c r="O102" s="63"/>
    </row>
    <row r="103" spans="1:15" ht="23" customHeight="1" x14ac:dyDescent="0.6">
      <c r="A103" s="37"/>
      <c r="B103" s="37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9"/>
      <c r="N103" s="129"/>
      <c r="O103" s="63"/>
    </row>
    <row r="104" spans="1:15" ht="23" customHeight="1" x14ac:dyDescent="0.6">
      <c r="A104" s="37"/>
      <c r="B104" s="3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9"/>
      <c r="N104" s="129"/>
      <c r="O104" s="63"/>
    </row>
    <row r="105" spans="1:15" ht="23" customHeight="1" x14ac:dyDescent="0.6">
      <c r="A105" s="37"/>
      <c r="B105" s="3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9"/>
      <c r="N105" s="129"/>
      <c r="O105" s="63"/>
    </row>
    <row r="106" spans="1:15" ht="23" customHeight="1" x14ac:dyDescent="0.6">
      <c r="A106" s="37"/>
      <c r="B106" s="3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9"/>
      <c r="N106" s="129"/>
      <c r="O106" s="63"/>
    </row>
    <row r="107" spans="1:15" ht="23" customHeight="1" x14ac:dyDescent="0.6">
      <c r="A107" s="80"/>
      <c r="B107" s="112" t="s">
        <v>230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231</v>
      </c>
      <c r="C108" s="114" t="s">
        <v>232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233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236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277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234</v>
      </c>
      <c r="C113" s="114" t="s">
        <v>237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238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249</v>
      </c>
      <c r="C116" s="116" t="s">
        <v>250</v>
      </c>
      <c r="D116" s="116" t="s">
        <v>239</v>
      </c>
      <c r="E116" s="116" t="s">
        <v>240</v>
      </c>
      <c r="F116" s="116" t="s">
        <v>241</v>
      </c>
      <c r="G116" s="116" t="s">
        <v>268</v>
      </c>
      <c r="H116" s="114" t="s">
        <v>251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243</v>
      </c>
      <c r="D117" s="118" t="s">
        <v>242</v>
      </c>
      <c r="E117" s="118" t="s">
        <v>243</v>
      </c>
      <c r="F117" s="118" t="s">
        <v>244</v>
      </c>
      <c r="G117" s="118" t="s">
        <v>244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246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247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245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248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8">
        <v>#VALUE!</v>
      </c>
      <c r="B124" s="117" t="s">
        <v>276</v>
      </c>
      <c r="C124" s="114" t="s">
        <v>273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274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275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284</v>
      </c>
      <c r="C128" s="114" t="s">
        <v>285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G48:H48"/>
    <mergeCell ref="G49:H49"/>
    <mergeCell ref="D49:F49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U63:V63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C91:G9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G46:H46"/>
    <mergeCell ref="G47:H47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2024-06-20T02:37:21Z</dcterms:modified>
</cp:coreProperties>
</file>