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4.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5.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3B98704D-CD1D-4FCA-9FB6-89BD6107C42D}" xr6:coauthVersionLast="36" xr6:coauthVersionMax="36" xr10:uidLastSave="{00000000-0000-0000-0000-000000000000}"/>
  <bookViews>
    <workbookView xWindow="0" yWindow="0" windowWidth="19200" windowHeight="6860" tabRatio="742" xr2:uid="{00000000-000D-0000-FFFF-FFFF00000000}"/>
  </bookViews>
  <sheets>
    <sheet name="PF176" sheetId="20" r:id="rId1"/>
    <sheet name="PCH176" sheetId="23" r:id="rId2"/>
    <sheet name="PA176" sheetId="21" r:id="rId3"/>
    <sheet name="PF144" sheetId="7" r:id="rId4"/>
    <sheet name="PCH144" sheetId="17" r:id="rId5"/>
    <sheet name="PA144" sheetId="8" r:id="rId6"/>
    <sheet name="PF100" sheetId="2" r:id="rId7"/>
    <sheet name="PCH100" sheetId="18" r:id="rId8"/>
    <sheet name="PA100" sheetId="3" r:id="rId9"/>
    <sheet name="PF80" sheetId="10" r:id="rId10"/>
    <sheet name="PCH80" sheetId="15" r:id="rId11"/>
    <sheet name="PA80" sheetId="11" r:id="rId12"/>
    <sheet name="PF64" sheetId="12" r:id="rId13"/>
    <sheet name="PCH64" sheetId="14" r:id="rId14"/>
    <sheet name="PA64" sheetId="13" r:id="rId15"/>
    <sheet name="History" sheetId="24" r:id="rId1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 i="14" l="1"/>
  <c r="F13" i="14"/>
  <c r="G13" i="14"/>
  <c r="G12" i="14"/>
  <c r="G9" i="14"/>
  <c r="G8" i="14"/>
  <c r="L19" i="15" l="1"/>
  <c r="L18" i="15"/>
  <c r="L17" i="15"/>
  <c r="L19" i="18"/>
  <c r="L18" i="18"/>
  <c r="L17" i="18"/>
  <c r="O19" i="17"/>
  <c r="O18" i="17"/>
  <c r="O17" i="17"/>
  <c r="N19" i="17"/>
  <c r="N18" i="17"/>
  <c r="N17" i="17"/>
  <c r="M19" i="17"/>
  <c r="M18" i="17"/>
  <c r="M17" i="17"/>
  <c r="L19" i="17"/>
  <c r="L18" i="17"/>
  <c r="L17" i="17"/>
  <c r="O19" i="23"/>
  <c r="O18" i="23"/>
  <c r="O17" i="23"/>
  <c r="N19" i="23"/>
  <c r="N18" i="23"/>
  <c r="N17" i="23"/>
  <c r="M19" i="23"/>
  <c r="M18" i="23"/>
  <c r="M17" i="23"/>
  <c r="L19" i="23"/>
  <c r="L18" i="23"/>
  <c r="L17" i="23"/>
  <c r="K17" i="23"/>
  <c r="G13" i="15"/>
  <c r="G12" i="15"/>
  <c r="G9" i="15"/>
  <c r="G8" i="15"/>
  <c r="F13" i="15"/>
  <c r="G13" i="23"/>
  <c r="G12" i="23"/>
  <c r="G9" i="23"/>
  <c r="G8" i="23"/>
  <c r="F13" i="17"/>
  <c r="G13" i="17"/>
  <c r="G12" i="17"/>
  <c r="G9" i="17"/>
  <c r="G8" i="17"/>
  <c r="F13" i="18"/>
  <c r="G13" i="18"/>
  <c r="G12" i="18"/>
  <c r="G8" i="18"/>
  <c r="G9" i="18"/>
  <c r="H56" i="21" l="1"/>
  <c r="G56" i="21"/>
  <c r="F56" i="21"/>
  <c r="AW7" i="21"/>
  <c r="C10" i="21"/>
  <c r="C10" i="8"/>
  <c r="K78" i="14" l="1"/>
  <c r="J78" i="14"/>
  <c r="I78" i="14"/>
  <c r="H78" i="14"/>
  <c r="K77" i="14"/>
  <c r="J77" i="14"/>
  <c r="I77" i="14"/>
  <c r="H77" i="14"/>
  <c r="K76" i="14"/>
  <c r="J76" i="14"/>
  <c r="I76" i="14"/>
  <c r="H76" i="14"/>
  <c r="K75" i="14"/>
  <c r="J75" i="14"/>
  <c r="I75" i="14"/>
  <c r="H75" i="14"/>
  <c r="F78" i="14"/>
  <c r="K78" i="15"/>
  <c r="J78" i="15"/>
  <c r="I78" i="15"/>
  <c r="H78" i="15"/>
  <c r="K77" i="15"/>
  <c r="J77" i="15"/>
  <c r="I77" i="15"/>
  <c r="H77" i="15"/>
  <c r="K76" i="15"/>
  <c r="J76" i="15"/>
  <c r="I76" i="15"/>
  <c r="H76" i="15"/>
  <c r="K75" i="15"/>
  <c r="J75" i="15"/>
  <c r="I75" i="15"/>
  <c r="H75" i="15"/>
  <c r="F78" i="15"/>
  <c r="K78" i="18"/>
  <c r="J78" i="18"/>
  <c r="I78" i="18"/>
  <c r="H78" i="18"/>
  <c r="K77" i="18"/>
  <c r="J77" i="18"/>
  <c r="I77" i="18"/>
  <c r="H77" i="18"/>
  <c r="K76" i="18"/>
  <c r="J76" i="18"/>
  <c r="I76" i="18"/>
  <c r="H76" i="18"/>
  <c r="K75" i="18"/>
  <c r="J75" i="18"/>
  <c r="I75" i="18"/>
  <c r="H75" i="18"/>
  <c r="F78" i="18"/>
  <c r="G75" i="18"/>
  <c r="K78" i="17"/>
  <c r="J78" i="17"/>
  <c r="I78" i="17"/>
  <c r="H78" i="17"/>
  <c r="F78" i="17"/>
  <c r="K77" i="17"/>
  <c r="J77" i="17"/>
  <c r="I77" i="17"/>
  <c r="H77" i="17"/>
  <c r="K76" i="17"/>
  <c r="J76" i="17"/>
  <c r="I76" i="17"/>
  <c r="H76" i="17"/>
  <c r="K75" i="17"/>
  <c r="J75" i="17"/>
  <c r="I75" i="17"/>
  <c r="H75" i="17"/>
  <c r="K78" i="23"/>
  <c r="J78" i="23"/>
  <c r="I78" i="23"/>
  <c r="H78" i="23"/>
  <c r="K77" i="23"/>
  <c r="J77" i="23"/>
  <c r="I77" i="23"/>
  <c r="H77" i="23"/>
  <c r="G77" i="23"/>
  <c r="K76" i="23"/>
  <c r="J76" i="23"/>
  <c r="I76" i="23"/>
  <c r="H76" i="23"/>
  <c r="K75" i="23"/>
  <c r="J75" i="23"/>
  <c r="I75" i="23"/>
  <c r="H75" i="23"/>
  <c r="G76" i="14" l="1"/>
  <c r="F76" i="14"/>
  <c r="F75" i="14"/>
  <c r="G76" i="15"/>
  <c r="F76" i="15"/>
  <c r="F75" i="15"/>
  <c r="G76" i="18"/>
  <c r="F76" i="18"/>
  <c r="F75" i="18"/>
  <c r="G76" i="17"/>
  <c r="F76" i="17"/>
  <c r="F75" i="17"/>
  <c r="F75" i="23"/>
  <c r="G76" i="23"/>
  <c r="F76" i="23"/>
  <c r="G78" i="14" l="1"/>
  <c r="E78" i="14"/>
  <c r="D78" i="14"/>
  <c r="G77" i="14"/>
  <c r="F77" i="14"/>
  <c r="E77" i="14"/>
  <c r="D77" i="14"/>
  <c r="O72" i="14"/>
  <c r="N72" i="14"/>
  <c r="M72" i="14"/>
  <c r="L72" i="14"/>
  <c r="K72" i="14"/>
  <c r="J72" i="14"/>
  <c r="I72" i="14"/>
  <c r="H72" i="14"/>
  <c r="G72" i="14"/>
  <c r="F72" i="14"/>
  <c r="E72" i="14"/>
  <c r="D72" i="14"/>
  <c r="O71" i="14"/>
  <c r="N71" i="14"/>
  <c r="M71" i="14"/>
  <c r="L71" i="14"/>
  <c r="K71" i="14"/>
  <c r="J71" i="14"/>
  <c r="I71" i="14"/>
  <c r="H71" i="14"/>
  <c r="G71" i="14"/>
  <c r="F71" i="14"/>
  <c r="E71" i="14"/>
  <c r="D71" i="14"/>
  <c r="BN66" i="14"/>
  <c r="BM66" i="14"/>
  <c r="BL66" i="14"/>
  <c r="BK66" i="14"/>
  <c r="BJ66" i="14"/>
  <c r="BI66" i="14"/>
  <c r="BH66" i="14"/>
  <c r="BG66" i="14"/>
  <c r="BF66" i="14"/>
  <c r="BE66" i="14"/>
  <c r="BD66" i="14"/>
  <c r="BC66" i="14"/>
  <c r="BB66" i="14"/>
  <c r="BA66" i="14"/>
  <c r="AZ66" i="14"/>
  <c r="AY66" i="14"/>
  <c r="AX66" i="14"/>
  <c r="AW66" i="14"/>
  <c r="AV66" i="14"/>
  <c r="AU66" i="14"/>
  <c r="AT66" i="14"/>
  <c r="AS66" i="14"/>
  <c r="AR66" i="14"/>
  <c r="AQ66" i="14"/>
  <c r="AP66" i="14"/>
  <c r="AO66" i="14"/>
  <c r="AN66" i="14"/>
  <c r="AM66" i="14"/>
  <c r="AL66" i="14"/>
  <c r="AK66" i="14"/>
  <c r="AJ66" i="14"/>
  <c r="AI66" i="14"/>
  <c r="AH66" i="14"/>
  <c r="AG66" i="14"/>
  <c r="AF66" i="14"/>
  <c r="AE66" i="14"/>
  <c r="AD66" i="14"/>
  <c r="AC66" i="14"/>
  <c r="AB66" i="14"/>
  <c r="AA66" i="14"/>
  <c r="Z66" i="14"/>
  <c r="Y66" i="14"/>
  <c r="X66" i="14"/>
  <c r="W66" i="14"/>
  <c r="V66" i="14"/>
  <c r="U66" i="14"/>
  <c r="T66" i="14"/>
  <c r="S66" i="14"/>
  <c r="R66" i="14"/>
  <c r="Q66" i="14"/>
  <c r="P66" i="14"/>
  <c r="O66" i="14"/>
  <c r="N66" i="14"/>
  <c r="M66" i="14"/>
  <c r="L66" i="14"/>
  <c r="K66" i="14"/>
  <c r="J66" i="14"/>
  <c r="I66" i="14"/>
  <c r="H66" i="14"/>
  <c r="G66" i="14"/>
  <c r="F66" i="14"/>
  <c r="E66" i="14"/>
  <c r="D66" i="14"/>
  <c r="BN65" i="14"/>
  <c r="BM65" i="14"/>
  <c r="BL65" i="14"/>
  <c r="BK65" i="14"/>
  <c r="BJ65" i="14"/>
  <c r="BI65" i="14"/>
  <c r="BH65" i="14"/>
  <c r="BG65" i="14"/>
  <c r="BF65" i="14"/>
  <c r="BE65" i="14"/>
  <c r="BD65" i="14"/>
  <c r="BC65" i="14"/>
  <c r="BB65" i="14"/>
  <c r="BA65" i="14"/>
  <c r="AZ65" i="14"/>
  <c r="AY65" i="14"/>
  <c r="AX65" i="14"/>
  <c r="AW65" i="14"/>
  <c r="AV65" i="14"/>
  <c r="AU65" i="14"/>
  <c r="AT65" i="14"/>
  <c r="AS65" i="14"/>
  <c r="AR65" i="14"/>
  <c r="AQ65" i="14"/>
  <c r="AP65" i="14"/>
  <c r="AO65" i="14"/>
  <c r="AN65" i="14"/>
  <c r="AM65" i="14"/>
  <c r="AL65" i="14"/>
  <c r="AK65" i="14"/>
  <c r="AJ65" i="14"/>
  <c r="AI65" i="14"/>
  <c r="AH65" i="14"/>
  <c r="AG65" i="14"/>
  <c r="AF65" i="14"/>
  <c r="AE65" i="14"/>
  <c r="AD65" i="14"/>
  <c r="AC65" i="14"/>
  <c r="AB65" i="14"/>
  <c r="AA65" i="14"/>
  <c r="Z65" i="14"/>
  <c r="Y65" i="14"/>
  <c r="X65" i="14"/>
  <c r="W65" i="14"/>
  <c r="V65" i="14"/>
  <c r="U65" i="14"/>
  <c r="T65" i="14"/>
  <c r="S65" i="14"/>
  <c r="R65" i="14"/>
  <c r="Q65" i="14"/>
  <c r="P65" i="14"/>
  <c r="O65" i="14"/>
  <c r="N65" i="14"/>
  <c r="M65" i="14"/>
  <c r="L65" i="14"/>
  <c r="K65" i="14"/>
  <c r="J65" i="14"/>
  <c r="I65" i="14"/>
  <c r="H65" i="14"/>
  <c r="G65" i="14"/>
  <c r="F65" i="14"/>
  <c r="E65" i="14"/>
  <c r="D65" i="14"/>
  <c r="E76" i="14"/>
  <c r="D76" i="14"/>
  <c r="G75" i="14"/>
  <c r="E75" i="14"/>
  <c r="D75" i="14"/>
  <c r="O70" i="14"/>
  <c r="N70" i="14"/>
  <c r="M70" i="14"/>
  <c r="L70" i="14"/>
  <c r="K70" i="14"/>
  <c r="J70" i="14"/>
  <c r="I70" i="14"/>
  <c r="H70" i="14"/>
  <c r="G70" i="14"/>
  <c r="F70" i="14"/>
  <c r="E70" i="14"/>
  <c r="D70" i="14"/>
  <c r="O69" i="14"/>
  <c r="N69" i="14"/>
  <c r="M69" i="14"/>
  <c r="L69" i="14"/>
  <c r="K69" i="14"/>
  <c r="J69" i="14"/>
  <c r="I69" i="14"/>
  <c r="H69" i="14"/>
  <c r="G69" i="14"/>
  <c r="F69" i="14"/>
  <c r="E69" i="14"/>
  <c r="D69" i="14"/>
  <c r="BN64" i="14"/>
  <c r="BM64" i="14"/>
  <c r="BL64" i="14"/>
  <c r="BK64" i="14"/>
  <c r="BJ64" i="14"/>
  <c r="BI64" i="14"/>
  <c r="BH64" i="14"/>
  <c r="BG64" i="14"/>
  <c r="BF64" i="14"/>
  <c r="BE64" i="14"/>
  <c r="BD64" i="14"/>
  <c r="BC64" i="14"/>
  <c r="BB64" i="14"/>
  <c r="BA64" i="14"/>
  <c r="AZ64" i="14"/>
  <c r="AY64" i="14"/>
  <c r="AX64" i="14"/>
  <c r="AW64" i="14"/>
  <c r="AV64" i="14"/>
  <c r="AU64" i="14"/>
  <c r="AT64" i="14"/>
  <c r="AS64" i="14"/>
  <c r="AR64" i="14"/>
  <c r="AQ64" i="14"/>
  <c r="AP64" i="14"/>
  <c r="AO64" i="14"/>
  <c r="AN64" i="14"/>
  <c r="AM64" i="14"/>
  <c r="AL64" i="14"/>
  <c r="AK64" i="14"/>
  <c r="AJ64" i="14"/>
  <c r="AI64" i="14"/>
  <c r="AH64" i="14"/>
  <c r="AG64" i="14"/>
  <c r="AF64" i="14"/>
  <c r="AE64" i="14"/>
  <c r="AD64" i="14"/>
  <c r="AC64" i="14"/>
  <c r="AB64" i="14"/>
  <c r="AA64" i="14"/>
  <c r="Z64" i="14"/>
  <c r="Y64" i="14"/>
  <c r="X64" i="14"/>
  <c r="W64" i="14"/>
  <c r="V64" i="14"/>
  <c r="U64" i="14"/>
  <c r="T64" i="14"/>
  <c r="S64" i="14"/>
  <c r="R64" i="14"/>
  <c r="Q64" i="14"/>
  <c r="P64" i="14"/>
  <c r="O64" i="14"/>
  <c r="N64" i="14"/>
  <c r="M64" i="14"/>
  <c r="L64" i="14"/>
  <c r="K64" i="14"/>
  <c r="J64" i="14"/>
  <c r="I64" i="14"/>
  <c r="H64" i="14"/>
  <c r="G64" i="14"/>
  <c r="F64" i="14"/>
  <c r="E64" i="14"/>
  <c r="D64" i="14"/>
  <c r="BN63" i="14"/>
  <c r="BM63" i="14"/>
  <c r="BL63" i="14"/>
  <c r="BK63" i="14"/>
  <c r="BJ63" i="14"/>
  <c r="BI63" i="14"/>
  <c r="BH63" i="14"/>
  <c r="BG63" i="14"/>
  <c r="BF63" i="14"/>
  <c r="BE63" i="14"/>
  <c r="BD63" i="14"/>
  <c r="BC63" i="14"/>
  <c r="BB63" i="14"/>
  <c r="BA63" i="14"/>
  <c r="AZ63" i="14"/>
  <c r="AY63" i="14"/>
  <c r="AX63" i="14"/>
  <c r="AW63" i="14"/>
  <c r="AV63" i="14"/>
  <c r="AU63" i="14"/>
  <c r="AT63" i="14"/>
  <c r="AS63" i="14"/>
  <c r="AR63" i="14"/>
  <c r="AQ63" i="14"/>
  <c r="AP63" i="14"/>
  <c r="AO63" i="14"/>
  <c r="AN63" i="14"/>
  <c r="AM63" i="14"/>
  <c r="AL63" i="14"/>
  <c r="AK63" i="14"/>
  <c r="AJ63" i="14"/>
  <c r="AI63" i="14"/>
  <c r="AH63" i="14"/>
  <c r="AG63" i="14"/>
  <c r="AF63" i="14"/>
  <c r="AE63" i="14"/>
  <c r="AD63" i="14"/>
  <c r="AC63" i="14"/>
  <c r="AB63" i="14"/>
  <c r="AA63" i="14"/>
  <c r="Z63" i="14"/>
  <c r="Y63" i="14"/>
  <c r="X63" i="14"/>
  <c r="W63" i="14"/>
  <c r="V63" i="14"/>
  <c r="U63" i="14"/>
  <c r="T63" i="14"/>
  <c r="S63" i="14"/>
  <c r="R63" i="14"/>
  <c r="Q63" i="14"/>
  <c r="P63" i="14"/>
  <c r="O63" i="14"/>
  <c r="N63" i="14"/>
  <c r="M63" i="14"/>
  <c r="L63" i="14"/>
  <c r="K63" i="14"/>
  <c r="J63" i="14"/>
  <c r="I63" i="14"/>
  <c r="H63" i="14"/>
  <c r="G63" i="14"/>
  <c r="F63" i="14"/>
  <c r="E63" i="14"/>
  <c r="D63" i="14"/>
  <c r="E76" i="15"/>
  <c r="D76" i="15"/>
  <c r="G75" i="15"/>
  <c r="E75" i="15"/>
  <c r="D75" i="15"/>
  <c r="O70" i="15"/>
  <c r="N70" i="15"/>
  <c r="M70" i="15"/>
  <c r="L70" i="15"/>
  <c r="K70" i="15"/>
  <c r="J70" i="15"/>
  <c r="I70" i="15"/>
  <c r="H70" i="15"/>
  <c r="G70" i="15"/>
  <c r="F70" i="15"/>
  <c r="E70" i="15"/>
  <c r="D70" i="15"/>
  <c r="O69" i="15"/>
  <c r="N69" i="15"/>
  <c r="M69" i="15"/>
  <c r="L69" i="15"/>
  <c r="K69" i="15"/>
  <c r="J69" i="15"/>
  <c r="I69" i="15"/>
  <c r="H69" i="15"/>
  <c r="G69" i="15"/>
  <c r="F69" i="15"/>
  <c r="E69" i="15"/>
  <c r="D69" i="15"/>
  <c r="BN64" i="15"/>
  <c r="BM64" i="15"/>
  <c r="BL64" i="15"/>
  <c r="BK64" i="15"/>
  <c r="BJ64" i="15"/>
  <c r="BI64" i="15"/>
  <c r="BH64" i="15"/>
  <c r="BG64" i="15"/>
  <c r="BF64" i="15"/>
  <c r="BE64" i="15"/>
  <c r="BD64" i="15"/>
  <c r="BC64" i="15"/>
  <c r="BB64" i="15"/>
  <c r="BA64" i="15"/>
  <c r="AZ64" i="15"/>
  <c r="AY64" i="15"/>
  <c r="AX64" i="15"/>
  <c r="AW64" i="15"/>
  <c r="AV64" i="15"/>
  <c r="AU64" i="15"/>
  <c r="AT64" i="15"/>
  <c r="AS64" i="15"/>
  <c r="AR64" i="15"/>
  <c r="AQ64" i="15"/>
  <c r="AP64" i="15"/>
  <c r="AO64" i="15"/>
  <c r="AN64" i="15"/>
  <c r="AM64" i="15"/>
  <c r="AL64" i="15"/>
  <c r="AK64" i="15"/>
  <c r="AJ64" i="15"/>
  <c r="AI64" i="15"/>
  <c r="AH64" i="15"/>
  <c r="AG64" i="15"/>
  <c r="AF64" i="15"/>
  <c r="AE64" i="15"/>
  <c r="AD64" i="15"/>
  <c r="AC64" i="15"/>
  <c r="AB64" i="15"/>
  <c r="AA64" i="15"/>
  <c r="Z64" i="15"/>
  <c r="Y64" i="15"/>
  <c r="X64" i="15"/>
  <c r="W64" i="15"/>
  <c r="V64" i="15"/>
  <c r="U64" i="15"/>
  <c r="T64" i="15"/>
  <c r="S64" i="15"/>
  <c r="R64" i="15"/>
  <c r="Q64" i="15"/>
  <c r="P64" i="15"/>
  <c r="O64" i="15"/>
  <c r="N64" i="15"/>
  <c r="M64" i="15"/>
  <c r="L64" i="15"/>
  <c r="K64" i="15"/>
  <c r="J64" i="15"/>
  <c r="I64" i="15"/>
  <c r="H64" i="15"/>
  <c r="G64" i="15"/>
  <c r="F64" i="15"/>
  <c r="E64" i="15"/>
  <c r="D64" i="15"/>
  <c r="BN63" i="15"/>
  <c r="BM63" i="15"/>
  <c r="BL63" i="15"/>
  <c r="BK63" i="15"/>
  <c r="BJ63" i="15"/>
  <c r="BI63" i="15"/>
  <c r="BH63" i="15"/>
  <c r="BG63" i="15"/>
  <c r="BF63" i="15"/>
  <c r="BE63" i="15"/>
  <c r="BD63" i="15"/>
  <c r="BC63" i="15"/>
  <c r="BB63" i="15"/>
  <c r="BA63" i="15"/>
  <c r="AZ63" i="15"/>
  <c r="AY63" i="15"/>
  <c r="AX63" i="15"/>
  <c r="AW63" i="15"/>
  <c r="AV63" i="15"/>
  <c r="AU63" i="15"/>
  <c r="AT63" i="15"/>
  <c r="AS63" i="15"/>
  <c r="AR63" i="15"/>
  <c r="AQ63" i="15"/>
  <c r="AP63" i="15"/>
  <c r="AO63" i="15"/>
  <c r="AN63" i="15"/>
  <c r="AM63" i="15"/>
  <c r="AL63" i="15"/>
  <c r="AK63" i="15"/>
  <c r="AJ63" i="15"/>
  <c r="AI63" i="15"/>
  <c r="AH63" i="15"/>
  <c r="AG63" i="15"/>
  <c r="AF63" i="15"/>
  <c r="AE63" i="15"/>
  <c r="AD63" i="15"/>
  <c r="AC63" i="15"/>
  <c r="AB63" i="15"/>
  <c r="AA63" i="15"/>
  <c r="Z63" i="15"/>
  <c r="Y63" i="15"/>
  <c r="X63" i="15"/>
  <c r="W63" i="15"/>
  <c r="V63" i="15"/>
  <c r="U63" i="15"/>
  <c r="T63" i="15"/>
  <c r="S63" i="15"/>
  <c r="R63" i="15"/>
  <c r="Q63" i="15"/>
  <c r="P63" i="15"/>
  <c r="O63" i="15"/>
  <c r="N63" i="15"/>
  <c r="M63" i="15"/>
  <c r="L63" i="15"/>
  <c r="K63" i="15"/>
  <c r="J63" i="15"/>
  <c r="I63" i="15"/>
  <c r="H63" i="15"/>
  <c r="G63" i="15"/>
  <c r="F63" i="15"/>
  <c r="E63" i="15"/>
  <c r="D63" i="15"/>
  <c r="G78" i="15"/>
  <c r="E78" i="15"/>
  <c r="D78" i="15"/>
  <c r="G77" i="15"/>
  <c r="F77" i="15"/>
  <c r="E77" i="15"/>
  <c r="D77" i="15"/>
  <c r="O72" i="15"/>
  <c r="N72" i="15"/>
  <c r="M72" i="15"/>
  <c r="L72" i="15"/>
  <c r="K72" i="15"/>
  <c r="J72" i="15"/>
  <c r="I72" i="15"/>
  <c r="H72" i="15"/>
  <c r="G72" i="15"/>
  <c r="F72" i="15"/>
  <c r="E72" i="15"/>
  <c r="D72" i="15"/>
  <c r="O71" i="15"/>
  <c r="N71" i="15"/>
  <c r="M71" i="15"/>
  <c r="L71" i="15"/>
  <c r="K71" i="15"/>
  <c r="J71" i="15"/>
  <c r="I71" i="15"/>
  <c r="H71" i="15"/>
  <c r="G71" i="15"/>
  <c r="F71" i="15"/>
  <c r="E71" i="15"/>
  <c r="D71" i="15"/>
  <c r="BN66" i="15"/>
  <c r="BM66" i="15"/>
  <c r="BL66" i="15"/>
  <c r="BK66" i="15"/>
  <c r="BJ66" i="15"/>
  <c r="BI66" i="15"/>
  <c r="BH66" i="15"/>
  <c r="BG66" i="15"/>
  <c r="BF66" i="15"/>
  <c r="BE66" i="15"/>
  <c r="BD66" i="15"/>
  <c r="BC66" i="15"/>
  <c r="BB66" i="15"/>
  <c r="BA66" i="15"/>
  <c r="AZ66" i="15"/>
  <c r="AY66" i="15"/>
  <c r="AX66" i="15"/>
  <c r="AW66" i="15"/>
  <c r="AV66" i="15"/>
  <c r="AU66" i="15"/>
  <c r="AT66" i="15"/>
  <c r="AS66" i="15"/>
  <c r="AR66" i="15"/>
  <c r="AQ66" i="15"/>
  <c r="AP66" i="15"/>
  <c r="AO66" i="15"/>
  <c r="AN66" i="15"/>
  <c r="AM66" i="15"/>
  <c r="AL66" i="15"/>
  <c r="AK66" i="15"/>
  <c r="AJ66" i="15"/>
  <c r="AI66" i="15"/>
  <c r="AH66" i="15"/>
  <c r="AG66" i="15"/>
  <c r="AF66" i="15"/>
  <c r="AE66" i="15"/>
  <c r="AD66" i="15"/>
  <c r="AC66" i="15"/>
  <c r="AB66" i="15"/>
  <c r="AA66" i="15"/>
  <c r="Z66" i="15"/>
  <c r="Y66" i="15"/>
  <c r="X66" i="15"/>
  <c r="W66" i="15"/>
  <c r="V66" i="15"/>
  <c r="U66" i="15"/>
  <c r="T66" i="15"/>
  <c r="S66" i="15"/>
  <c r="R66" i="15"/>
  <c r="Q66" i="15"/>
  <c r="P66" i="15"/>
  <c r="O66" i="15"/>
  <c r="N66" i="15"/>
  <c r="M66" i="15"/>
  <c r="L66" i="15"/>
  <c r="K66" i="15"/>
  <c r="J66" i="15"/>
  <c r="I66" i="15"/>
  <c r="H66" i="15"/>
  <c r="G66" i="15"/>
  <c r="F66" i="15"/>
  <c r="E66" i="15"/>
  <c r="D66" i="15"/>
  <c r="BN65" i="15"/>
  <c r="BM65" i="15"/>
  <c r="BL65" i="15"/>
  <c r="BK65" i="15"/>
  <c r="BJ65" i="15"/>
  <c r="BI65" i="15"/>
  <c r="BH65" i="15"/>
  <c r="BG65" i="15"/>
  <c r="BF65" i="15"/>
  <c r="BE65" i="15"/>
  <c r="BD65" i="15"/>
  <c r="BC65" i="15"/>
  <c r="BB65" i="15"/>
  <c r="BA65" i="15"/>
  <c r="AZ65" i="15"/>
  <c r="AY65" i="15"/>
  <c r="AX65" i="15"/>
  <c r="AW65" i="15"/>
  <c r="AV65" i="15"/>
  <c r="AU65" i="15"/>
  <c r="AT65" i="15"/>
  <c r="AS65" i="15"/>
  <c r="AR65" i="15"/>
  <c r="AQ65" i="15"/>
  <c r="AP65" i="15"/>
  <c r="AO65" i="15"/>
  <c r="AN65" i="15"/>
  <c r="AM65" i="15"/>
  <c r="AL65" i="15"/>
  <c r="AK65" i="15"/>
  <c r="AJ65" i="15"/>
  <c r="AI65" i="15"/>
  <c r="AH65" i="15"/>
  <c r="AG65" i="15"/>
  <c r="AF65" i="15"/>
  <c r="AE65" i="15"/>
  <c r="AD65" i="15"/>
  <c r="AC65" i="15"/>
  <c r="AB65" i="15"/>
  <c r="AA65" i="15"/>
  <c r="Z65" i="15"/>
  <c r="Y65" i="15"/>
  <c r="X65" i="15"/>
  <c r="W65" i="15"/>
  <c r="V65" i="15"/>
  <c r="U65" i="15"/>
  <c r="T65" i="15"/>
  <c r="S65" i="15"/>
  <c r="R65" i="15"/>
  <c r="Q65" i="15"/>
  <c r="P65" i="15"/>
  <c r="O65" i="15"/>
  <c r="N65" i="15"/>
  <c r="M65" i="15"/>
  <c r="L65" i="15"/>
  <c r="K65" i="15"/>
  <c r="J65" i="15"/>
  <c r="I65" i="15"/>
  <c r="H65" i="15"/>
  <c r="G65" i="15"/>
  <c r="F65" i="15"/>
  <c r="E65" i="15"/>
  <c r="D65" i="15"/>
  <c r="G78" i="18"/>
  <c r="E78" i="18"/>
  <c r="D78" i="18"/>
  <c r="G77" i="18"/>
  <c r="F77" i="18"/>
  <c r="E77" i="18"/>
  <c r="D77" i="18"/>
  <c r="O72" i="18"/>
  <c r="N72" i="18"/>
  <c r="M72" i="18"/>
  <c r="L72" i="18"/>
  <c r="K72" i="18"/>
  <c r="J72" i="18"/>
  <c r="I72" i="18"/>
  <c r="H72" i="18"/>
  <c r="G72" i="18"/>
  <c r="F72" i="18"/>
  <c r="E72" i="18"/>
  <c r="D72" i="18"/>
  <c r="O71" i="18"/>
  <c r="N71" i="18"/>
  <c r="M71" i="18"/>
  <c r="L71" i="18"/>
  <c r="K71" i="18"/>
  <c r="J71" i="18"/>
  <c r="I71" i="18"/>
  <c r="H71" i="18"/>
  <c r="G71" i="18"/>
  <c r="F71" i="18"/>
  <c r="E71" i="18"/>
  <c r="D71" i="18"/>
  <c r="BN66" i="18"/>
  <c r="BM66" i="18"/>
  <c r="BL66" i="18"/>
  <c r="BK66" i="18"/>
  <c r="BJ66" i="18"/>
  <c r="BI66" i="18"/>
  <c r="BH66" i="18"/>
  <c r="BG66" i="18"/>
  <c r="BF66" i="18"/>
  <c r="BE66" i="18"/>
  <c r="BD66" i="18"/>
  <c r="BC66" i="18"/>
  <c r="BB66" i="18"/>
  <c r="BA66" i="18"/>
  <c r="AZ66" i="18"/>
  <c r="AY66" i="18"/>
  <c r="AX66" i="18"/>
  <c r="AW66" i="18"/>
  <c r="AV66" i="18"/>
  <c r="AU66" i="18"/>
  <c r="AT66" i="18"/>
  <c r="AS66" i="18"/>
  <c r="AR66" i="18"/>
  <c r="AQ66" i="18"/>
  <c r="AP66" i="18"/>
  <c r="AO66" i="18"/>
  <c r="AN66" i="18"/>
  <c r="AM66" i="18"/>
  <c r="AL66" i="18"/>
  <c r="AK66" i="18"/>
  <c r="AJ66" i="18"/>
  <c r="AI66" i="18"/>
  <c r="AH66" i="18"/>
  <c r="AG66" i="18"/>
  <c r="AF66" i="18"/>
  <c r="AE66" i="18"/>
  <c r="AD66" i="18"/>
  <c r="AC66" i="18"/>
  <c r="AB66" i="18"/>
  <c r="AA66" i="18"/>
  <c r="Z66" i="18"/>
  <c r="Y66" i="18"/>
  <c r="X66" i="18"/>
  <c r="W66" i="18"/>
  <c r="V66" i="18"/>
  <c r="U66" i="18"/>
  <c r="T66" i="18"/>
  <c r="S66" i="18"/>
  <c r="R66" i="18"/>
  <c r="Q66" i="18"/>
  <c r="P66" i="18"/>
  <c r="O66" i="18"/>
  <c r="N66" i="18"/>
  <c r="M66" i="18"/>
  <c r="L66" i="18"/>
  <c r="K66" i="18"/>
  <c r="J66" i="18"/>
  <c r="I66" i="18"/>
  <c r="H66" i="18"/>
  <c r="G66" i="18"/>
  <c r="F66" i="18"/>
  <c r="E66" i="18"/>
  <c r="D66" i="18"/>
  <c r="BN65" i="18"/>
  <c r="BM65" i="18"/>
  <c r="BL65" i="18"/>
  <c r="BK65" i="18"/>
  <c r="BJ65" i="18"/>
  <c r="BI65" i="18"/>
  <c r="BH65" i="18"/>
  <c r="BG65" i="18"/>
  <c r="BF65" i="18"/>
  <c r="BE65" i="18"/>
  <c r="BD65" i="18"/>
  <c r="BC65" i="18"/>
  <c r="BB65" i="18"/>
  <c r="BA65" i="18"/>
  <c r="AZ65" i="18"/>
  <c r="AY65" i="18"/>
  <c r="AX65" i="18"/>
  <c r="AW65" i="18"/>
  <c r="AV65" i="18"/>
  <c r="AU65" i="18"/>
  <c r="AT65" i="18"/>
  <c r="AS65" i="18"/>
  <c r="AR65" i="18"/>
  <c r="AQ65" i="18"/>
  <c r="AP65" i="18"/>
  <c r="AO65" i="18"/>
  <c r="AN65" i="18"/>
  <c r="AM65" i="18"/>
  <c r="AL65" i="18"/>
  <c r="AK65" i="18"/>
  <c r="AJ65" i="18"/>
  <c r="AI65" i="18"/>
  <c r="AH65" i="18"/>
  <c r="AG65" i="18"/>
  <c r="AF65" i="18"/>
  <c r="AE65" i="18"/>
  <c r="AD65" i="18"/>
  <c r="AC65" i="18"/>
  <c r="AB65" i="18"/>
  <c r="AA65" i="18"/>
  <c r="Z65" i="18"/>
  <c r="Y65" i="18"/>
  <c r="X65" i="18"/>
  <c r="W65" i="18"/>
  <c r="V65" i="18"/>
  <c r="U65" i="18"/>
  <c r="T65" i="18"/>
  <c r="S65" i="18"/>
  <c r="R65" i="18"/>
  <c r="Q65" i="18"/>
  <c r="P65" i="18"/>
  <c r="O65" i="18"/>
  <c r="N65" i="18"/>
  <c r="M65" i="18"/>
  <c r="L65" i="18"/>
  <c r="K65" i="18"/>
  <c r="J65" i="18"/>
  <c r="I65" i="18"/>
  <c r="H65" i="18"/>
  <c r="D65" i="18"/>
  <c r="G65" i="18"/>
  <c r="F65" i="18"/>
  <c r="E65" i="18"/>
  <c r="E76" i="18"/>
  <c r="D76" i="18"/>
  <c r="E75" i="18"/>
  <c r="D75" i="18"/>
  <c r="O70" i="18"/>
  <c r="N70" i="18"/>
  <c r="M70" i="18"/>
  <c r="L70" i="18"/>
  <c r="K70" i="18"/>
  <c r="J70" i="18"/>
  <c r="I70" i="18"/>
  <c r="H70" i="18"/>
  <c r="G70" i="18"/>
  <c r="F70" i="18"/>
  <c r="E70" i="18"/>
  <c r="D70" i="18"/>
  <c r="O69" i="18"/>
  <c r="N69" i="18"/>
  <c r="M69" i="18"/>
  <c r="L69" i="18"/>
  <c r="K69" i="18"/>
  <c r="J69" i="18"/>
  <c r="I69" i="18"/>
  <c r="H69" i="18"/>
  <c r="G69" i="18"/>
  <c r="F69" i="18"/>
  <c r="E69" i="18"/>
  <c r="D69" i="18"/>
  <c r="BN64" i="18"/>
  <c r="BM64" i="18"/>
  <c r="BL64" i="18"/>
  <c r="BK64" i="18"/>
  <c r="BJ64" i="18"/>
  <c r="BI64" i="18"/>
  <c r="BH64" i="18"/>
  <c r="BG64" i="18"/>
  <c r="BF64" i="18"/>
  <c r="BE64" i="18"/>
  <c r="BD64" i="18"/>
  <c r="BC64" i="18"/>
  <c r="BB64" i="18"/>
  <c r="BA64" i="18"/>
  <c r="AZ64" i="18"/>
  <c r="AY64" i="18"/>
  <c r="AX64" i="18"/>
  <c r="AW64" i="18"/>
  <c r="AV64" i="18"/>
  <c r="AU64" i="18"/>
  <c r="AT64" i="18"/>
  <c r="AS64" i="18"/>
  <c r="AR64" i="18"/>
  <c r="AQ64" i="18"/>
  <c r="AP64" i="18"/>
  <c r="AO64" i="18"/>
  <c r="AN64" i="18"/>
  <c r="AM64" i="18"/>
  <c r="AL64" i="18"/>
  <c r="AK64" i="18"/>
  <c r="AJ64" i="18"/>
  <c r="AI64" i="18"/>
  <c r="AH64" i="18"/>
  <c r="AG64" i="18"/>
  <c r="AF64" i="18"/>
  <c r="AE64" i="18"/>
  <c r="AD64" i="18"/>
  <c r="AC64" i="18"/>
  <c r="AB64" i="18"/>
  <c r="AA64" i="18"/>
  <c r="Z64" i="18"/>
  <c r="Y64" i="18"/>
  <c r="X64" i="18"/>
  <c r="W64" i="18"/>
  <c r="V64" i="18"/>
  <c r="U64" i="18"/>
  <c r="T64" i="18"/>
  <c r="S64" i="18"/>
  <c r="R64" i="18"/>
  <c r="Q64" i="18"/>
  <c r="P64" i="18"/>
  <c r="O64" i="18"/>
  <c r="N64" i="18"/>
  <c r="M64" i="18"/>
  <c r="L64" i="18"/>
  <c r="K64" i="18"/>
  <c r="J64" i="18"/>
  <c r="I64" i="18"/>
  <c r="H64" i="18"/>
  <c r="G64" i="18"/>
  <c r="F64" i="18"/>
  <c r="E64" i="18"/>
  <c r="D64" i="18"/>
  <c r="BN63" i="18"/>
  <c r="BM63" i="18"/>
  <c r="BL63" i="18"/>
  <c r="BK63" i="18"/>
  <c r="BJ63" i="18"/>
  <c r="BI63" i="18"/>
  <c r="BH63" i="18"/>
  <c r="BG63" i="18"/>
  <c r="BF63" i="18"/>
  <c r="BE63" i="18"/>
  <c r="BD63" i="18"/>
  <c r="BC63" i="18"/>
  <c r="BB63" i="18"/>
  <c r="BA63" i="18"/>
  <c r="AZ63" i="18"/>
  <c r="AY63" i="18"/>
  <c r="AX63" i="18"/>
  <c r="AW63" i="18"/>
  <c r="AV63" i="18"/>
  <c r="AU63" i="18"/>
  <c r="AT63" i="18"/>
  <c r="AS63" i="18"/>
  <c r="AR63" i="18"/>
  <c r="AQ63" i="18"/>
  <c r="AP63" i="18"/>
  <c r="AO63" i="18"/>
  <c r="AN63" i="18"/>
  <c r="AM63" i="18"/>
  <c r="AL63" i="18"/>
  <c r="AK63" i="18"/>
  <c r="AJ63" i="18"/>
  <c r="AI63" i="18"/>
  <c r="AH63" i="18"/>
  <c r="AG63" i="18"/>
  <c r="AF63" i="18"/>
  <c r="AE63" i="18"/>
  <c r="AD63" i="18"/>
  <c r="AC63" i="18"/>
  <c r="AB63" i="18"/>
  <c r="AA63" i="18"/>
  <c r="Z63" i="18"/>
  <c r="Y63" i="18"/>
  <c r="X63" i="18"/>
  <c r="W63" i="18"/>
  <c r="V63" i="18"/>
  <c r="U63" i="18"/>
  <c r="T63" i="18"/>
  <c r="S63" i="18"/>
  <c r="R63" i="18"/>
  <c r="Q63" i="18"/>
  <c r="P63" i="18"/>
  <c r="O63" i="18"/>
  <c r="N63" i="18"/>
  <c r="M63" i="18"/>
  <c r="L63" i="18"/>
  <c r="K63" i="18"/>
  <c r="J63" i="18"/>
  <c r="I63" i="18"/>
  <c r="H63" i="18"/>
  <c r="G63" i="18"/>
  <c r="F63" i="18"/>
  <c r="E63" i="18"/>
  <c r="D63" i="18"/>
  <c r="E76" i="17"/>
  <c r="D76" i="17"/>
  <c r="G75" i="17"/>
  <c r="E75" i="17"/>
  <c r="D75" i="17"/>
  <c r="O70" i="17"/>
  <c r="N70" i="17"/>
  <c r="M70" i="17"/>
  <c r="L70" i="17"/>
  <c r="K70" i="17"/>
  <c r="J70" i="17"/>
  <c r="I70" i="17"/>
  <c r="H70" i="17"/>
  <c r="G70" i="17"/>
  <c r="F70" i="17"/>
  <c r="E70" i="17"/>
  <c r="D70" i="17"/>
  <c r="O69" i="17"/>
  <c r="N69" i="17"/>
  <c r="M69" i="17"/>
  <c r="L69" i="17"/>
  <c r="K69" i="17"/>
  <c r="J69" i="17"/>
  <c r="I69" i="17"/>
  <c r="H69" i="17"/>
  <c r="G69" i="17"/>
  <c r="F69" i="17"/>
  <c r="E69" i="17"/>
  <c r="D69" i="17"/>
  <c r="BN64" i="17"/>
  <c r="BM64" i="17"/>
  <c r="BL64" i="17"/>
  <c r="BK64" i="17"/>
  <c r="BJ64" i="17"/>
  <c r="BI64" i="17"/>
  <c r="BH64" i="17"/>
  <c r="BG64" i="17"/>
  <c r="BF64" i="17"/>
  <c r="BE64" i="17"/>
  <c r="BD64" i="17"/>
  <c r="BC64" i="17"/>
  <c r="BB64" i="17"/>
  <c r="BA64" i="17"/>
  <c r="AZ64" i="17"/>
  <c r="AY64" i="17"/>
  <c r="AX64" i="17"/>
  <c r="AW64" i="17"/>
  <c r="AV64" i="17"/>
  <c r="AU64" i="17"/>
  <c r="AT64" i="17"/>
  <c r="AS64" i="17"/>
  <c r="AR64" i="17"/>
  <c r="AQ64" i="17"/>
  <c r="AP64" i="17"/>
  <c r="AO64" i="17"/>
  <c r="AN64" i="17"/>
  <c r="AM64" i="17"/>
  <c r="AL64" i="17"/>
  <c r="AK64" i="17"/>
  <c r="AJ64" i="17"/>
  <c r="AI64" i="17"/>
  <c r="AH64" i="17"/>
  <c r="AG64" i="17"/>
  <c r="AF64" i="17"/>
  <c r="AE64" i="17"/>
  <c r="AD64" i="17"/>
  <c r="AC64" i="17"/>
  <c r="AB64" i="17"/>
  <c r="AA64" i="17"/>
  <c r="Z64" i="17"/>
  <c r="Y64" i="17"/>
  <c r="X64" i="17"/>
  <c r="W64" i="17"/>
  <c r="V64" i="17"/>
  <c r="U64" i="17"/>
  <c r="T64" i="17"/>
  <c r="S64" i="17"/>
  <c r="R64" i="17"/>
  <c r="Q64" i="17"/>
  <c r="P64" i="17"/>
  <c r="O64" i="17"/>
  <c r="N64" i="17"/>
  <c r="M64" i="17"/>
  <c r="L64" i="17"/>
  <c r="K64" i="17"/>
  <c r="J64" i="17"/>
  <c r="I64" i="17"/>
  <c r="H64" i="17"/>
  <c r="G64" i="17"/>
  <c r="F64" i="17"/>
  <c r="E64" i="17"/>
  <c r="D64" i="17"/>
  <c r="BN63" i="17"/>
  <c r="BM63" i="17"/>
  <c r="BL63" i="17"/>
  <c r="BK63" i="17"/>
  <c r="BJ63" i="17"/>
  <c r="BI63" i="17"/>
  <c r="BH63" i="17"/>
  <c r="BG63" i="17"/>
  <c r="BF63" i="17"/>
  <c r="BE63" i="17"/>
  <c r="BD63" i="17"/>
  <c r="BC63" i="17"/>
  <c r="BB63" i="17"/>
  <c r="BA63" i="17"/>
  <c r="AZ63" i="17"/>
  <c r="AY63" i="17"/>
  <c r="AX63" i="17"/>
  <c r="AW63" i="17"/>
  <c r="AV63" i="17"/>
  <c r="AU63" i="17"/>
  <c r="AT63" i="17"/>
  <c r="AS63" i="17"/>
  <c r="AR63" i="17"/>
  <c r="AQ63" i="17"/>
  <c r="AP63" i="17"/>
  <c r="AO63" i="17"/>
  <c r="AN63" i="17"/>
  <c r="AM63" i="17"/>
  <c r="AL63" i="17"/>
  <c r="AK63" i="17"/>
  <c r="AJ63" i="17"/>
  <c r="AI63" i="17"/>
  <c r="AH63" i="17"/>
  <c r="AG63" i="17"/>
  <c r="AF63" i="17"/>
  <c r="AE63" i="17"/>
  <c r="AD63" i="17"/>
  <c r="AC63" i="17"/>
  <c r="AB63" i="17"/>
  <c r="AA63" i="17"/>
  <c r="Z63" i="17"/>
  <c r="Y63" i="17"/>
  <c r="X63" i="17"/>
  <c r="W63" i="17"/>
  <c r="V63" i="17"/>
  <c r="U63" i="17"/>
  <c r="T63" i="17"/>
  <c r="S63" i="17"/>
  <c r="R63" i="17"/>
  <c r="Q63" i="17"/>
  <c r="P63" i="17"/>
  <c r="O63" i="17"/>
  <c r="N63" i="17"/>
  <c r="M63" i="17"/>
  <c r="L63" i="17"/>
  <c r="K63" i="17"/>
  <c r="J63" i="17"/>
  <c r="I63" i="17"/>
  <c r="H63" i="17"/>
  <c r="G63" i="17"/>
  <c r="F63" i="17"/>
  <c r="E63" i="17"/>
  <c r="D63" i="17"/>
  <c r="G78" i="17"/>
  <c r="E78" i="17"/>
  <c r="D78" i="17"/>
  <c r="G77" i="17"/>
  <c r="F77" i="17"/>
  <c r="E77" i="17"/>
  <c r="D77" i="17"/>
  <c r="O72" i="17"/>
  <c r="N72" i="17"/>
  <c r="M72" i="17"/>
  <c r="L72" i="17"/>
  <c r="K72" i="17"/>
  <c r="J72" i="17"/>
  <c r="I72" i="17"/>
  <c r="H72" i="17"/>
  <c r="G72" i="17"/>
  <c r="F72" i="17"/>
  <c r="E72" i="17"/>
  <c r="D72" i="17"/>
  <c r="O71" i="17"/>
  <c r="N71" i="17"/>
  <c r="M71" i="17"/>
  <c r="L71" i="17"/>
  <c r="K71" i="17"/>
  <c r="J71" i="17"/>
  <c r="I71" i="17"/>
  <c r="H71" i="17"/>
  <c r="G71" i="17"/>
  <c r="F71" i="17"/>
  <c r="E71" i="17"/>
  <c r="D71" i="17"/>
  <c r="BN66" i="17"/>
  <c r="BM66" i="17"/>
  <c r="BL66" i="17"/>
  <c r="BK66" i="17"/>
  <c r="BJ66" i="17"/>
  <c r="BI66" i="17"/>
  <c r="BH66" i="17"/>
  <c r="BG66" i="17"/>
  <c r="BF66" i="17"/>
  <c r="BE66" i="17"/>
  <c r="BD66" i="17"/>
  <c r="BC66" i="17"/>
  <c r="BB66" i="17"/>
  <c r="BA66" i="17"/>
  <c r="AZ66" i="17"/>
  <c r="AY66" i="17"/>
  <c r="AX66" i="17"/>
  <c r="AW66" i="17"/>
  <c r="AV66" i="17"/>
  <c r="AU66" i="17"/>
  <c r="AT66" i="17"/>
  <c r="AS66" i="17"/>
  <c r="AR66" i="17"/>
  <c r="AQ66" i="17"/>
  <c r="AP66" i="17"/>
  <c r="AO66" i="17"/>
  <c r="AN66" i="17"/>
  <c r="AM66" i="17"/>
  <c r="AL66" i="17"/>
  <c r="AK66" i="17"/>
  <c r="AJ66" i="17"/>
  <c r="AI66" i="17"/>
  <c r="AH66" i="17"/>
  <c r="AG66" i="17"/>
  <c r="AF66" i="17"/>
  <c r="AE66" i="17"/>
  <c r="AD66" i="17"/>
  <c r="AC66" i="17"/>
  <c r="AB66" i="17"/>
  <c r="AA66" i="17"/>
  <c r="Z66" i="17"/>
  <c r="Y66" i="17"/>
  <c r="X66" i="17"/>
  <c r="W66" i="17"/>
  <c r="V66" i="17"/>
  <c r="U66" i="17"/>
  <c r="T66" i="17"/>
  <c r="S66" i="17"/>
  <c r="R66" i="17"/>
  <c r="Q66" i="17"/>
  <c r="P66" i="17"/>
  <c r="O66" i="17"/>
  <c r="N66" i="17"/>
  <c r="M66" i="17"/>
  <c r="L66" i="17"/>
  <c r="K66" i="17"/>
  <c r="J66" i="17"/>
  <c r="I66" i="17"/>
  <c r="H66" i="17"/>
  <c r="G66" i="17"/>
  <c r="F66" i="17"/>
  <c r="E66" i="17"/>
  <c r="D66" i="17"/>
  <c r="BN65" i="17"/>
  <c r="BM65" i="17"/>
  <c r="BL65" i="17"/>
  <c r="BK65" i="17"/>
  <c r="BJ65" i="17"/>
  <c r="BI65" i="17"/>
  <c r="BH65" i="17"/>
  <c r="BG65" i="17"/>
  <c r="BF65" i="17"/>
  <c r="BE65" i="17"/>
  <c r="BD65" i="17"/>
  <c r="BC65" i="17"/>
  <c r="BB65" i="17"/>
  <c r="BA65" i="17"/>
  <c r="AZ65" i="17"/>
  <c r="AY65" i="17"/>
  <c r="AX65" i="17"/>
  <c r="AW65" i="17"/>
  <c r="AV65" i="17"/>
  <c r="AU65" i="17"/>
  <c r="AT65" i="17"/>
  <c r="AS65" i="17"/>
  <c r="AR65" i="17"/>
  <c r="AQ65" i="17"/>
  <c r="AP65" i="17"/>
  <c r="AO65" i="17"/>
  <c r="AN65" i="17"/>
  <c r="AM65" i="17"/>
  <c r="AL65" i="17"/>
  <c r="AK65" i="17"/>
  <c r="AJ65" i="17"/>
  <c r="AI65" i="17"/>
  <c r="AH65" i="17"/>
  <c r="AG65" i="17"/>
  <c r="AF65" i="17"/>
  <c r="AE65" i="17"/>
  <c r="AD65" i="17"/>
  <c r="AC65" i="17"/>
  <c r="AB65" i="17"/>
  <c r="AA65" i="17"/>
  <c r="Z65" i="17"/>
  <c r="Y65" i="17"/>
  <c r="X65" i="17"/>
  <c r="W65" i="17"/>
  <c r="V65" i="17"/>
  <c r="U65" i="17"/>
  <c r="T65" i="17"/>
  <c r="S65" i="17"/>
  <c r="R65" i="17"/>
  <c r="Q65" i="17"/>
  <c r="P65" i="17"/>
  <c r="O65" i="17"/>
  <c r="N65" i="17"/>
  <c r="M65" i="17"/>
  <c r="L65" i="17"/>
  <c r="K65" i="17"/>
  <c r="J65" i="17"/>
  <c r="I65" i="17"/>
  <c r="H65" i="17"/>
  <c r="G65" i="17"/>
  <c r="F65" i="17"/>
  <c r="E65" i="17"/>
  <c r="D65" i="17"/>
  <c r="G78" i="23"/>
  <c r="F78" i="23"/>
  <c r="E78" i="23"/>
  <c r="D78" i="23"/>
  <c r="F77" i="23"/>
  <c r="E77" i="23"/>
  <c r="D77" i="23"/>
  <c r="E76" i="23"/>
  <c r="D76" i="23"/>
  <c r="G75" i="23"/>
  <c r="E75" i="23"/>
  <c r="D75" i="23"/>
  <c r="O72" i="23"/>
  <c r="N72" i="23"/>
  <c r="M72" i="23"/>
  <c r="L72" i="23"/>
  <c r="K72" i="23"/>
  <c r="J72" i="23"/>
  <c r="I72" i="23"/>
  <c r="H72" i="23"/>
  <c r="G72" i="23"/>
  <c r="F72" i="23"/>
  <c r="E72" i="23"/>
  <c r="D72" i="23"/>
  <c r="O71" i="23"/>
  <c r="N71" i="23"/>
  <c r="M71" i="23"/>
  <c r="L71" i="23"/>
  <c r="K71" i="23"/>
  <c r="J71" i="23"/>
  <c r="I71" i="23"/>
  <c r="H71" i="23"/>
  <c r="G71" i="23"/>
  <c r="F71" i="23"/>
  <c r="E71" i="23"/>
  <c r="D71" i="23"/>
  <c r="O70" i="23"/>
  <c r="N70" i="23"/>
  <c r="M70" i="23"/>
  <c r="L70" i="23"/>
  <c r="K70" i="23"/>
  <c r="J70" i="23"/>
  <c r="I70" i="23"/>
  <c r="H70" i="23"/>
  <c r="G70" i="23"/>
  <c r="F70" i="23"/>
  <c r="E70" i="23"/>
  <c r="D70" i="23"/>
  <c r="O69" i="23"/>
  <c r="N69" i="23"/>
  <c r="M69" i="23"/>
  <c r="L69" i="23"/>
  <c r="K69" i="23"/>
  <c r="J69" i="23"/>
  <c r="I69" i="23"/>
  <c r="H69" i="23"/>
  <c r="G69" i="23"/>
  <c r="F69" i="23"/>
  <c r="E69" i="23"/>
  <c r="D69" i="23"/>
  <c r="BN66" i="23"/>
  <c r="BM66" i="23"/>
  <c r="BL66" i="23"/>
  <c r="BK66" i="23"/>
  <c r="BJ66" i="23"/>
  <c r="BI66" i="23"/>
  <c r="BH66" i="23"/>
  <c r="BG66" i="23"/>
  <c r="BF66" i="23"/>
  <c r="BE66" i="23"/>
  <c r="BD66" i="23"/>
  <c r="BC66" i="23"/>
  <c r="BB66" i="23"/>
  <c r="BA66" i="23"/>
  <c r="AZ66" i="23"/>
  <c r="AY66" i="23"/>
  <c r="AX66" i="23"/>
  <c r="AW66" i="23"/>
  <c r="AV66" i="23"/>
  <c r="AU66" i="23"/>
  <c r="AT66" i="23"/>
  <c r="AS66" i="23"/>
  <c r="AR66" i="23"/>
  <c r="AQ66" i="23"/>
  <c r="AP66" i="23"/>
  <c r="AO66" i="23"/>
  <c r="AN66" i="23"/>
  <c r="AM66" i="23"/>
  <c r="AL66" i="23"/>
  <c r="AK66" i="23"/>
  <c r="AJ66" i="23"/>
  <c r="AI66" i="23"/>
  <c r="AH66" i="23"/>
  <c r="AG66" i="23"/>
  <c r="AF66" i="23"/>
  <c r="AE66" i="23"/>
  <c r="AD66" i="23"/>
  <c r="AC66" i="23"/>
  <c r="AB66" i="23"/>
  <c r="AA66" i="23"/>
  <c r="Z66" i="23"/>
  <c r="Y66" i="23"/>
  <c r="X66" i="23"/>
  <c r="W66" i="23"/>
  <c r="V66" i="23"/>
  <c r="U66" i="23"/>
  <c r="T66" i="23"/>
  <c r="S66" i="23"/>
  <c r="R66" i="23"/>
  <c r="Q66" i="23"/>
  <c r="P66" i="23"/>
  <c r="O66" i="23"/>
  <c r="N66" i="23"/>
  <c r="M66" i="23"/>
  <c r="L66" i="23"/>
  <c r="K66" i="23"/>
  <c r="J66" i="23"/>
  <c r="I66" i="23"/>
  <c r="H66" i="23"/>
  <c r="G66" i="23"/>
  <c r="F66" i="23"/>
  <c r="E66" i="23"/>
  <c r="D66" i="23"/>
  <c r="D65" i="23"/>
  <c r="BN65" i="23" l="1"/>
  <c r="BM65" i="23"/>
  <c r="BL65" i="23"/>
  <c r="BK65" i="23"/>
  <c r="BJ65" i="23"/>
  <c r="BI65" i="23"/>
  <c r="BH65" i="23"/>
  <c r="BG65" i="23"/>
  <c r="BF65" i="23"/>
  <c r="BE65" i="23"/>
  <c r="BD65" i="23"/>
  <c r="BC65" i="23"/>
  <c r="BB65" i="23"/>
  <c r="BA65" i="23"/>
  <c r="AZ65" i="23"/>
  <c r="AY65" i="23"/>
  <c r="AX65" i="23"/>
  <c r="AW65" i="23"/>
  <c r="AV65" i="23"/>
  <c r="AU65" i="23"/>
  <c r="AT65" i="23"/>
  <c r="AS65" i="23"/>
  <c r="AR65" i="23"/>
  <c r="AQ65" i="23"/>
  <c r="AP65" i="23"/>
  <c r="AO65" i="23"/>
  <c r="AN65" i="23"/>
  <c r="AM65" i="23"/>
  <c r="AL65" i="23"/>
  <c r="AK65" i="23"/>
  <c r="AJ65" i="23"/>
  <c r="AI65" i="23"/>
  <c r="AH65" i="23"/>
  <c r="AG65" i="23"/>
  <c r="AF65" i="23"/>
  <c r="AE65" i="23"/>
  <c r="AD65" i="23"/>
  <c r="AC65" i="23"/>
  <c r="AB65" i="23"/>
  <c r="AA65" i="23"/>
  <c r="Z65" i="23"/>
  <c r="Y65" i="23"/>
  <c r="X65" i="23"/>
  <c r="W65" i="23"/>
  <c r="V65" i="23"/>
  <c r="U65" i="23"/>
  <c r="T65" i="23"/>
  <c r="S65" i="23"/>
  <c r="R65" i="23"/>
  <c r="Q65" i="23"/>
  <c r="P65" i="23"/>
  <c r="O65" i="23"/>
  <c r="N65" i="23"/>
  <c r="M65" i="23"/>
  <c r="L65" i="23"/>
  <c r="K65" i="23"/>
  <c r="J65" i="23"/>
  <c r="I65" i="23"/>
  <c r="H65" i="23"/>
  <c r="G65" i="23"/>
  <c r="F65" i="23"/>
  <c r="E65" i="23"/>
  <c r="BN64" i="23"/>
  <c r="BM64" i="23"/>
  <c r="BL64" i="23"/>
  <c r="BK64" i="23"/>
  <c r="BJ64" i="23"/>
  <c r="BI64" i="23"/>
  <c r="BH64" i="23"/>
  <c r="BG64" i="23"/>
  <c r="BF64" i="23"/>
  <c r="BE64" i="23"/>
  <c r="BD64" i="23"/>
  <c r="BC64" i="23"/>
  <c r="BB64" i="23"/>
  <c r="BA64" i="23"/>
  <c r="AZ64" i="23"/>
  <c r="AY64" i="23"/>
  <c r="AX64" i="23"/>
  <c r="AW64" i="23"/>
  <c r="AV64" i="23"/>
  <c r="AU64" i="23"/>
  <c r="AT64" i="23"/>
  <c r="AS64" i="23"/>
  <c r="AR64" i="23"/>
  <c r="AQ64" i="23"/>
  <c r="AP64" i="23"/>
  <c r="AO64" i="23"/>
  <c r="AN64" i="23"/>
  <c r="AM64" i="23"/>
  <c r="AL64" i="23"/>
  <c r="AK64" i="23"/>
  <c r="AJ64" i="23"/>
  <c r="AI64" i="23"/>
  <c r="AH64" i="23"/>
  <c r="AG64" i="23"/>
  <c r="AF64" i="23"/>
  <c r="AE64" i="23"/>
  <c r="AD64" i="23"/>
  <c r="AC64" i="23"/>
  <c r="AB64" i="23"/>
  <c r="AA64" i="23"/>
  <c r="Z64" i="23"/>
  <c r="Y64" i="23"/>
  <c r="X64" i="23"/>
  <c r="W64" i="23"/>
  <c r="V64" i="23"/>
  <c r="U64" i="23"/>
  <c r="T64" i="23"/>
  <c r="S64" i="23"/>
  <c r="R64" i="23"/>
  <c r="Q64" i="23"/>
  <c r="P64" i="23"/>
  <c r="O64" i="23"/>
  <c r="N64" i="23"/>
  <c r="G64" i="23"/>
  <c r="M64" i="23"/>
  <c r="L64" i="23"/>
  <c r="K64" i="23"/>
  <c r="J64" i="23"/>
  <c r="I64" i="23"/>
  <c r="H64" i="23"/>
  <c r="F64" i="23"/>
  <c r="E64" i="23"/>
  <c r="D64" i="23"/>
  <c r="BN63" i="23"/>
  <c r="BM63" i="23"/>
  <c r="BL63" i="23"/>
  <c r="BK63" i="23"/>
  <c r="BJ63" i="23"/>
  <c r="BI63" i="23"/>
  <c r="BH63" i="23"/>
  <c r="BG63" i="23"/>
  <c r="BF63" i="23"/>
  <c r="BE63" i="23"/>
  <c r="BD63" i="23"/>
  <c r="BC63" i="23"/>
  <c r="BB63" i="23"/>
  <c r="BA63" i="23"/>
  <c r="AZ63" i="23"/>
  <c r="AY63" i="23"/>
  <c r="AX63" i="23"/>
  <c r="AW63" i="23"/>
  <c r="AV63" i="23"/>
  <c r="AU63" i="23"/>
  <c r="AT63" i="23"/>
  <c r="AS63" i="23"/>
  <c r="AR63" i="23"/>
  <c r="AQ63" i="23"/>
  <c r="AP63" i="23"/>
  <c r="AO63" i="23"/>
  <c r="AN63" i="23"/>
  <c r="AM63" i="23"/>
  <c r="AL63" i="23"/>
  <c r="AK63" i="23"/>
  <c r="AJ63" i="23"/>
  <c r="AI63" i="23"/>
  <c r="AH63" i="23"/>
  <c r="AG63" i="23"/>
  <c r="AF63" i="23"/>
  <c r="AE63" i="23"/>
  <c r="AD63" i="23"/>
  <c r="AC63" i="23"/>
  <c r="AB63" i="23"/>
  <c r="AA63" i="23"/>
  <c r="Z63" i="23"/>
  <c r="Y63" i="23"/>
  <c r="X63" i="23"/>
  <c r="W63" i="23"/>
  <c r="V63" i="23"/>
  <c r="U63" i="23"/>
  <c r="T63" i="23"/>
  <c r="S63" i="23"/>
  <c r="R63" i="23"/>
  <c r="Q63" i="23"/>
  <c r="P63" i="23"/>
  <c r="O63" i="23"/>
  <c r="N63" i="23"/>
  <c r="M63" i="23"/>
  <c r="L63" i="23"/>
  <c r="K63" i="23"/>
  <c r="J63" i="23"/>
  <c r="I63" i="23"/>
  <c r="H63" i="23"/>
  <c r="G63" i="23"/>
  <c r="F63" i="23"/>
  <c r="E63" i="23"/>
  <c r="D63" i="23"/>
  <c r="AZ51" i="21" l="1"/>
  <c r="AZ52" i="21"/>
  <c r="AZ50" i="21"/>
  <c r="AZ49" i="21"/>
  <c r="AZ48" i="21"/>
  <c r="AZ47" i="21"/>
  <c r="AZ46" i="21"/>
  <c r="AZ45" i="21"/>
  <c r="AZ44" i="21"/>
  <c r="AZ43" i="21"/>
  <c r="AZ42" i="21"/>
  <c r="AZ41" i="21"/>
  <c r="AZ40" i="21"/>
  <c r="AZ39" i="21"/>
  <c r="AZ38" i="21"/>
  <c r="AZ37" i="21"/>
  <c r="AZ36" i="21"/>
  <c r="AZ35" i="21" l="1"/>
  <c r="AZ34" i="21"/>
  <c r="AZ33" i="21"/>
  <c r="G120" i="14" l="1"/>
  <c r="F120" i="14"/>
  <c r="E120" i="14"/>
  <c r="D120" i="14"/>
  <c r="G119" i="14"/>
  <c r="F119" i="14"/>
  <c r="E119" i="14"/>
  <c r="D119" i="14"/>
  <c r="G118" i="14"/>
  <c r="F118" i="14"/>
  <c r="E118" i="14"/>
  <c r="D118" i="14"/>
  <c r="D118" i="15"/>
  <c r="G120" i="15"/>
  <c r="F120" i="15"/>
  <c r="E120" i="15"/>
  <c r="D120" i="15"/>
  <c r="G119" i="15"/>
  <c r="F119" i="15"/>
  <c r="E119" i="15"/>
  <c r="D119" i="15"/>
  <c r="G118" i="15"/>
  <c r="F118" i="15"/>
  <c r="E118" i="15"/>
  <c r="G120" i="18"/>
  <c r="F120" i="18"/>
  <c r="E120" i="18"/>
  <c r="D120" i="18"/>
  <c r="G119" i="18"/>
  <c r="F119" i="18"/>
  <c r="E119" i="18"/>
  <c r="D119" i="18"/>
  <c r="G118" i="18"/>
  <c r="F118" i="18"/>
  <c r="E118" i="18"/>
  <c r="D118" i="18"/>
  <c r="G120" i="17"/>
  <c r="F120" i="17"/>
  <c r="E120" i="17"/>
  <c r="D120" i="17"/>
  <c r="G119" i="17"/>
  <c r="F119" i="17"/>
  <c r="E119" i="17"/>
  <c r="D119" i="17"/>
  <c r="G118" i="17"/>
  <c r="F118" i="17"/>
  <c r="E118" i="17"/>
  <c r="D118" i="17"/>
  <c r="G120" i="23"/>
  <c r="G119" i="23"/>
  <c r="G118" i="23"/>
  <c r="F120" i="23"/>
  <c r="E120" i="23"/>
  <c r="D120" i="23"/>
  <c r="F119" i="23"/>
  <c r="E119" i="23"/>
  <c r="D119" i="23"/>
  <c r="F118" i="23"/>
  <c r="E118" i="23"/>
  <c r="D118" i="23"/>
  <c r="D17" i="23" l="1"/>
  <c r="K19" i="23"/>
  <c r="J19" i="23"/>
  <c r="I19" i="23"/>
  <c r="H19" i="23"/>
  <c r="G19" i="23"/>
  <c r="F19" i="23"/>
  <c r="E19" i="23"/>
  <c r="D19" i="23"/>
  <c r="K18" i="23"/>
  <c r="J18" i="23"/>
  <c r="I18" i="23"/>
  <c r="H18" i="23"/>
  <c r="G18" i="23"/>
  <c r="F18" i="23"/>
  <c r="E18" i="23"/>
  <c r="D18" i="23"/>
  <c r="J17" i="23"/>
  <c r="I17" i="23"/>
  <c r="H17" i="23"/>
  <c r="G17" i="23"/>
  <c r="F17" i="23"/>
  <c r="E17" i="23"/>
  <c r="K50" i="14" l="1"/>
  <c r="J50" i="14"/>
  <c r="I50" i="14"/>
  <c r="H50" i="14"/>
  <c r="G50" i="14"/>
  <c r="F50" i="14"/>
  <c r="E50" i="14"/>
  <c r="D50" i="14"/>
  <c r="K49" i="14"/>
  <c r="J49" i="14"/>
  <c r="I49" i="14"/>
  <c r="H49" i="14"/>
  <c r="G49" i="14"/>
  <c r="F49" i="14"/>
  <c r="E49" i="14"/>
  <c r="D49" i="14"/>
  <c r="K48" i="14"/>
  <c r="J48" i="14"/>
  <c r="I48" i="14"/>
  <c r="H48" i="14"/>
  <c r="G48" i="14"/>
  <c r="F48" i="14"/>
  <c r="E48" i="14"/>
  <c r="D48" i="14"/>
  <c r="K47" i="14"/>
  <c r="K59" i="14" s="1"/>
  <c r="J47" i="14"/>
  <c r="J59" i="14" s="1"/>
  <c r="I47" i="14"/>
  <c r="I59" i="14" s="1"/>
  <c r="H47" i="14"/>
  <c r="H59" i="14" s="1"/>
  <c r="G47" i="14"/>
  <c r="F47" i="14"/>
  <c r="E47" i="14"/>
  <c r="E59" i="14" s="1"/>
  <c r="D47" i="14"/>
  <c r="D59" i="14" s="1"/>
  <c r="K46" i="14"/>
  <c r="K58" i="14" s="1"/>
  <c r="J46" i="14"/>
  <c r="J58" i="14" s="1"/>
  <c r="I46" i="14"/>
  <c r="I58" i="14" s="1"/>
  <c r="H46" i="14"/>
  <c r="G46" i="14"/>
  <c r="G58" i="14" s="1"/>
  <c r="F46" i="14"/>
  <c r="E46" i="14"/>
  <c r="E58" i="14" s="1"/>
  <c r="D46" i="14"/>
  <c r="D58" i="14" s="1"/>
  <c r="K45" i="14"/>
  <c r="K57" i="14" s="1"/>
  <c r="J45" i="14"/>
  <c r="J57" i="14" s="1"/>
  <c r="I45" i="14"/>
  <c r="I57" i="14" s="1"/>
  <c r="H45" i="14"/>
  <c r="H57" i="14" s="1"/>
  <c r="G45" i="14"/>
  <c r="F45" i="14"/>
  <c r="E45" i="14"/>
  <c r="E57" i="14" s="1"/>
  <c r="D45" i="14"/>
  <c r="K44" i="14"/>
  <c r="J44" i="14"/>
  <c r="I44" i="14"/>
  <c r="H44" i="14"/>
  <c r="G44" i="14"/>
  <c r="F44" i="14"/>
  <c r="E44" i="14"/>
  <c r="D44" i="14"/>
  <c r="K43" i="14"/>
  <c r="J43" i="14"/>
  <c r="I43" i="14"/>
  <c r="H43" i="14"/>
  <c r="G43" i="14"/>
  <c r="F43" i="14"/>
  <c r="E43" i="14"/>
  <c r="D43" i="14"/>
  <c r="K42" i="14"/>
  <c r="J42" i="14"/>
  <c r="I42" i="14"/>
  <c r="H42" i="14"/>
  <c r="G42" i="14"/>
  <c r="F42" i="14"/>
  <c r="E42" i="14"/>
  <c r="D42" i="14"/>
  <c r="K41" i="14"/>
  <c r="J41" i="14"/>
  <c r="I41" i="14"/>
  <c r="H41" i="14"/>
  <c r="G41" i="14"/>
  <c r="F41" i="14"/>
  <c r="E41" i="14"/>
  <c r="D41" i="14"/>
  <c r="K40" i="14"/>
  <c r="J40" i="14"/>
  <c r="I40" i="14"/>
  <c r="H40" i="14"/>
  <c r="G40" i="14"/>
  <c r="F40" i="14"/>
  <c r="E40" i="14"/>
  <c r="D40" i="14"/>
  <c r="K39" i="14"/>
  <c r="J39" i="14"/>
  <c r="I39" i="14"/>
  <c r="H39" i="14"/>
  <c r="G39" i="14"/>
  <c r="F39" i="14"/>
  <c r="E39" i="14"/>
  <c r="D39" i="14"/>
  <c r="K38" i="14"/>
  <c r="K56" i="14" s="1"/>
  <c r="J38" i="14"/>
  <c r="I38" i="14"/>
  <c r="I56" i="14" s="1"/>
  <c r="H38" i="14"/>
  <c r="G38" i="14"/>
  <c r="F38" i="14"/>
  <c r="E38" i="14"/>
  <c r="D38" i="14"/>
  <c r="K37" i="14"/>
  <c r="K55" i="14" s="1"/>
  <c r="J37" i="14"/>
  <c r="J55" i="14" s="1"/>
  <c r="I37" i="14"/>
  <c r="I55" i="14" s="1"/>
  <c r="H37" i="14"/>
  <c r="G37" i="14"/>
  <c r="F37" i="14"/>
  <c r="E37" i="14"/>
  <c r="D37" i="14"/>
  <c r="K36" i="14"/>
  <c r="J36" i="14"/>
  <c r="I36" i="14"/>
  <c r="H36" i="14"/>
  <c r="G36" i="14"/>
  <c r="F36" i="14"/>
  <c r="E36" i="14"/>
  <c r="D36" i="14"/>
  <c r="K35" i="14"/>
  <c r="J35" i="14"/>
  <c r="I35" i="14"/>
  <c r="H35" i="14"/>
  <c r="G35" i="14"/>
  <c r="F35" i="14"/>
  <c r="E35" i="14"/>
  <c r="D35" i="14"/>
  <c r="K34" i="14"/>
  <c r="J34" i="14"/>
  <c r="I34" i="14"/>
  <c r="H34" i="14"/>
  <c r="G34" i="14"/>
  <c r="F34" i="14"/>
  <c r="E34" i="14"/>
  <c r="D34" i="14"/>
  <c r="K33" i="14"/>
  <c r="J33" i="14"/>
  <c r="I33" i="14"/>
  <c r="H33" i="14"/>
  <c r="G33" i="14"/>
  <c r="F33" i="14"/>
  <c r="E33" i="14"/>
  <c r="D33" i="14"/>
  <c r="K32" i="14"/>
  <c r="J32" i="14"/>
  <c r="I32" i="14"/>
  <c r="H32" i="14"/>
  <c r="G32" i="14"/>
  <c r="F32" i="14"/>
  <c r="E32" i="14"/>
  <c r="D32" i="14"/>
  <c r="K31" i="14"/>
  <c r="J31" i="14"/>
  <c r="I31" i="14"/>
  <c r="H31" i="14"/>
  <c r="G31" i="14"/>
  <c r="F31" i="14"/>
  <c r="E31" i="14"/>
  <c r="D31" i="14"/>
  <c r="K30" i="14"/>
  <c r="J30" i="14"/>
  <c r="I30" i="14"/>
  <c r="H30" i="14"/>
  <c r="G30" i="14"/>
  <c r="F30" i="14"/>
  <c r="E30" i="14"/>
  <c r="D30" i="14"/>
  <c r="K29" i="14"/>
  <c r="J29" i="14"/>
  <c r="I29" i="14"/>
  <c r="H29" i="14"/>
  <c r="G29" i="14"/>
  <c r="F29" i="14"/>
  <c r="E29" i="14"/>
  <c r="D29" i="14"/>
  <c r="K28" i="14"/>
  <c r="J28" i="14"/>
  <c r="I28" i="14"/>
  <c r="H28" i="14"/>
  <c r="G28" i="14"/>
  <c r="F28" i="14"/>
  <c r="E28" i="14"/>
  <c r="D28" i="14"/>
  <c r="K27" i="14"/>
  <c r="J27" i="14"/>
  <c r="I27" i="14"/>
  <c r="H27" i="14"/>
  <c r="G27" i="14"/>
  <c r="F27" i="14"/>
  <c r="E27" i="14"/>
  <c r="D27" i="14"/>
  <c r="K26" i="14"/>
  <c r="J26" i="14"/>
  <c r="I26" i="14"/>
  <c r="H26" i="14"/>
  <c r="G26" i="14"/>
  <c r="F26" i="14"/>
  <c r="E26" i="14"/>
  <c r="D26" i="14"/>
  <c r="K25" i="14"/>
  <c r="J25" i="14"/>
  <c r="I25" i="14"/>
  <c r="H25" i="14"/>
  <c r="G25" i="14"/>
  <c r="F25" i="14"/>
  <c r="E25" i="14"/>
  <c r="D25" i="14"/>
  <c r="K24" i="14"/>
  <c r="J24" i="14"/>
  <c r="I24" i="14"/>
  <c r="H24" i="14"/>
  <c r="G24" i="14"/>
  <c r="F24" i="14"/>
  <c r="E24" i="14"/>
  <c r="D24" i="14"/>
  <c r="K23" i="14"/>
  <c r="J23" i="14"/>
  <c r="I23" i="14"/>
  <c r="H23" i="14"/>
  <c r="G23" i="14"/>
  <c r="F23" i="14"/>
  <c r="E23" i="14"/>
  <c r="D23" i="14"/>
  <c r="K50" i="15"/>
  <c r="J50" i="15"/>
  <c r="I50" i="15"/>
  <c r="H50" i="15"/>
  <c r="G50" i="15"/>
  <c r="F50" i="15"/>
  <c r="E50" i="15"/>
  <c r="D50" i="15"/>
  <c r="K49" i="15"/>
  <c r="J49" i="15"/>
  <c r="I49" i="15"/>
  <c r="H49" i="15"/>
  <c r="G49" i="15"/>
  <c r="F49" i="15"/>
  <c r="E49" i="15"/>
  <c r="D49" i="15"/>
  <c r="K48" i="15"/>
  <c r="J48" i="15"/>
  <c r="I48" i="15"/>
  <c r="H48" i="15"/>
  <c r="G48" i="15"/>
  <c r="F48" i="15"/>
  <c r="E48" i="15"/>
  <c r="D48" i="15"/>
  <c r="K47" i="15"/>
  <c r="K59" i="15" s="1"/>
  <c r="J47" i="15"/>
  <c r="J59" i="15" s="1"/>
  <c r="I47" i="15"/>
  <c r="I59" i="15" s="1"/>
  <c r="H47" i="15"/>
  <c r="H59" i="15" s="1"/>
  <c r="G47" i="15"/>
  <c r="F47" i="15"/>
  <c r="F59" i="15" s="1"/>
  <c r="E47" i="15"/>
  <c r="E59" i="15" s="1"/>
  <c r="D47" i="15"/>
  <c r="K46" i="15"/>
  <c r="J46" i="15"/>
  <c r="J58" i="15" s="1"/>
  <c r="I46" i="15"/>
  <c r="I58" i="15" s="1"/>
  <c r="H46" i="15"/>
  <c r="H58" i="15" s="1"/>
  <c r="G46" i="15"/>
  <c r="F46" i="15"/>
  <c r="F58" i="15" s="1"/>
  <c r="E46" i="15"/>
  <c r="E58" i="15" s="1"/>
  <c r="D46" i="15"/>
  <c r="K45" i="15"/>
  <c r="K57" i="15" s="1"/>
  <c r="J45" i="15"/>
  <c r="I45" i="15"/>
  <c r="H45" i="15"/>
  <c r="H57" i="15" s="1"/>
  <c r="G45" i="15"/>
  <c r="F45" i="15"/>
  <c r="F57" i="15" s="1"/>
  <c r="E45" i="15"/>
  <c r="E57" i="15" s="1"/>
  <c r="D45" i="15"/>
  <c r="D57" i="15" s="1"/>
  <c r="K44" i="15"/>
  <c r="J44" i="15"/>
  <c r="I44" i="15"/>
  <c r="H44" i="15"/>
  <c r="G44" i="15"/>
  <c r="F44" i="15"/>
  <c r="E44" i="15"/>
  <c r="D44" i="15"/>
  <c r="K43" i="15"/>
  <c r="J43" i="15"/>
  <c r="I43" i="15"/>
  <c r="H43" i="15"/>
  <c r="G43" i="15"/>
  <c r="F43" i="15"/>
  <c r="E43" i="15"/>
  <c r="D43" i="15"/>
  <c r="K42" i="15"/>
  <c r="J42" i="15"/>
  <c r="I42" i="15"/>
  <c r="H42" i="15"/>
  <c r="G42" i="15"/>
  <c r="F42" i="15"/>
  <c r="E42" i="15"/>
  <c r="D42" i="15"/>
  <c r="K41" i="15"/>
  <c r="J41" i="15"/>
  <c r="I41" i="15"/>
  <c r="H41" i="15"/>
  <c r="G41" i="15"/>
  <c r="F41" i="15"/>
  <c r="E41" i="15"/>
  <c r="D41" i="15"/>
  <c r="K40" i="15"/>
  <c r="J40" i="15"/>
  <c r="I40" i="15"/>
  <c r="H40" i="15"/>
  <c r="G40" i="15"/>
  <c r="F40" i="15"/>
  <c r="E40" i="15"/>
  <c r="D40" i="15"/>
  <c r="K39" i="15"/>
  <c r="J39" i="15"/>
  <c r="I39" i="15"/>
  <c r="H39" i="15"/>
  <c r="G39" i="15"/>
  <c r="F39" i="15"/>
  <c r="E39" i="15"/>
  <c r="D39" i="15"/>
  <c r="K38" i="15"/>
  <c r="J38" i="15"/>
  <c r="I38" i="15"/>
  <c r="H38" i="15"/>
  <c r="H56" i="15" s="1"/>
  <c r="G38" i="15"/>
  <c r="F38" i="15"/>
  <c r="E38" i="15"/>
  <c r="E56" i="15" s="1"/>
  <c r="D38" i="15"/>
  <c r="K37" i="15"/>
  <c r="J37" i="15"/>
  <c r="I37" i="15"/>
  <c r="H37" i="15"/>
  <c r="H55" i="15" s="1"/>
  <c r="G37" i="15"/>
  <c r="F37" i="15"/>
  <c r="E37" i="15"/>
  <c r="E55" i="15" s="1"/>
  <c r="D37" i="15"/>
  <c r="K36" i="15"/>
  <c r="J36" i="15"/>
  <c r="I36" i="15"/>
  <c r="H36" i="15"/>
  <c r="G36" i="15"/>
  <c r="F36" i="15"/>
  <c r="E36" i="15"/>
  <c r="D36" i="15"/>
  <c r="K35" i="15"/>
  <c r="J35" i="15"/>
  <c r="I35" i="15"/>
  <c r="H35" i="15"/>
  <c r="G35" i="15"/>
  <c r="F35" i="15"/>
  <c r="E35" i="15"/>
  <c r="D35" i="15"/>
  <c r="K34" i="15"/>
  <c r="J34" i="15"/>
  <c r="I34" i="15"/>
  <c r="H34" i="15"/>
  <c r="G34" i="15"/>
  <c r="F34" i="15"/>
  <c r="E34" i="15"/>
  <c r="D34" i="15"/>
  <c r="K33" i="15"/>
  <c r="J33" i="15"/>
  <c r="I33" i="15"/>
  <c r="H33" i="15"/>
  <c r="G33" i="15"/>
  <c r="F33" i="15"/>
  <c r="E33" i="15"/>
  <c r="D33" i="15"/>
  <c r="K32" i="15"/>
  <c r="J32" i="15"/>
  <c r="I32" i="15"/>
  <c r="H32" i="15"/>
  <c r="G32" i="15"/>
  <c r="F32" i="15"/>
  <c r="E32" i="15"/>
  <c r="D32" i="15"/>
  <c r="K31" i="15"/>
  <c r="J31" i="15"/>
  <c r="I31" i="15"/>
  <c r="H31" i="15"/>
  <c r="G31" i="15"/>
  <c r="F31" i="15"/>
  <c r="E31" i="15"/>
  <c r="D31" i="15"/>
  <c r="K30" i="15"/>
  <c r="J30" i="15"/>
  <c r="I30" i="15"/>
  <c r="H30" i="15"/>
  <c r="G30" i="15"/>
  <c r="F30" i="15"/>
  <c r="E30" i="15"/>
  <c r="D30" i="15"/>
  <c r="K29" i="15"/>
  <c r="J29" i="15"/>
  <c r="I29" i="15"/>
  <c r="H29" i="15"/>
  <c r="G29" i="15"/>
  <c r="F29" i="15"/>
  <c r="E29" i="15"/>
  <c r="D29" i="15"/>
  <c r="K28" i="15"/>
  <c r="J28" i="15"/>
  <c r="I28" i="15"/>
  <c r="H28" i="15"/>
  <c r="G28" i="15"/>
  <c r="F28" i="15"/>
  <c r="E28" i="15"/>
  <c r="D28" i="15"/>
  <c r="K27" i="15"/>
  <c r="J27" i="15"/>
  <c r="I27" i="15"/>
  <c r="H27" i="15"/>
  <c r="G27" i="15"/>
  <c r="F27" i="15"/>
  <c r="E27" i="15"/>
  <c r="D27" i="15"/>
  <c r="K26" i="15"/>
  <c r="J26" i="15"/>
  <c r="I26" i="15"/>
  <c r="H26" i="15"/>
  <c r="G26" i="15"/>
  <c r="F26" i="15"/>
  <c r="E26" i="15"/>
  <c r="D26" i="15"/>
  <c r="K25" i="15"/>
  <c r="J25" i="15"/>
  <c r="I25" i="15"/>
  <c r="H25" i="15"/>
  <c r="G25" i="15"/>
  <c r="F25" i="15"/>
  <c r="E25" i="15"/>
  <c r="D25" i="15"/>
  <c r="K24" i="15"/>
  <c r="J24" i="15"/>
  <c r="J54" i="15" s="1"/>
  <c r="I24" i="15"/>
  <c r="H24" i="15"/>
  <c r="G24" i="15"/>
  <c r="F24" i="15"/>
  <c r="E24" i="15"/>
  <c r="D24" i="15"/>
  <c r="K23" i="15"/>
  <c r="J23" i="15"/>
  <c r="I23" i="15"/>
  <c r="H23" i="15"/>
  <c r="G23" i="15"/>
  <c r="F23" i="15"/>
  <c r="E23" i="15"/>
  <c r="D23" i="15"/>
  <c r="K50" i="18"/>
  <c r="J50" i="18"/>
  <c r="I50" i="18"/>
  <c r="H50" i="18"/>
  <c r="G50" i="18"/>
  <c r="F50" i="18"/>
  <c r="E50" i="18"/>
  <c r="D50" i="18"/>
  <c r="K49" i="18"/>
  <c r="J49" i="18"/>
  <c r="I49" i="18"/>
  <c r="H49" i="18"/>
  <c r="G49" i="18"/>
  <c r="F49" i="18"/>
  <c r="E49" i="18"/>
  <c r="D49" i="18"/>
  <c r="K48" i="18"/>
  <c r="J48" i="18"/>
  <c r="I48" i="18"/>
  <c r="H48" i="18"/>
  <c r="G48" i="18"/>
  <c r="F48" i="18"/>
  <c r="E48" i="18"/>
  <c r="D48" i="18"/>
  <c r="K47" i="18"/>
  <c r="K59" i="18" s="1"/>
  <c r="J47" i="18"/>
  <c r="J59" i="18" s="1"/>
  <c r="I47" i="18"/>
  <c r="H47" i="18"/>
  <c r="H59" i="18" s="1"/>
  <c r="G47" i="18"/>
  <c r="F47" i="18"/>
  <c r="F59" i="18" s="1"/>
  <c r="E47" i="18"/>
  <c r="E59" i="18" s="1"/>
  <c r="D47" i="18"/>
  <c r="D59" i="18" s="1"/>
  <c r="K46" i="18"/>
  <c r="K58" i="18" s="1"/>
  <c r="J46" i="18"/>
  <c r="J58" i="18" s="1"/>
  <c r="I46" i="18"/>
  <c r="H46" i="18"/>
  <c r="H58" i="18" s="1"/>
  <c r="G46" i="18"/>
  <c r="G58" i="18" s="1"/>
  <c r="F46" i="18"/>
  <c r="E46" i="18"/>
  <c r="E58" i="18" s="1"/>
  <c r="D46" i="18"/>
  <c r="K45" i="18"/>
  <c r="K57" i="18" s="1"/>
  <c r="J45" i="18"/>
  <c r="J57" i="18" s="1"/>
  <c r="I45" i="18"/>
  <c r="I57" i="18" s="1"/>
  <c r="H45" i="18"/>
  <c r="H57" i="18" s="1"/>
  <c r="G45" i="18"/>
  <c r="F45" i="18"/>
  <c r="F57" i="18" s="1"/>
  <c r="E45" i="18"/>
  <c r="E57" i="18" s="1"/>
  <c r="D45" i="18"/>
  <c r="K44" i="18"/>
  <c r="J44" i="18"/>
  <c r="I44" i="18"/>
  <c r="H44" i="18"/>
  <c r="G44" i="18"/>
  <c r="F44" i="18"/>
  <c r="E44" i="18"/>
  <c r="D44" i="18"/>
  <c r="K43" i="18"/>
  <c r="J43" i="18"/>
  <c r="I43" i="18"/>
  <c r="H43" i="18"/>
  <c r="G43" i="18"/>
  <c r="F43" i="18"/>
  <c r="E43" i="18"/>
  <c r="D43" i="18"/>
  <c r="K42" i="18"/>
  <c r="J42" i="18"/>
  <c r="I42" i="18"/>
  <c r="H42" i="18"/>
  <c r="G42" i="18"/>
  <c r="F42" i="18"/>
  <c r="E42" i="18"/>
  <c r="D42" i="18"/>
  <c r="K41" i="18"/>
  <c r="J41" i="18"/>
  <c r="I41" i="18"/>
  <c r="H41" i="18"/>
  <c r="G41" i="18"/>
  <c r="F41" i="18"/>
  <c r="E41" i="18"/>
  <c r="D41" i="18"/>
  <c r="K40" i="18"/>
  <c r="J40" i="18"/>
  <c r="I40" i="18"/>
  <c r="H40" i="18"/>
  <c r="G40" i="18"/>
  <c r="F40" i="18"/>
  <c r="E40" i="18"/>
  <c r="D40" i="18"/>
  <c r="K39" i="18"/>
  <c r="J39" i="18"/>
  <c r="I39" i="18"/>
  <c r="H39" i="18"/>
  <c r="G39" i="18"/>
  <c r="F39" i="18"/>
  <c r="E39" i="18"/>
  <c r="D39" i="18"/>
  <c r="K38" i="18"/>
  <c r="K56" i="18" s="1"/>
  <c r="J38" i="18"/>
  <c r="I38" i="18"/>
  <c r="H38" i="18"/>
  <c r="G38" i="18"/>
  <c r="F38" i="18"/>
  <c r="E38" i="18"/>
  <c r="D38" i="18"/>
  <c r="K37" i="18"/>
  <c r="K55" i="18" s="1"/>
  <c r="J37" i="18"/>
  <c r="J55" i="18" s="1"/>
  <c r="I37" i="18"/>
  <c r="I55" i="18" s="1"/>
  <c r="H37" i="18"/>
  <c r="H55" i="18" s="1"/>
  <c r="G37" i="18"/>
  <c r="F37" i="18"/>
  <c r="E37" i="18"/>
  <c r="D37" i="18"/>
  <c r="K36" i="18"/>
  <c r="J36" i="18"/>
  <c r="I36" i="18"/>
  <c r="H36" i="18"/>
  <c r="G36" i="18"/>
  <c r="F36" i="18"/>
  <c r="E36" i="18"/>
  <c r="D36" i="18"/>
  <c r="K35" i="18"/>
  <c r="J35" i="18"/>
  <c r="I35" i="18"/>
  <c r="H35" i="18"/>
  <c r="G35" i="18"/>
  <c r="F35" i="18"/>
  <c r="E35" i="18"/>
  <c r="D35" i="18"/>
  <c r="K34" i="18"/>
  <c r="J34" i="18"/>
  <c r="I34" i="18"/>
  <c r="H34" i="18"/>
  <c r="G34" i="18"/>
  <c r="F34" i="18"/>
  <c r="E34" i="18"/>
  <c r="D34" i="18"/>
  <c r="K33" i="18"/>
  <c r="J33" i="18"/>
  <c r="I33" i="18"/>
  <c r="H33" i="18"/>
  <c r="G33" i="18"/>
  <c r="F33" i="18"/>
  <c r="E33" i="18"/>
  <c r="D33" i="18"/>
  <c r="K32" i="18"/>
  <c r="J32" i="18"/>
  <c r="I32" i="18"/>
  <c r="H32" i="18"/>
  <c r="G32" i="18"/>
  <c r="F32" i="18"/>
  <c r="E32" i="18"/>
  <c r="D32" i="18"/>
  <c r="K31" i="18"/>
  <c r="J31" i="18"/>
  <c r="I31" i="18"/>
  <c r="H31" i="18"/>
  <c r="G31" i="18"/>
  <c r="F31" i="18"/>
  <c r="E31" i="18"/>
  <c r="D31" i="18"/>
  <c r="K30" i="18"/>
  <c r="J30" i="18"/>
  <c r="I30" i="18"/>
  <c r="H30" i="18"/>
  <c r="G30" i="18"/>
  <c r="F30" i="18"/>
  <c r="E30" i="18"/>
  <c r="D30" i="18"/>
  <c r="K29" i="18"/>
  <c r="J29" i="18"/>
  <c r="I29" i="18"/>
  <c r="H29" i="18"/>
  <c r="G29" i="18"/>
  <c r="F29" i="18"/>
  <c r="E29" i="18"/>
  <c r="D29" i="18"/>
  <c r="K28" i="18"/>
  <c r="J28" i="18"/>
  <c r="I28" i="18"/>
  <c r="H28" i="18"/>
  <c r="G28" i="18"/>
  <c r="F28" i="18"/>
  <c r="E28" i="18"/>
  <c r="D28" i="18"/>
  <c r="K27" i="18"/>
  <c r="J27" i="18"/>
  <c r="I27" i="18"/>
  <c r="H27" i="18"/>
  <c r="G27" i="18"/>
  <c r="F27" i="18"/>
  <c r="E27" i="18"/>
  <c r="D27" i="18"/>
  <c r="K26" i="18"/>
  <c r="J26" i="18"/>
  <c r="I26" i="18"/>
  <c r="H26" i="18"/>
  <c r="G26" i="18"/>
  <c r="F26" i="18"/>
  <c r="E26" i="18"/>
  <c r="D26" i="18"/>
  <c r="K25" i="18"/>
  <c r="J25" i="18"/>
  <c r="I25" i="18"/>
  <c r="H25" i="18"/>
  <c r="G25" i="18"/>
  <c r="F25" i="18"/>
  <c r="E25" i="18"/>
  <c r="D25" i="18"/>
  <c r="K24" i="18"/>
  <c r="J24" i="18"/>
  <c r="I24" i="18"/>
  <c r="H24" i="18"/>
  <c r="G24" i="18"/>
  <c r="F24" i="18"/>
  <c r="E24" i="18"/>
  <c r="D24" i="18"/>
  <c r="K23" i="18"/>
  <c r="J23" i="18"/>
  <c r="I23" i="18"/>
  <c r="H23" i="18"/>
  <c r="G23" i="18"/>
  <c r="F23" i="18"/>
  <c r="E23" i="18"/>
  <c r="D23" i="18"/>
  <c r="K50" i="17"/>
  <c r="J50" i="17"/>
  <c r="I50" i="17"/>
  <c r="H50" i="17"/>
  <c r="G50" i="17"/>
  <c r="F50" i="17"/>
  <c r="E50" i="17"/>
  <c r="D50" i="17"/>
  <c r="K49" i="17"/>
  <c r="J49" i="17"/>
  <c r="I49" i="17"/>
  <c r="H49" i="17"/>
  <c r="G49" i="17"/>
  <c r="F49" i="17"/>
  <c r="E49" i="17"/>
  <c r="D49" i="17"/>
  <c r="K48" i="17"/>
  <c r="J48" i="17"/>
  <c r="I48" i="17"/>
  <c r="H48" i="17"/>
  <c r="G48" i="17"/>
  <c r="F48" i="17"/>
  <c r="E48" i="17"/>
  <c r="D48" i="17"/>
  <c r="K47" i="17"/>
  <c r="K59" i="17" s="1"/>
  <c r="J47" i="17"/>
  <c r="J59" i="17" s="1"/>
  <c r="I47" i="17"/>
  <c r="I59" i="17" s="1"/>
  <c r="H47" i="17"/>
  <c r="G47" i="17"/>
  <c r="F47" i="17"/>
  <c r="E47" i="17"/>
  <c r="D47" i="17"/>
  <c r="K46" i="17"/>
  <c r="J46" i="17"/>
  <c r="J58" i="17" s="1"/>
  <c r="I46" i="17"/>
  <c r="H46" i="17"/>
  <c r="H58" i="17" s="1"/>
  <c r="G46" i="17"/>
  <c r="F46" i="17"/>
  <c r="E46" i="17"/>
  <c r="E58" i="17" s="1"/>
  <c r="D46" i="17"/>
  <c r="K45" i="17"/>
  <c r="K57" i="17" s="1"/>
  <c r="J45" i="17"/>
  <c r="J57" i="17" s="1"/>
  <c r="I45" i="17"/>
  <c r="I57" i="17" s="1"/>
  <c r="H45" i="17"/>
  <c r="G45" i="17"/>
  <c r="F45" i="17"/>
  <c r="F57" i="17" s="1"/>
  <c r="E45" i="17"/>
  <c r="E57" i="17" s="1"/>
  <c r="D45" i="17"/>
  <c r="K44" i="17"/>
  <c r="J44" i="17"/>
  <c r="I44" i="17"/>
  <c r="H44" i="17"/>
  <c r="G44" i="17"/>
  <c r="F44" i="17"/>
  <c r="E44" i="17"/>
  <c r="D44" i="17"/>
  <c r="K43" i="17"/>
  <c r="J43" i="17"/>
  <c r="I43" i="17"/>
  <c r="H43" i="17"/>
  <c r="G43" i="17"/>
  <c r="F43" i="17"/>
  <c r="E43" i="17"/>
  <c r="D43" i="17"/>
  <c r="K42" i="17"/>
  <c r="J42" i="17"/>
  <c r="I42" i="17"/>
  <c r="H42" i="17"/>
  <c r="G42" i="17"/>
  <c r="F42" i="17"/>
  <c r="E42" i="17"/>
  <c r="D42" i="17"/>
  <c r="K41" i="17"/>
  <c r="J41" i="17"/>
  <c r="I41" i="17"/>
  <c r="H41" i="17"/>
  <c r="G41" i="17"/>
  <c r="F41" i="17"/>
  <c r="E41" i="17"/>
  <c r="D41" i="17"/>
  <c r="K40" i="17"/>
  <c r="J40" i="17"/>
  <c r="I40" i="17"/>
  <c r="H40" i="17"/>
  <c r="G40" i="17"/>
  <c r="F40" i="17"/>
  <c r="E40" i="17"/>
  <c r="D40" i="17"/>
  <c r="K39" i="17"/>
  <c r="J39" i="17"/>
  <c r="I39" i="17"/>
  <c r="H39" i="17"/>
  <c r="G39" i="17"/>
  <c r="F39" i="17"/>
  <c r="E39" i="17"/>
  <c r="D39" i="17"/>
  <c r="K38" i="17"/>
  <c r="J38" i="17"/>
  <c r="J56" i="17" s="1"/>
  <c r="I38" i="17"/>
  <c r="I56" i="17" s="1"/>
  <c r="H38" i="17"/>
  <c r="G38" i="17"/>
  <c r="F38" i="17"/>
  <c r="E38" i="17"/>
  <c r="D38" i="17"/>
  <c r="K37" i="17"/>
  <c r="J37" i="17"/>
  <c r="I37" i="17"/>
  <c r="H37" i="17"/>
  <c r="H55" i="17" s="1"/>
  <c r="G37" i="17"/>
  <c r="F37" i="17"/>
  <c r="E37" i="17"/>
  <c r="D37" i="17"/>
  <c r="K36" i="17"/>
  <c r="J36" i="17"/>
  <c r="I36" i="17"/>
  <c r="H36" i="17"/>
  <c r="G36" i="17"/>
  <c r="F36" i="17"/>
  <c r="E36" i="17"/>
  <c r="D36" i="17"/>
  <c r="K35" i="17"/>
  <c r="J35" i="17"/>
  <c r="I35" i="17"/>
  <c r="H35" i="17"/>
  <c r="G35" i="17"/>
  <c r="F35" i="17"/>
  <c r="E35" i="17"/>
  <c r="D35" i="17"/>
  <c r="K34" i="17"/>
  <c r="J34" i="17"/>
  <c r="I34" i="17"/>
  <c r="H34" i="17"/>
  <c r="G34" i="17"/>
  <c r="F34" i="17"/>
  <c r="E34" i="17"/>
  <c r="D34" i="17"/>
  <c r="K33" i="17"/>
  <c r="J33" i="17"/>
  <c r="I33" i="17"/>
  <c r="H33" i="17"/>
  <c r="G33" i="17"/>
  <c r="F33" i="17"/>
  <c r="E33" i="17"/>
  <c r="D33" i="17"/>
  <c r="K32" i="17"/>
  <c r="J32" i="17"/>
  <c r="I32" i="17"/>
  <c r="H32" i="17"/>
  <c r="G32" i="17"/>
  <c r="F32" i="17"/>
  <c r="E32" i="17"/>
  <c r="D32" i="17"/>
  <c r="K31" i="17"/>
  <c r="J31" i="17"/>
  <c r="I31" i="17"/>
  <c r="H31" i="17"/>
  <c r="G31" i="17"/>
  <c r="F31" i="17"/>
  <c r="E31" i="17"/>
  <c r="D31" i="17"/>
  <c r="K30" i="17"/>
  <c r="J30" i="17"/>
  <c r="I30" i="17"/>
  <c r="H30" i="17"/>
  <c r="G30" i="17"/>
  <c r="F30" i="17"/>
  <c r="E30" i="17"/>
  <c r="D30" i="17"/>
  <c r="K29" i="17"/>
  <c r="J29" i="17"/>
  <c r="I29" i="17"/>
  <c r="H29" i="17"/>
  <c r="G29" i="17"/>
  <c r="F29" i="17"/>
  <c r="E29" i="17"/>
  <c r="D29" i="17"/>
  <c r="K28" i="17"/>
  <c r="J28" i="17"/>
  <c r="I28" i="17"/>
  <c r="H28" i="17"/>
  <c r="G28" i="17"/>
  <c r="F28" i="17"/>
  <c r="E28" i="17"/>
  <c r="D28" i="17"/>
  <c r="K27" i="17"/>
  <c r="J27" i="17"/>
  <c r="I27" i="17"/>
  <c r="H27" i="17"/>
  <c r="G27" i="17"/>
  <c r="F27" i="17"/>
  <c r="E27" i="17"/>
  <c r="D27" i="17"/>
  <c r="K26" i="17"/>
  <c r="J26" i="17"/>
  <c r="I26" i="17"/>
  <c r="H26" i="17"/>
  <c r="G26" i="17"/>
  <c r="F26" i="17"/>
  <c r="E26" i="17"/>
  <c r="D26" i="17"/>
  <c r="K25" i="17"/>
  <c r="J25" i="17"/>
  <c r="I25" i="17"/>
  <c r="H25" i="17"/>
  <c r="G25" i="17"/>
  <c r="F25" i="17"/>
  <c r="E25" i="17"/>
  <c r="D25" i="17"/>
  <c r="K24" i="17"/>
  <c r="J24" i="17"/>
  <c r="J54" i="17" s="1"/>
  <c r="I24" i="17"/>
  <c r="H24" i="17"/>
  <c r="G24" i="17"/>
  <c r="F24" i="17"/>
  <c r="E24" i="17"/>
  <c r="D24" i="17"/>
  <c r="K23" i="17"/>
  <c r="J23" i="17"/>
  <c r="I23" i="17"/>
  <c r="H23" i="17"/>
  <c r="G23" i="17"/>
  <c r="F23" i="17"/>
  <c r="E23" i="17"/>
  <c r="D23" i="17"/>
  <c r="E56" i="14" l="1"/>
  <c r="F55" i="18"/>
  <c r="I58" i="18"/>
  <c r="E59" i="17"/>
  <c r="K56" i="17"/>
  <c r="D58" i="17"/>
  <c r="J57" i="15"/>
  <c r="H53" i="15"/>
  <c r="H54" i="15"/>
  <c r="I59" i="18"/>
  <c r="F59" i="14"/>
  <c r="D57" i="14"/>
  <c r="G57" i="14"/>
  <c r="K53" i="14"/>
  <c r="G55" i="14"/>
  <c r="H56" i="14"/>
  <c r="G56" i="14"/>
  <c r="F58" i="14"/>
  <c r="J56" i="14"/>
  <c r="J54" i="14"/>
  <c r="F55" i="14"/>
  <c r="G53" i="14"/>
  <c r="F57" i="14"/>
  <c r="H58" i="14"/>
  <c r="G59" i="14"/>
  <c r="F53" i="14"/>
  <c r="H54" i="14"/>
  <c r="J53" i="14"/>
  <c r="F54" i="14"/>
  <c r="H55" i="14"/>
  <c r="K54" i="14"/>
  <c r="I54" i="14"/>
  <c r="J55" i="15"/>
  <c r="J56" i="15"/>
  <c r="G56" i="15"/>
  <c r="G57" i="15"/>
  <c r="D56" i="15"/>
  <c r="D59" i="15"/>
  <c r="D58" i="15"/>
  <c r="G54" i="15"/>
  <c r="G58" i="15"/>
  <c r="E54" i="15"/>
  <c r="K58" i="15"/>
  <c r="I56" i="15"/>
  <c r="G59" i="15"/>
  <c r="G55" i="15"/>
  <c r="K53" i="15"/>
  <c r="I55" i="15"/>
  <c r="I57" i="15"/>
  <c r="K55" i="15"/>
  <c r="D54" i="15"/>
  <c r="G53" i="15"/>
  <c r="F56" i="15"/>
  <c r="J53" i="15"/>
  <c r="F55" i="15"/>
  <c r="I54" i="15"/>
  <c r="I53" i="15"/>
  <c r="E53" i="15"/>
  <c r="E60" i="15" s="1"/>
  <c r="X63" i="10" s="1"/>
  <c r="F56" i="18"/>
  <c r="E55" i="18"/>
  <c r="E56" i="18"/>
  <c r="D55" i="15"/>
  <c r="J54" i="18"/>
  <c r="D53" i="18"/>
  <c r="J56" i="18"/>
  <c r="I56" i="18"/>
  <c r="J53" i="18"/>
  <c r="I54" i="18"/>
  <c r="G55" i="18"/>
  <c r="G56" i="18"/>
  <c r="G59" i="18"/>
  <c r="G53" i="18"/>
  <c r="I53" i="18"/>
  <c r="D53" i="14"/>
  <c r="D54" i="14"/>
  <c r="E55" i="14"/>
  <c r="G54" i="14"/>
  <c r="K53" i="18"/>
  <c r="D59" i="17"/>
  <c r="G55" i="17"/>
  <c r="G59" i="17"/>
  <c r="G56" i="17"/>
  <c r="G57" i="17"/>
  <c r="F55" i="17"/>
  <c r="F59" i="17"/>
  <c r="K55" i="17"/>
  <c r="K53" i="17"/>
  <c r="H56" i="17"/>
  <c r="K54" i="17"/>
  <c r="G58" i="17"/>
  <c r="I55" i="17"/>
  <c r="J55" i="17"/>
  <c r="F54" i="17"/>
  <c r="J53" i="17"/>
  <c r="I54" i="17"/>
  <c r="E54" i="14"/>
  <c r="E53" i="14"/>
  <c r="F56" i="14"/>
  <c r="D55" i="14"/>
  <c r="H53" i="14"/>
  <c r="I53" i="14"/>
  <c r="D53" i="15"/>
  <c r="F54" i="18"/>
  <c r="D56" i="18"/>
  <c r="D58" i="18"/>
  <c r="D54" i="18"/>
  <c r="G57" i="18"/>
  <c r="H53" i="18"/>
  <c r="D55" i="18"/>
  <c r="D57" i="18"/>
  <c r="E54" i="18"/>
  <c r="F56" i="17"/>
  <c r="D57" i="17"/>
  <c r="E54" i="17"/>
  <c r="H53" i="17"/>
  <c r="H57" i="17"/>
  <c r="H54" i="17"/>
  <c r="H59" i="17"/>
  <c r="I53" i="17"/>
  <c r="I58" i="17"/>
  <c r="F53" i="18"/>
  <c r="F58" i="18"/>
  <c r="K54" i="18"/>
  <c r="H56" i="18"/>
  <c r="H54" i="18"/>
  <c r="E53" i="18"/>
  <c r="G54" i="18"/>
  <c r="F54" i="15"/>
  <c r="K56" i="15"/>
  <c r="K54" i="15"/>
  <c r="F53" i="15"/>
  <c r="D56" i="14"/>
  <c r="K58" i="17"/>
  <c r="G53" i="17"/>
  <c r="D54" i="17"/>
  <c r="D53" i="17"/>
  <c r="F58" i="17"/>
  <c r="E53" i="17"/>
  <c r="G54" i="17"/>
  <c r="E55" i="17"/>
  <c r="E56" i="17"/>
  <c r="D55" i="17"/>
  <c r="D56" i="17"/>
  <c r="F53" i="17"/>
  <c r="H60" i="15" l="1"/>
  <c r="X25" i="10" s="1"/>
  <c r="K60" i="14"/>
  <c r="X71" i="12" s="1"/>
  <c r="J60" i="14"/>
  <c r="X68" i="12" s="1"/>
  <c r="G60" i="14"/>
  <c r="X44" i="12" s="1"/>
  <c r="H60" i="14"/>
  <c r="X20" i="12" s="1"/>
  <c r="F60" i="14"/>
  <c r="X47" i="12" s="1"/>
  <c r="I60" i="14"/>
  <c r="X29" i="12" s="1"/>
  <c r="D60" i="14"/>
  <c r="J60" i="15"/>
  <c r="X83" i="10" s="1"/>
  <c r="G60" i="15"/>
  <c r="X56" i="10" s="1"/>
  <c r="I60" i="15"/>
  <c r="X31" i="10" s="1"/>
  <c r="D60" i="15"/>
  <c r="X13" i="10" s="1"/>
  <c r="K60" i="18"/>
  <c r="X105" i="2" s="1"/>
  <c r="J60" i="18"/>
  <c r="X20" i="2" s="1"/>
  <c r="I60" i="18"/>
  <c r="X38" i="2" s="1"/>
  <c r="E60" i="14"/>
  <c r="X50" i="12" s="1"/>
  <c r="G60" i="18"/>
  <c r="X63" i="2" s="1"/>
  <c r="K60" i="17"/>
  <c r="X21" i="7" s="1"/>
  <c r="J60" i="17"/>
  <c r="X144" i="7" s="1"/>
  <c r="X69" i="12"/>
  <c r="X65" i="10"/>
  <c r="E60" i="18"/>
  <c r="X76" i="2" s="1"/>
  <c r="D60" i="18"/>
  <c r="X13" i="2" s="1"/>
  <c r="F60" i="18"/>
  <c r="X69" i="2" s="1"/>
  <c r="I60" i="17"/>
  <c r="X52" i="7" s="1"/>
  <c r="H60" i="17"/>
  <c r="X64" i="7" s="1"/>
  <c r="H60" i="18"/>
  <c r="X29" i="2" s="1"/>
  <c r="X61" i="10"/>
  <c r="X64" i="10"/>
  <c r="X62" i="10"/>
  <c r="X66" i="10"/>
  <c r="X67" i="10"/>
  <c r="X73" i="10"/>
  <c r="F60" i="15"/>
  <c r="X59" i="10" s="1"/>
  <c r="K60" i="15"/>
  <c r="G60" i="17"/>
  <c r="F60" i="17"/>
  <c r="D60" i="17"/>
  <c r="E60" i="17"/>
  <c r="K50" i="23"/>
  <c r="J50" i="23"/>
  <c r="I50" i="23"/>
  <c r="H50" i="23"/>
  <c r="G50" i="23"/>
  <c r="F50" i="23"/>
  <c r="E50" i="23"/>
  <c r="D50" i="23"/>
  <c r="K49" i="23"/>
  <c r="J49" i="23"/>
  <c r="I49" i="23"/>
  <c r="H49" i="23"/>
  <c r="G49" i="23"/>
  <c r="F49" i="23"/>
  <c r="E49" i="23"/>
  <c r="D49" i="23"/>
  <c r="K48" i="23"/>
  <c r="J48" i="23"/>
  <c r="I48" i="23"/>
  <c r="H48" i="23"/>
  <c r="G48" i="23"/>
  <c r="F48" i="23"/>
  <c r="E48" i="23"/>
  <c r="D48" i="23"/>
  <c r="K47" i="23"/>
  <c r="J47" i="23"/>
  <c r="I47" i="23"/>
  <c r="H47" i="23"/>
  <c r="G47" i="23"/>
  <c r="F47" i="23"/>
  <c r="F59" i="23" s="1"/>
  <c r="E47" i="23"/>
  <c r="D47" i="23"/>
  <c r="D59" i="23" s="1"/>
  <c r="K46" i="23"/>
  <c r="J46" i="23"/>
  <c r="I46" i="23"/>
  <c r="H46" i="23"/>
  <c r="G46" i="23"/>
  <c r="F46" i="23"/>
  <c r="E46" i="23"/>
  <c r="E58" i="23" s="1"/>
  <c r="D46" i="23"/>
  <c r="K45" i="23"/>
  <c r="J45" i="23"/>
  <c r="I45" i="23"/>
  <c r="H45" i="23"/>
  <c r="G45" i="23"/>
  <c r="G57" i="23" s="1"/>
  <c r="F45" i="23"/>
  <c r="E45" i="23"/>
  <c r="E57" i="23" s="1"/>
  <c r="D45" i="23"/>
  <c r="D57" i="23" s="1"/>
  <c r="K36" i="23"/>
  <c r="J36" i="23"/>
  <c r="I36" i="23"/>
  <c r="H36" i="23"/>
  <c r="G36" i="23"/>
  <c r="F36" i="23"/>
  <c r="E36" i="23"/>
  <c r="D36" i="23"/>
  <c r="K35" i="23"/>
  <c r="J35" i="23"/>
  <c r="I35" i="23"/>
  <c r="H35" i="23"/>
  <c r="G35" i="23"/>
  <c r="F35" i="23"/>
  <c r="E35" i="23"/>
  <c r="D35" i="23"/>
  <c r="K34" i="23"/>
  <c r="J34" i="23"/>
  <c r="I34" i="23"/>
  <c r="H34" i="23"/>
  <c r="G34" i="23"/>
  <c r="F34" i="23"/>
  <c r="E34" i="23"/>
  <c r="D34" i="23"/>
  <c r="K33" i="23"/>
  <c r="J33" i="23"/>
  <c r="I33" i="23"/>
  <c r="H33" i="23"/>
  <c r="G33" i="23"/>
  <c r="F33" i="23"/>
  <c r="E33" i="23"/>
  <c r="D33" i="23"/>
  <c r="K32" i="23"/>
  <c r="J32" i="23"/>
  <c r="I32" i="23"/>
  <c r="H32" i="23"/>
  <c r="G32" i="23"/>
  <c r="F32" i="23"/>
  <c r="E32" i="23"/>
  <c r="D32" i="23"/>
  <c r="K31" i="23"/>
  <c r="J31" i="23"/>
  <c r="I31" i="23"/>
  <c r="H31" i="23"/>
  <c r="G31" i="23"/>
  <c r="F31" i="23"/>
  <c r="E31" i="23"/>
  <c r="D31" i="23"/>
  <c r="K30" i="23"/>
  <c r="J30" i="23"/>
  <c r="I30" i="23"/>
  <c r="H30" i="23"/>
  <c r="G30" i="23"/>
  <c r="F30" i="23"/>
  <c r="E30" i="23"/>
  <c r="D30" i="23"/>
  <c r="K29" i="23"/>
  <c r="J29" i="23"/>
  <c r="I29" i="23"/>
  <c r="H29" i="23"/>
  <c r="G29" i="23"/>
  <c r="F29" i="23"/>
  <c r="E29" i="23"/>
  <c r="D29" i="23"/>
  <c r="K28" i="23"/>
  <c r="J28" i="23"/>
  <c r="I28" i="23"/>
  <c r="H28" i="23"/>
  <c r="G28" i="23"/>
  <c r="F28" i="23"/>
  <c r="E28" i="23"/>
  <c r="D28" i="23"/>
  <c r="K27" i="23"/>
  <c r="J27" i="23"/>
  <c r="I27" i="23"/>
  <c r="H27" i="23"/>
  <c r="G27" i="23"/>
  <c r="F27" i="23"/>
  <c r="E27" i="23"/>
  <c r="D27" i="23"/>
  <c r="K26" i="23"/>
  <c r="J26" i="23"/>
  <c r="I26" i="23"/>
  <c r="H26" i="23"/>
  <c r="G26" i="23"/>
  <c r="F26" i="23"/>
  <c r="E26" i="23"/>
  <c r="D26" i="23"/>
  <c r="K25" i="23"/>
  <c r="J25" i="23"/>
  <c r="I25" i="23"/>
  <c r="H25" i="23"/>
  <c r="G25" i="23"/>
  <c r="F25" i="23"/>
  <c r="E25" i="23"/>
  <c r="D25" i="23"/>
  <c r="K24" i="23"/>
  <c r="J24" i="23"/>
  <c r="I24" i="23"/>
  <c r="H24" i="23"/>
  <c r="G24" i="23"/>
  <c r="F24" i="23"/>
  <c r="E24" i="23"/>
  <c r="D24" i="23"/>
  <c r="K23" i="23"/>
  <c r="J23" i="23"/>
  <c r="I23" i="23"/>
  <c r="H23" i="23"/>
  <c r="G23" i="23"/>
  <c r="F23" i="23"/>
  <c r="E23" i="23"/>
  <c r="D23" i="23"/>
  <c r="F57" i="23" l="1"/>
  <c r="X19" i="2"/>
  <c r="X23" i="10"/>
  <c r="X27" i="10"/>
  <c r="X26" i="10"/>
  <c r="X24" i="10"/>
  <c r="X28" i="10"/>
  <c r="X45" i="12"/>
  <c r="X14" i="12"/>
  <c r="X70" i="12"/>
  <c r="X18" i="12"/>
  <c r="X23" i="12"/>
  <c r="X48" i="12"/>
  <c r="X43" i="12"/>
  <c r="X46" i="12"/>
  <c r="X16" i="12"/>
  <c r="X49" i="12"/>
  <c r="X11" i="12"/>
  <c r="X13" i="12"/>
  <c r="X21" i="12"/>
  <c r="X12" i="12"/>
  <c r="X15" i="12"/>
  <c r="X22" i="12"/>
  <c r="X24" i="12"/>
  <c r="X19" i="12"/>
  <c r="X27" i="12"/>
  <c r="X28" i="12"/>
  <c r="X10" i="12"/>
  <c r="X51" i="12"/>
  <c r="X53" i="12"/>
  <c r="X55" i="12"/>
  <c r="X54" i="12"/>
  <c r="X82" i="10"/>
  <c r="X11" i="10"/>
  <c r="X14" i="10"/>
  <c r="X57" i="10"/>
  <c r="X53" i="10"/>
  <c r="X51" i="10"/>
  <c r="X52" i="10"/>
  <c r="X55" i="10"/>
  <c r="X33" i="10"/>
  <c r="X54" i="10"/>
  <c r="X34" i="10"/>
  <c r="X19" i="10"/>
  <c r="X32" i="10"/>
  <c r="X15" i="10"/>
  <c r="X106" i="2"/>
  <c r="X18" i="2"/>
  <c r="X87" i="2"/>
  <c r="X104" i="2"/>
  <c r="X17" i="2"/>
  <c r="X101" i="2"/>
  <c r="X43" i="2"/>
  <c r="X28" i="2"/>
  <c r="X103" i="2"/>
  <c r="X102" i="2"/>
  <c r="X100" i="2"/>
  <c r="X67" i="2"/>
  <c r="X66" i="2"/>
  <c r="X23" i="2"/>
  <c r="X40" i="2"/>
  <c r="X39" i="2"/>
  <c r="X42" i="2"/>
  <c r="X41" i="2"/>
  <c r="X52" i="12"/>
  <c r="X59" i="12"/>
  <c r="X62" i="2"/>
  <c r="X74" i="2"/>
  <c r="X64" i="2"/>
  <c r="X65" i="2"/>
  <c r="X75" i="2"/>
  <c r="X12" i="2"/>
  <c r="X14" i="2"/>
  <c r="X81" i="2"/>
  <c r="X61" i="2"/>
  <c r="X15" i="2"/>
  <c r="X16" i="2"/>
  <c r="X80" i="2"/>
  <c r="X90" i="2"/>
  <c r="X82" i="2"/>
  <c r="X78" i="2"/>
  <c r="X20" i="7"/>
  <c r="X147" i="7"/>
  <c r="X149" i="7"/>
  <c r="X146" i="7"/>
  <c r="X24" i="7"/>
  <c r="X150" i="7"/>
  <c r="X148" i="7"/>
  <c r="X142" i="7"/>
  <c r="X139" i="7"/>
  <c r="X23" i="7"/>
  <c r="X26" i="7"/>
  <c r="X141" i="7"/>
  <c r="X143" i="7"/>
  <c r="X25" i="7"/>
  <c r="X22" i="7"/>
  <c r="X140" i="7"/>
  <c r="G59" i="23"/>
  <c r="D58" i="23"/>
  <c r="I58" i="23"/>
  <c r="E59" i="23"/>
  <c r="I59" i="23"/>
  <c r="I57" i="23"/>
  <c r="H58" i="23"/>
  <c r="F54" i="23"/>
  <c r="F58" i="23"/>
  <c r="J59" i="23"/>
  <c r="J58" i="23"/>
  <c r="K57" i="23"/>
  <c r="K58" i="23"/>
  <c r="K53" i="23"/>
  <c r="J57" i="23"/>
  <c r="H57" i="23"/>
  <c r="J53" i="23"/>
  <c r="H59" i="23"/>
  <c r="K59" i="23"/>
  <c r="X70" i="2"/>
  <c r="X31" i="2"/>
  <c r="X32" i="2"/>
  <c r="X72" i="10"/>
  <c r="X60" i="10"/>
  <c r="X71" i="10"/>
  <c r="X85" i="10"/>
  <c r="X12" i="10"/>
  <c r="X84" i="10"/>
  <c r="X86" i="10"/>
  <c r="X16" i="10"/>
  <c r="X17" i="10"/>
  <c r="X18" i="10"/>
  <c r="X11" i="2"/>
  <c r="X86" i="2"/>
  <c r="X71" i="2"/>
  <c r="X88" i="2"/>
  <c r="X77" i="2"/>
  <c r="X79" i="2"/>
  <c r="X89" i="2"/>
  <c r="X72" i="2"/>
  <c r="X30" i="2"/>
  <c r="X27" i="2"/>
  <c r="X29" i="7"/>
  <c r="X53" i="7"/>
  <c r="D53" i="23"/>
  <c r="F53" i="23"/>
  <c r="X30" i="7"/>
  <c r="X54" i="7"/>
  <c r="X51" i="7"/>
  <c r="X50" i="7"/>
  <c r="X49" i="7"/>
  <c r="X31" i="7"/>
  <c r="X66" i="7"/>
  <c r="X39" i="7"/>
  <c r="X36" i="7"/>
  <c r="X38" i="7"/>
  <c r="X65" i="7"/>
  <c r="X37" i="7"/>
  <c r="X67" i="7"/>
  <c r="X42" i="7"/>
  <c r="X63" i="7"/>
  <c r="X41" i="7"/>
  <c r="X40" i="7"/>
  <c r="X14" i="7"/>
  <c r="X13" i="7"/>
  <c r="X12" i="7"/>
  <c r="X19" i="7"/>
  <c r="X11" i="7"/>
  <c r="X18" i="7"/>
  <c r="X17" i="7"/>
  <c r="X16" i="7"/>
  <c r="X15" i="7"/>
  <c r="X124" i="7"/>
  <c r="X123" i="7"/>
  <c r="X96" i="7"/>
  <c r="X119" i="7"/>
  <c r="X92" i="7"/>
  <c r="X91" i="7"/>
  <c r="X122" i="7"/>
  <c r="X95" i="7"/>
  <c r="X121" i="7"/>
  <c r="X94" i="7"/>
  <c r="X120" i="7"/>
  <c r="X93" i="7"/>
  <c r="X106" i="7"/>
  <c r="X89" i="7"/>
  <c r="X105" i="7"/>
  <c r="X88" i="7"/>
  <c r="X87" i="7"/>
  <c r="X86" i="7"/>
  <c r="X85" i="7"/>
  <c r="X84" i="7"/>
  <c r="X108" i="7"/>
  <c r="X83" i="7"/>
  <c r="X107" i="7"/>
  <c r="X127" i="7"/>
  <c r="X114" i="7"/>
  <c r="X113" i="7"/>
  <c r="X112" i="7"/>
  <c r="X128" i="7"/>
  <c r="X115" i="7"/>
  <c r="X111" i="7"/>
  <c r="X110" i="7"/>
  <c r="X109" i="7"/>
  <c r="I53" i="23"/>
  <c r="J54" i="23"/>
  <c r="G54" i="23"/>
  <c r="I54" i="23"/>
  <c r="H54" i="23"/>
  <c r="E53" i="23"/>
  <c r="H53" i="23"/>
  <c r="D54" i="23"/>
  <c r="K54" i="23"/>
  <c r="E54" i="23"/>
  <c r="G53" i="23"/>
  <c r="G58" i="23"/>
  <c r="E39" i="23"/>
  <c r="K44" i="23"/>
  <c r="J44" i="23"/>
  <c r="I44" i="23"/>
  <c r="H44" i="23"/>
  <c r="G44" i="23"/>
  <c r="F44" i="23"/>
  <c r="E44" i="23"/>
  <c r="D44" i="23"/>
  <c r="K43" i="23"/>
  <c r="J43" i="23"/>
  <c r="I43" i="23"/>
  <c r="H43" i="23"/>
  <c r="G43" i="23"/>
  <c r="F43" i="23"/>
  <c r="E43" i="23"/>
  <c r="D43" i="23"/>
  <c r="K42" i="23"/>
  <c r="J42" i="23"/>
  <c r="I42" i="23"/>
  <c r="H42" i="23"/>
  <c r="G42" i="23"/>
  <c r="F42" i="23"/>
  <c r="E42" i="23"/>
  <c r="D42" i="23"/>
  <c r="K41" i="23"/>
  <c r="J41" i="23"/>
  <c r="I41" i="23"/>
  <c r="H41" i="23"/>
  <c r="G41" i="23"/>
  <c r="F41" i="23"/>
  <c r="E41" i="23"/>
  <c r="D41" i="23"/>
  <c r="K40" i="23"/>
  <c r="J40" i="23"/>
  <c r="I40" i="23"/>
  <c r="H40" i="23"/>
  <c r="G40" i="23"/>
  <c r="F40" i="23"/>
  <c r="E40" i="23"/>
  <c r="D40" i="23"/>
  <c r="K39" i="23"/>
  <c r="J39" i="23"/>
  <c r="I39" i="23"/>
  <c r="H39" i="23"/>
  <c r="G39" i="23"/>
  <c r="F39" i="23"/>
  <c r="D39" i="23"/>
  <c r="K38" i="23"/>
  <c r="J38" i="23"/>
  <c r="I38" i="23"/>
  <c r="H38" i="23"/>
  <c r="G38" i="23"/>
  <c r="F38" i="23"/>
  <c r="E38" i="23"/>
  <c r="D38" i="23"/>
  <c r="K37" i="23"/>
  <c r="J37" i="23"/>
  <c r="I37" i="23"/>
  <c r="H37" i="23"/>
  <c r="G37" i="23"/>
  <c r="F37" i="23"/>
  <c r="E37" i="23"/>
  <c r="D37" i="23"/>
  <c r="H55" i="23" l="1"/>
  <c r="H56" i="23"/>
  <c r="I55" i="23"/>
  <c r="I56" i="23"/>
  <c r="G56" i="23"/>
  <c r="G55" i="23"/>
  <c r="E56" i="23"/>
  <c r="D55" i="23"/>
  <c r="D56" i="23"/>
  <c r="E55" i="23"/>
  <c r="K55" i="23"/>
  <c r="K56" i="23"/>
  <c r="J55" i="23"/>
  <c r="J56" i="23"/>
  <c r="F55" i="23"/>
  <c r="F56" i="23"/>
  <c r="F114" i="23"/>
  <c r="E114" i="23"/>
  <c r="D114" i="23"/>
  <c r="F113" i="23"/>
  <c r="E113" i="23"/>
  <c r="D113" i="23"/>
  <c r="F112" i="23"/>
  <c r="E112" i="23"/>
  <c r="D112" i="23"/>
  <c r="F111" i="23"/>
  <c r="E111" i="23"/>
  <c r="D111" i="23"/>
  <c r="F110" i="23"/>
  <c r="E110" i="23"/>
  <c r="D110" i="23"/>
  <c r="F109" i="23"/>
  <c r="E109" i="23"/>
  <c r="D109" i="23"/>
  <c r="F108" i="23"/>
  <c r="E108" i="23"/>
  <c r="D108" i="23"/>
  <c r="F107" i="23"/>
  <c r="E107" i="23"/>
  <c r="D107" i="23"/>
  <c r="F106" i="23"/>
  <c r="E106" i="23"/>
  <c r="D106" i="23"/>
  <c r="F105" i="23"/>
  <c r="E105" i="23"/>
  <c r="D105" i="23"/>
  <c r="F104" i="23"/>
  <c r="E104" i="23"/>
  <c r="D104" i="23"/>
  <c r="F103" i="23"/>
  <c r="E103" i="23"/>
  <c r="D103" i="23"/>
  <c r="F102" i="23"/>
  <c r="E102" i="23"/>
  <c r="D102" i="23"/>
  <c r="F101" i="23"/>
  <c r="E101" i="23"/>
  <c r="D101" i="23"/>
  <c r="F100" i="23"/>
  <c r="E100" i="23"/>
  <c r="D100" i="23"/>
  <c r="F99" i="23"/>
  <c r="E99" i="23"/>
  <c r="D99" i="23"/>
  <c r="F98" i="23"/>
  <c r="E98" i="23"/>
  <c r="D98" i="23"/>
  <c r="F97" i="23"/>
  <c r="E97" i="23"/>
  <c r="D97" i="23"/>
  <c r="F96" i="23"/>
  <c r="E96" i="23"/>
  <c r="D96" i="23"/>
  <c r="F95" i="23"/>
  <c r="E95" i="23"/>
  <c r="D95" i="23"/>
  <c r="F94" i="23"/>
  <c r="E94" i="23"/>
  <c r="D94" i="23"/>
  <c r="F93" i="23"/>
  <c r="E93" i="23"/>
  <c r="D93" i="23"/>
  <c r="F92" i="23"/>
  <c r="E92" i="23"/>
  <c r="D92" i="23"/>
  <c r="F91" i="23"/>
  <c r="E91" i="23"/>
  <c r="D91" i="23"/>
  <c r="F90" i="23"/>
  <c r="E90" i="23"/>
  <c r="D90" i="23"/>
  <c r="F89" i="23"/>
  <c r="E89" i="23"/>
  <c r="D89" i="23"/>
  <c r="F88" i="23"/>
  <c r="E88" i="23"/>
  <c r="D88" i="23"/>
  <c r="F87" i="23"/>
  <c r="E87" i="23"/>
  <c r="D87" i="23"/>
  <c r="F86" i="23"/>
  <c r="E86" i="23"/>
  <c r="D86" i="23"/>
  <c r="F85" i="23"/>
  <c r="E85" i="23"/>
  <c r="D85" i="23"/>
  <c r="F84" i="23"/>
  <c r="E84" i="23"/>
  <c r="D84" i="23"/>
  <c r="F83" i="23"/>
  <c r="E83" i="23"/>
  <c r="D83" i="23"/>
  <c r="F82" i="23"/>
  <c r="E82" i="23"/>
  <c r="D82" i="23"/>
  <c r="F13" i="23"/>
  <c r="F12" i="23"/>
  <c r="E13" i="23"/>
  <c r="E12" i="23"/>
  <c r="D13" i="23"/>
  <c r="D12" i="23"/>
  <c r="F9" i="23"/>
  <c r="F8" i="23"/>
  <c r="E9" i="23"/>
  <c r="E8" i="23"/>
  <c r="D9" i="23"/>
  <c r="D8" i="23"/>
  <c r="E60" i="23" l="1"/>
  <c r="X137" i="20" s="1"/>
  <c r="H60" i="23"/>
  <c r="G60" i="23"/>
  <c r="X104" i="20" s="1"/>
  <c r="I60" i="23"/>
  <c r="X36" i="20" s="1"/>
  <c r="J60" i="23"/>
  <c r="X170" i="20" s="1"/>
  <c r="D60" i="23"/>
  <c r="K60" i="23"/>
  <c r="X23" i="20" s="1"/>
  <c r="F60" i="23"/>
  <c r="AV7" i="21"/>
  <c r="AU7" i="21"/>
  <c r="AT7" i="21"/>
  <c r="AS7" i="21"/>
  <c r="AR7" i="21"/>
  <c r="AQ7" i="21"/>
  <c r="AP7" i="21"/>
  <c r="AO7" i="21"/>
  <c r="AN7" i="21"/>
  <c r="AM7" i="21"/>
  <c r="AL7" i="21"/>
  <c r="AK7" i="21"/>
  <c r="AJ7" i="21"/>
  <c r="AI7" i="21"/>
  <c r="AH7" i="21"/>
  <c r="AG7" i="21"/>
  <c r="AF7" i="21"/>
  <c r="AE7" i="21"/>
  <c r="AD7" i="21"/>
  <c r="AC7" i="21"/>
  <c r="AB7" i="21"/>
  <c r="AA7" i="21"/>
  <c r="Z7" i="21"/>
  <c r="Y7" i="21"/>
  <c r="X7" i="21"/>
  <c r="W7" i="21"/>
  <c r="V7" i="21"/>
  <c r="U7" i="21"/>
  <c r="T7" i="21"/>
  <c r="S7" i="21"/>
  <c r="R7" i="21"/>
  <c r="Q7" i="21"/>
  <c r="P7" i="21"/>
  <c r="O7" i="21"/>
  <c r="N7" i="21"/>
  <c r="M7" i="21"/>
  <c r="L7" i="21"/>
  <c r="K7" i="21"/>
  <c r="J7" i="21"/>
  <c r="I7" i="21"/>
  <c r="H7" i="21"/>
  <c r="G7" i="21"/>
  <c r="F7" i="21"/>
  <c r="AZ32" i="21"/>
  <c r="AZ31" i="21"/>
  <c r="AZ30" i="21"/>
  <c r="AZ29" i="21"/>
  <c r="AZ28" i="21"/>
  <c r="AZ27" i="21"/>
  <c r="AZ26" i="21"/>
  <c r="AZ25" i="21"/>
  <c r="AZ24" i="21"/>
  <c r="AZ23" i="21"/>
  <c r="AZ22" i="21"/>
  <c r="AZ21" i="21"/>
  <c r="AZ20" i="21"/>
  <c r="AZ19" i="21"/>
  <c r="AZ18" i="21"/>
  <c r="AZ17" i="21"/>
  <c r="AZ16" i="21"/>
  <c r="AZ15" i="21"/>
  <c r="AZ14" i="21"/>
  <c r="AZ13" i="21"/>
  <c r="AZ12" i="21"/>
  <c r="AZ11" i="21"/>
  <c r="AZ10" i="21"/>
  <c r="AZ53" i="21"/>
  <c r="C53" i="21"/>
  <c r="C52" i="21"/>
  <c r="C32" i="21"/>
  <c r="C31" i="21"/>
  <c r="AW56" i="21"/>
  <c r="AV56" i="21"/>
  <c r="AU56" i="21"/>
  <c r="AT56" i="21"/>
  <c r="AS56" i="21"/>
  <c r="AR56" i="21"/>
  <c r="AQ56" i="21"/>
  <c r="AP56" i="21"/>
  <c r="AO56" i="21"/>
  <c r="AN56" i="21"/>
  <c r="AM56" i="21"/>
  <c r="AL56" i="21"/>
  <c r="AK56" i="21"/>
  <c r="AJ56" i="21"/>
  <c r="AI56" i="21"/>
  <c r="AH56" i="21"/>
  <c r="AG56" i="21"/>
  <c r="AF56" i="21"/>
  <c r="AE56" i="21"/>
  <c r="AD56" i="21"/>
  <c r="AC56" i="21"/>
  <c r="AB56" i="21"/>
  <c r="AA56" i="21"/>
  <c r="Z56" i="21"/>
  <c r="Y56" i="21"/>
  <c r="X56" i="21"/>
  <c r="W56" i="21"/>
  <c r="V56" i="21"/>
  <c r="U56" i="21"/>
  <c r="T56" i="21"/>
  <c r="S56" i="21"/>
  <c r="R56" i="21"/>
  <c r="Q56" i="21"/>
  <c r="P56" i="21"/>
  <c r="O56" i="21"/>
  <c r="N56" i="21"/>
  <c r="M56" i="21"/>
  <c r="L56" i="21"/>
  <c r="K56" i="21"/>
  <c r="J56" i="21"/>
  <c r="I56" i="21"/>
  <c r="C34" i="21"/>
  <c r="C35" i="21"/>
  <c r="C36" i="21"/>
  <c r="C37" i="21"/>
  <c r="C38" i="21"/>
  <c r="C39" i="21"/>
  <c r="C40" i="21"/>
  <c r="C41" i="21"/>
  <c r="C42" i="21"/>
  <c r="C43" i="21"/>
  <c r="C44" i="21"/>
  <c r="C45" i="21"/>
  <c r="C46" i="21"/>
  <c r="C47" i="21"/>
  <c r="C48" i="21"/>
  <c r="C49" i="21"/>
  <c r="C50" i="21"/>
  <c r="C51" i="21"/>
  <c r="C33" i="21"/>
  <c r="C19" i="21"/>
  <c r="C20" i="21"/>
  <c r="C21" i="21"/>
  <c r="C22" i="21"/>
  <c r="C23" i="21"/>
  <c r="C24" i="21"/>
  <c r="C25" i="21"/>
  <c r="C26" i="21"/>
  <c r="C27" i="21"/>
  <c r="C28" i="21"/>
  <c r="C29" i="21"/>
  <c r="C30" i="21"/>
  <c r="C12" i="21"/>
  <c r="C13" i="21"/>
  <c r="C14" i="21"/>
  <c r="C15" i="21"/>
  <c r="C16" i="21"/>
  <c r="C17" i="21"/>
  <c r="C18" i="21"/>
  <c r="C11" i="21"/>
  <c r="X135" i="20" l="1"/>
  <c r="X151" i="20"/>
  <c r="X139" i="20"/>
  <c r="X152" i="20"/>
  <c r="X26" i="20"/>
  <c r="X30" i="20"/>
  <c r="X133" i="20"/>
  <c r="X134" i="20"/>
  <c r="X154" i="20"/>
  <c r="X138" i="20"/>
  <c r="X156" i="20"/>
  <c r="X136" i="20"/>
  <c r="X58" i="20"/>
  <c r="X155" i="20"/>
  <c r="X153" i="20"/>
  <c r="X59" i="20"/>
  <c r="X62" i="20"/>
  <c r="X61" i="20"/>
  <c r="X33" i="20"/>
  <c r="X28" i="20"/>
  <c r="X128" i="20"/>
  <c r="X171" i="20"/>
  <c r="X46" i="20"/>
  <c r="X74" i="20"/>
  <c r="X78" i="20"/>
  <c r="X49" i="20"/>
  <c r="X45" i="20"/>
  <c r="X48" i="20"/>
  <c r="X77" i="20"/>
  <c r="X47" i="20"/>
  <c r="X44" i="20"/>
  <c r="X76" i="20"/>
  <c r="X75" i="20"/>
  <c r="X79" i="20"/>
  <c r="X50" i="20"/>
  <c r="X130" i="20"/>
  <c r="X38" i="20"/>
  <c r="X37" i="20"/>
  <c r="X101" i="20"/>
  <c r="X34" i="20"/>
  <c r="X60" i="20"/>
  <c r="X57" i="20"/>
  <c r="X35" i="20"/>
  <c r="X103" i="20"/>
  <c r="X127" i="20"/>
  <c r="X105" i="20"/>
  <c r="X126" i="20"/>
  <c r="X102" i="20"/>
  <c r="X131" i="20"/>
  <c r="X100" i="20"/>
  <c r="X129" i="20"/>
  <c r="X99" i="20"/>
  <c r="X172" i="20"/>
  <c r="X29" i="20"/>
  <c r="X169" i="20"/>
  <c r="X27" i="20"/>
  <c r="X25" i="20"/>
  <c r="X173" i="20"/>
  <c r="X174" i="20"/>
  <c r="X148" i="20"/>
  <c r="X107" i="20"/>
  <c r="X147" i="20"/>
  <c r="X146" i="20"/>
  <c r="X145" i="20"/>
  <c r="X112" i="20"/>
  <c r="X144" i="20"/>
  <c r="X111" i="20"/>
  <c r="X143" i="20"/>
  <c r="X110" i="20"/>
  <c r="X109" i="20"/>
  <c r="X108" i="20"/>
  <c r="X180" i="20"/>
  <c r="X179" i="20"/>
  <c r="X178" i="20"/>
  <c r="X177" i="20"/>
  <c r="X182" i="20"/>
  <c r="X181" i="20"/>
  <c r="X16" i="20"/>
  <c r="X15" i="20"/>
  <c r="X18" i="20"/>
  <c r="X14" i="20"/>
  <c r="X13" i="20"/>
  <c r="X17" i="20"/>
  <c r="X24" i="20"/>
  <c r="X19" i="20"/>
  <c r="X22" i="20"/>
  <c r="X21" i="20"/>
  <c r="X11" i="20"/>
  <c r="X20" i="20"/>
  <c r="X12" i="20"/>
  <c r="F114" i="18"/>
  <c r="E114" i="18"/>
  <c r="D114" i="18"/>
  <c r="F113" i="18"/>
  <c r="E113" i="18"/>
  <c r="D113" i="18"/>
  <c r="F112" i="18"/>
  <c r="E112" i="18"/>
  <c r="D112" i="18"/>
  <c r="F111" i="18"/>
  <c r="E111" i="18"/>
  <c r="D111" i="18"/>
  <c r="F110" i="18"/>
  <c r="E110" i="18"/>
  <c r="D110" i="18"/>
  <c r="F109" i="18"/>
  <c r="E109" i="18"/>
  <c r="D109" i="18"/>
  <c r="F108" i="18"/>
  <c r="E108" i="18"/>
  <c r="D108" i="18"/>
  <c r="F107" i="18"/>
  <c r="E107" i="18"/>
  <c r="D107" i="18"/>
  <c r="F106" i="18"/>
  <c r="E106" i="18"/>
  <c r="D106" i="18"/>
  <c r="F105" i="18"/>
  <c r="E105" i="18"/>
  <c r="D105" i="18"/>
  <c r="F104" i="18"/>
  <c r="E104" i="18"/>
  <c r="D104" i="18"/>
  <c r="F103" i="18"/>
  <c r="E103" i="18"/>
  <c r="D103" i="18"/>
  <c r="F102" i="18"/>
  <c r="E102" i="18"/>
  <c r="D102" i="18"/>
  <c r="F101" i="18"/>
  <c r="E101" i="18"/>
  <c r="D101" i="18"/>
  <c r="F100" i="18"/>
  <c r="E100" i="18"/>
  <c r="D100" i="18"/>
  <c r="F99" i="18"/>
  <c r="E99" i="18"/>
  <c r="D99" i="18"/>
  <c r="F98" i="18"/>
  <c r="E98" i="18"/>
  <c r="D98" i="18"/>
  <c r="F97" i="18"/>
  <c r="E97" i="18"/>
  <c r="D97" i="18"/>
  <c r="F96" i="18"/>
  <c r="E96" i="18"/>
  <c r="D96" i="18"/>
  <c r="F95" i="18"/>
  <c r="E95" i="18"/>
  <c r="D95" i="18"/>
  <c r="F94" i="18"/>
  <c r="E94" i="18"/>
  <c r="D94" i="18"/>
  <c r="F93" i="18"/>
  <c r="E93" i="18"/>
  <c r="D93" i="18"/>
  <c r="F92" i="18"/>
  <c r="E92" i="18"/>
  <c r="D92" i="18"/>
  <c r="F91" i="18"/>
  <c r="E91" i="18"/>
  <c r="D91" i="18"/>
  <c r="F90" i="18"/>
  <c r="E90" i="18"/>
  <c r="D90" i="18"/>
  <c r="F89" i="18"/>
  <c r="E89" i="18"/>
  <c r="D89" i="18"/>
  <c r="F88" i="18"/>
  <c r="E88" i="18"/>
  <c r="D88" i="18"/>
  <c r="F87" i="18"/>
  <c r="E87" i="18"/>
  <c r="D87" i="18"/>
  <c r="F86" i="18"/>
  <c r="E86" i="18"/>
  <c r="D86" i="18"/>
  <c r="F85" i="18"/>
  <c r="E85" i="18"/>
  <c r="D85" i="18"/>
  <c r="F84" i="18"/>
  <c r="E84" i="18"/>
  <c r="D84" i="18"/>
  <c r="F83" i="18"/>
  <c r="E83" i="18"/>
  <c r="D83" i="18"/>
  <c r="F82" i="18"/>
  <c r="E82" i="18"/>
  <c r="D82" i="18"/>
  <c r="K19" i="18"/>
  <c r="J19" i="18"/>
  <c r="I19" i="18"/>
  <c r="H19" i="18"/>
  <c r="G19" i="18"/>
  <c r="F19" i="18"/>
  <c r="E19" i="18"/>
  <c r="D19" i="18"/>
  <c r="K18" i="18"/>
  <c r="J18" i="18"/>
  <c r="I18" i="18"/>
  <c r="H18" i="18"/>
  <c r="G18" i="18"/>
  <c r="F18" i="18"/>
  <c r="E18" i="18"/>
  <c r="D18" i="18"/>
  <c r="K17" i="18"/>
  <c r="J17" i="18"/>
  <c r="I17" i="18"/>
  <c r="H17" i="18"/>
  <c r="G17" i="18"/>
  <c r="F17" i="18"/>
  <c r="E17" i="18"/>
  <c r="D17" i="18"/>
  <c r="E13" i="18"/>
  <c r="D13" i="18"/>
  <c r="F12" i="18"/>
  <c r="E12" i="18"/>
  <c r="D12" i="18"/>
  <c r="F9" i="18"/>
  <c r="E9" i="18"/>
  <c r="D9" i="18"/>
  <c r="F8" i="18"/>
  <c r="E8" i="18"/>
  <c r="D8" i="18"/>
  <c r="F114" i="17"/>
  <c r="E114" i="17"/>
  <c r="D114" i="17"/>
  <c r="F113" i="17"/>
  <c r="E113" i="17"/>
  <c r="D113" i="17"/>
  <c r="F112" i="17"/>
  <c r="E112" i="17"/>
  <c r="D112" i="17"/>
  <c r="F111" i="17"/>
  <c r="E111" i="17"/>
  <c r="D111" i="17"/>
  <c r="F110" i="17"/>
  <c r="E110" i="17"/>
  <c r="D110" i="17"/>
  <c r="F109" i="17"/>
  <c r="E109" i="17"/>
  <c r="D109" i="17"/>
  <c r="F108" i="17"/>
  <c r="E108" i="17"/>
  <c r="D108" i="17"/>
  <c r="F107" i="17"/>
  <c r="E107" i="17"/>
  <c r="D107" i="17"/>
  <c r="F106" i="17"/>
  <c r="E106" i="17"/>
  <c r="D106" i="17"/>
  <c r="F105" i="17"/>
  <c r="E105" i="17"/>
  <c r="D105" i="17"/>
  <c r="F104" i="17"/>
  <c r="E104" i="17"/>
  <c r="D104" i="17"/>
  <c r="F103" i="17"/>
  <c r="E103" i="17"/>
  <c r="D103" i="17"/>
  <c r="F102" i="17"/>
  <c r="E102" i="17"/>
  <c r="D102" i="17"/>
  <c r="F101" i="17"/>
  <c r="E101" i="17"/>
  <c r="D101" i="17"/>
  <c r="F100" i="17"/>
  <c r="E100" i="17"/>
  <c r="D100" i="17"/>
  <c r="F99" i="17"/>
  <c r="E99" i="17"/>
  <c r="D99" i="17"/>
  <c r="F98" i="17"/>
  <c r="E98" i="17"/>
  <c r="D98" i="17"/>
  <c r="F97" i="17"/>
  <c r="E97" i="17"/>
  <c r="D97" i="17"/>
  <c r="F96" i="17"/>
  <c r="E96" i="17"/>
  <c r="D96" i="17"/>
  <c r="F95" i="17"/>
  <c r="E95" i="17"/>
  <c r="D95" i="17"/>
  <c r="F94" i="17"/>
  <c r="E94" i="17"/>
  <c r="D94" i="17"/>
  <c r="F93" i="17"/>
  <c r="E93" i="17"/>
  <c r="D93" i="17"/>
  <c r="F92" i="17"/>
  <c r="E92" i="17"/>
  <c r="D92" i="17"/>
  <c r="F91" i="17"/>
  <c r="E91" i="17"/>
  <c r="D91" i="17"/>
  <c r="F90" i="17"/>
  <c r="E90" i="17"/>
  <c r="D90" i="17"/>
  <c r="F89" i="17"/>
  <c r="E89" i="17"/>
  <c r="D89" i="17"/>
  <c r="F88" i="17"/>
  <c r="E88" i="17"/>
  <c r="D88" i="17"/>
  <c r="F87" i="17"/>
  <c r="E87" i="17"/>
  <c r="D87" i="17"/>
  <c r="F86" i="17"/>
  <c r="E86" i="17"/>
  <c r="D86" i="17"/>
  <c r="F85" i="17"/>
  <c r="E85" i="17"/>
  <c r="D85" i="17"/>
  <c r="F84" i="17"/>
  <c r="E84" i="17"/>
  <c r="D84" i="17"/>
  <c r="F83" i="17"/>
  <c r="E83" i="17"/>
  <c r="D83" i="17"/>
  <c r="F82" i="17"/>
  <c r="E82" i="17"/>
  <c r="D82" i="17"/>
  <c r="K19" i="17"/>
  <c r="J19" i="17"/>
  <c r="I19" i="17"/>
  <c r="H19" i="17"/>
  <c r="G19" i="17"/>
  <c r="F19" i="17"/>
  <c r="E19" i="17"/>
  <c r="D19" i="17"/>
  <c r="K18" i="17"/>
  <c r="J18" i="17"/>
  <c r="I18" i="17"/>
  <c r="H18" i="17"/>
  <c r="G18" i="17"/>
  <c r="F18" i="17"/>
  <c r="E18" i="17"/>
  <c r="D18" i="17"/>
  <c r="K17" i="17"/>
  <c r="J17" i="17"/>
  <c r="I17" i="17"/>
  <c r="H17" i="17"/>
  <c r="G17" i="17"/>
  <c r="F17" i="17"/>
  <c r="E17" i="17"/>
  <c r="D17" i="17"/>
  <c r="E13" i="17"/>
  <c r="D13" i="17"/>
  <c r="F12" i="17"/>
  <c r="E12" i="17"/>
  <c r="D12" i="17"/>
  <c r="F9" i="17"/>
  <c r="E9" i="17"/>
  <c r="D9" i="17"/>
  <c r="F8" i="17"/>
  <c r="E8" i="17"/>
  <c r="D8" i="17"/>
  <c r="F114" i="15" l="1"/>
  <c r="E114" i="15"/>
  <c r="D114" i="15"/>
  <c r="F113" i="15"/>
  <c r="E113" i="15"/>
  <c r="D113" i="15"/>
  <c r="F112" i="15"/>
  <c r="E112" i="15"/>
  <c r="D112" i="15"/>
  <c r="F111" i="15"/>
  <c r="E111" i="15"/>
  <c r="D111" i="15"/>
  <c r="F110" i="15"/>
  <c r="E110" i="15"/>
  <c r="D110" i="15"/>
  <c r="F109" i="15"/>
  <c r="E109" i="15"/>
  <c r="D109" i="15"/>
  <c r="F108" i="15"/>
  <c r="E108" i="15"/>
  <c r="D108" i="15"/>
  <c r="F107" i="15"/>
  <c r="E107" i="15"/>
  <c r="D107" i="15"/>
  <c r="F106" i="15"/>
  <c r="E106" i="15"/>
  <c r="D106" i="15"/>
  <c r="F105" i="15"/>
  <c r="E105" i="15"/>
  <c r="D105" i="15"/>
  <c r="F104" i="15"/>
  <c r="E104" i="15"/>
  <c r="D104" i="15"/>
  <c r="F103" i="15"/>
  <c r="E103" i="15"/>
  <c r="D103" i="15"/>
  <c r="F102" i="15"/>
  <c r="E102" i="15"/>
  <c r="D102" i="15"/>
  <c r="F101" i="15"/>
  <c r="E101" i="15"/>
  <c r="D101" i="15"/>
  <c r="F100" i="15"/>
  <c r="E100" i="15"/>
  <c r="D100" i="15"/>
  <c r="F99" i="15"/>
  <c r="E99" i="15"/>
  <c r="D99" i="15"/>
  <c r="F98" i="15"/>
  <c r="E98" i="15"/>
  <c r="D98" i="15"/>
  <c r="F97" i="15"/>
  <c r="E97" i="15"/>
  <c r="D97" i="15"/>
  <c r="F96" i="15"/>
  <c r="E96" i="15"/>
  <c r="D96" i="15"/>
  <c r="F95" i="15"/>
  <c r="E95" i="15"/>
  <c r="D95" i="15"/>
  <c r="F94" i="15"/>
  <c r="E94" i="15"/>
  <c r="D94" i="15"/>
  <c r="F93" i="15"/>
  <c r="E93" i="15"/>
  <c r="D93" i="15"/>
  <c r="F92" i="15"/>
  <c r="E92" i="15"/>
  <c r="D92" i="15"/>
  <c r="F91" i="15"/>
  <c r="E91" i="15"/>
  <c r="D91" i="15"/>
  <c r="F90" i="15"/>
  <c r="E90" i="15"/>
  <c r="D90" i="15"/>
  <c r="F89" i="15"/>
  <c r="E89" i="15"/>
  <c r="D89" i="15"/>
  <c r="F88" i="15"/>
  <c r="E88" i="15"/>
  <c r="D88" i="15"/>
  <c r="F87" i="15"/>
  <c r="E87" i="15"/>
  <c r="D87" i="15"/>
  <c r="F86" i="15"/>
  <c r="E86" i="15"/>
  <c r="D86" i="15"/>
  <c r="F85" i="15"/>
  <c r="E85" i="15"/>
  <c r="D85" i="15"/>
  <c r="F84" i="15"/>
  <c r="E84" i="15"/>
  <c r="D84" i="15"/>
  <c r="F83" i="15"/>
  <c r="E83" i="15"/>
  <c r="D83" i="15"/>
  <c r="F82" i="15"/>
  <c r="E82" i="15"/>
  <c r="D82" i="15"/>
  <c r="K19" i="15"/>
  <c r="J19" i="15"/>
  <c r="I19" i="15"/>
  <c r="H19" i="15"/>
  <c r="G19" i="15"/>
  <c r="F19" i="15"/>
  <c r="E19" i="15"/>
  <c r="D19" i="15"/>
  <c r="K18" i="15"/>
  <c r="J18" i="15"/>
  <c r="I18" i="15"/>
  <c r="H18" i="15"/>
  <c r="G18" i="15"/>
  <c r="F18" i="15"/>
  <c r="E18" i="15"/>
  <c r="D18" i="15"/>
  <c r="K17" i="15"/>
  <c r="J17" i="15"/>
  <c r="I17" i="15"/>
  <c r="H17" i="15"/>
  <c r="G17" i="15"/>
  <c r="F17" i="15"/>
  <c r="E17" i="15"/>
  <c r="D17" i="15"/>
  <c r="E13" i="15"/>
  <c r="D13" i="15"/>
  <c r="F12" i="15"/>
  <c r="E12" i="15"/>
  <c r="D12" i="15"/>
  <c r="F9" i="15"/>
  <c r="E9" i="15"/>
  <c r="D9" i="15"/>
  <c r="D8" i="15"/>
  <c r="E8" i="15"/>
  <c r="F8" i="15"/>
  <c r="F114" i="14" l="1"/>
  <c r="E114"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2" i="14"/>
  <c r="D83" i="14"/>
  <c r="F113" i="14" l="1"/>
  <c r="F112" i="14"/>
  <c r="F111" i="14"/>
  <c r="F110" i="14"/>
  <c r="F109" i="14"/>
  <c r="F108" i="14"/>
  <c r="F107" i="14"/>
  <c r="F106" i="14"/>
  <c r="F105" i="14"/>
  <c r="F104" i="14"/>
  <c r="F103" i="14"/>
  <c r="F102" i="14"/>
  <c r="F101" i="14"/>
  <c r="F100" i="14"/>
  <c r="F99" i="14"/>
  <c r="F98" i="14"/>
  <c r="F97" i="14"/>
  <c r="F96" i="14"/>
  <c r="F95" i="14"/>
  <c r="F94" i="14"/>
  <c r="F93" i="14"/>
  <c r="F92" i="14"/>
  <c r="F91" i="14"/>
  <c r="F90" i="14"/>
  <c r="F89" i="14"/>
  <c r="F88" i="14"/>
  <c r="F87" i="14"/>
  <c r="F86" i="14"/>
  <c r="F85" i="14"/>
  <c r="F84" i="14"/>
  <c r="F83" i="14"/>
  <c r="F82"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2" i="14"/>
  <c r="E83" i="14"/>
  <c r="E13" i="14" l="1"/>
  <c r="D13" i="14"/>
  <c r="F12" i="14"/>
  <c r="E12" i="14"/>
  <c r="D12" i="14"/>
  <c r="D8" i="14"/>
  <c r="F9" i="14"/>
  <c r="E9" i="14"/>
  <c r="D9" i="14"/>
  <c r="E8" i="14"/>
  <c r="D17" i="14"/>
  <c r="K19" i="14"/>
  <c r="K18" i="14"/>
  <c r="K17" i="14"/>
  <c r="J19" i="14"/>
  <c r="J18" i="14"/>
  <c r="J17" i="14"/>
  <c r="I19" i="14"/>
  <c r="I18" i="14"/>
  <c r="I17" i="14"/>
  <c r="H19" i="14"/>
  <c r="H18" i="14"/>
  <c r="H17" i="14"/>
  <c r="G19" i="14"/>
  <c r="G18" i="14"/>
  <c r="G17" i="14"/>
  <c r="F18" i="14"/>
  <c r="F19" i="14"/>
  <c r="F17" i="14"/>
  <c r="E17" i="14"/>
  <c r="E19" i="14"/>
  <c r="E18" i="14"/>
  <c r="D19" i="14"/>
  <c r="D18" i="14"/>
  <c r="F9" i="13" l="1"/>
  <c r="G9" i="13"/>
  <c r="H9" i="13"/>
  <c r="I9" i="13"/>
  <c r="J9" i="13"/>
  <c r="K9" i="13"/>
  <c r="L9" i="13"/>
  <c r="M9" i="13"/>
  <c r="N9" i="13"/>
  <c r="O9" i="13"/>
  <c r="P9" i="13"/>
  <c r="Q9" i="13"/>
  <c r="R9" i="13"/>
  <c r="S9" i="13"/>
  <c r="T9" i="13"/>
  <c r="U9" i="13"/>
  <c r="X12" i="13"/>
  <c r="X13" i="13"/>
  <c r="X14" i="13"/>
  <c r="X15" i="13"/>
  <c r="X16" i="13"/>
  <c r="X17" i="13"/>
  <c r="X18" i="13"/>
  <c r="X19" i="13"/>
  <c r="X20" i="13"/>
  <c r="X21" i="13"/>
  <c r="X22" i="13"/>
  <c r="X23" i="13"/>
  <c r="X24" i="13"/>
  <c r="X25" i="13"/>
  <c r="X26" i="13"/>
  <c r="X27" i="13"/>
  <c r="U30" i="13"/>
  <c r="T30" i="13"/>
  <c r="S30" i="13"/>
  <c r="R30" i="13"/>
  <c r="Q30" i="13"/>
  <c r="P30" i="13"/>
  <c r="O30" i="13"/>
  <c r="N30" i="13"/>
  <c r="M30" i="13"/>
  <c r="L30" i="13"/>
  <c r="K30" i="13"/>
  <c r="J30" i="13"/>
  <c r="I30" i="13"/>
  <c r="H30" i="13"/>
  <c r="G30" i="13"/>
  <c r="F30" i="13"/>
  <c r="C13" i="13"/>
  <c r="C14" i="13"/>
  <c r="C15" i="13"/>
  <c r="C16" i="13"/>
  <c r="C17" i="13"/>
  <c r="C18" i="13"/>
  <c r="C19" i="13"/>
  <c r="C20" i="13"/>
  <c r="C21" i="13"/>
  <c r="C22" i="13"/>
  <c r="C23" i="13"/>
  <c r="C24" i="13"/>
  <c r="C25" i="13"/>
  <c r="C26" i="13"/>
  <c r="C27" i="13"/>
  <c r="C12" i="13"/>
  <c r="F7" i="11"/>
  <c r="G7" i="11"/>
  <c r="H7" i="11"/>
  <c r="I7" i="11"/>
  <c r="J7" i="11"/>
  <c r="K7" i="11"/>
  <c r="L7" i="11"/>
  <c r="M7" i="11"/>
  <c r="N7" i="11"/>
  <c r="O7" i="11"/>
  <c r="P7" i="11"/>
  <c r="Q7" i="11"/>
  <c r="R7" i="11"/>
  <c r="S7" i="11"/>
  <c r="T7" i="11"/>
  <c r="U7" i="11"/>
  <c r="V7" i="11"/>
  <c r="W7" i="11"/>
  <c r="X7" i="11"/>
  <c r="AB10" i="11"/>
  <c r="AB11" i="11"/>
  <c r="AB12" i="11"/>
  <c r="AB13" i="11"/>
  <c r="AB14" i="11"/>
  <c r="AB15" i="11"/>
  <c r="AB16" i="11"/>
  <c r="AB17" i="11"/>
  <c r="AB18" i="11"/>
  <c r="AB19" i="11"/>
  <c r="AB20" i="11"/>
  <c r="AB21" i="11"/>
  <c r="AB22" i="11"/>
  <c r="AB23" i="11"/>
  <c r="AB24" i="11"/>
  <c r="AB25" i="11"/>
  <c r="AB26" i="11"/>
  <c r="AB27" i="11"/>
  <c r="AB28" i="11"/>
  <c r="Y7" i="11"/>
  <c r="AB29" i="11"/>
  <c r="Y32" i="11"/>
  <c r="X32" i="11"/>
  <c r="W32" i="11"/>
  <c r="V32" i="11"/>
  <c r="U32" i="11"/>
  <c r="T32" i="11"/>
  <c r="S32" i="11"/>
  <c r="R32" i="11"/>
  <c r="Q32" i="11"/>
  <c r="P32" i="11"/>
  <c r="O32" i="11"/>
  <c r="N32" i="11"/>
  <c r="M32" i="11"/>
  <c r="L32" i="11"/>
  <c r="K32" i="11"/>
  <c r="J32" i="11"/>
  <c r="I32" i="11"/>
  <c r="H32" i="11"/>
  <c r="G32" i="11"/>
  <c r="F32" i="11"/>
  <c r="C11" i="11"/>
  <c r="C12" i="11"/>
  <c r="C13" i="11"/>
  <c r="C14" i="11"/>
  <c r="C15" i="11"/>
  <c r="C16" i="11"/>
  <c r="C17" i="11"/>
  <c r="C18" i="11"/>
  <c r="C19" i="11"/>
  <c r="C20" i="11"/>
  <c r="C21" i="11"/>
  <c r="C22" i="11"/>
  <c r="C23" i="11"/>
  <c r="C24" i="11"/>
  <c r="C25" i="11"/>
  <c r="C26" i="11"/>
  <c r="C27" i="11"/>
  <c r="C28" i="11"/>
  <c r="C29" i="11"/>
  <c r="C10" i="11"/>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G48" i="8"/>
  <c r="F48"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AD7" i="3" l="1"/>
  <c r="F7" i="3"/>
  <c r="G7" i="3"/>
  <c r="H7" i="3"/>
  <c r="I7" i="3"/>
  <c r="J7" i="3"/>
  <c r="K7" i="3"/>
  <c r="L7" i="3"/>
  <c r="M7" i="3"/>
  <c r="N7" i="3"/>
  <c r="O7" i="3"/>
  <c r="P7" i="3"/>
  <c r="Q7" i="3"/>
  <c r="R7" i="3"/>
  <c r="S7" i="3"/>
  <c r="T7" i="3"/>
  <c r="U7" i="3"/>
  <c r="V7" i="3"/>
  <c r="W7" i="3"/>
  <c r="X7" i="3"/>
  <c r="Y7" i="3"/>
  <c r="Z7" i="3"/>
  <c r="AA7" i="3"/>
  <c r="AB7" i="3"/>
  <c r="AC7"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D37" i="3"/>
  <c r="AC37" i="3"/>
  <c r="AB37" i="3"/>
  <c r="AA37" i="3"/>
  <c r="Z37" i="3"/>
  <c r="Y37" i="3"/>
  <c r="X37" i="3"/>
  <c r="W37" i="3"/>
  <c r="V37" i="3"/>
  <c r="U37" i="3"/>
  <c r="T37" i="3"/>
  <c r="S37" i="3"/>
  <c r="R37" i="3"/>
  <c r="Q37" i="3"/>
  <c r="P37" i="3"/>
  <c r="O37" i="3"/>
  <c r="N37" i="3"/>
  <c r="M37" i="3"/>
  <c r="L37" i="3"/>
  <c r="K37" i="3"/>
  <c r="J37" i="3"/>
  <c r="I37" i="3"/>
  <c r="H37" i="3"/>
  <c r="G37" i="3"/>
  <c r="F37" i="3"/>
  <c r="C34" i="3"/>
  <c r="C11" i="3" l="1"/>
  <c r="C12" i="3"/>
  <c r="C13" i="3"/>
  <c r="C14" i="3"/>
  <c r="C15" i="3"/>
  <c r="C16" i="3"/>
  <c r="C17" i="3"/>
  <c r="C18" i="3"/>
  <c r="C19" i="3"/>
  <c r="C20" i="3"/>
  <c r="C21" i="3"/>
  <c r="C22" i="3"/>
  <c r="C23" i="3"/>
  <c r="C24" i="3"/>
  <c r="C25" i="3"/>
  <c r="C26" i="3"/>
  <c r="C27" i="3"/>
  <c r="C28" i="3"/>
  <c r="C29" i="3"/>
  <c r="C30" i="3"/>
  <c r="C31" i="3"/>
  <c r="C32" i="3"/>
  <c r="C33" i="3"/>
  <c r="C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8" authorId="0" shapeId="0" xr:uid="{57C0BE78-B821-4F2D-ABAC-7EE4E54A78FA}">
      <text>
        <r>
          <rPr>
            <sz val="9"/>
            <color indexed="81"/>
            <rFont val="Arial"/>
            <family val="2"/>
          </rPr>
          <t xml:space="preserve">- The selected pin cell is yellow. 
- Duplicate pin names are red. </t>
        </r>
      </text>
    </comment>
    <comment ref="W8" authorId="0" shapeId="0" xr:uid="{6900DA80-794D-48B1-BBA9-F43848771941}">
      <text>
        <r>
          <rPr>
            <sz val="9"/>
            <color indexed="81"/>
            <rFont val="Arial"/>
            <family val="2"/>
          </rPr>
          <t xml:space="preserve">- The selected pin cell is yellow.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8" authorId="0" shapeId="0" xr:uid="{D72C5D03-1D25-4123-828E-5447A7530CF3}">
      <text>
        <r>
          <rPr>
            <sz val="9"/>
            <color indexed="81"/>
            <rFont val="Arial"/>
            <family val="2"/>
          </rPr>
          <t xml:space="preserve">- The selected pin cell is yellow. 
- Duplicate pin names are red. </t>
        </r>
      </text>
    </comment>
    <comment ref="W8" authorId="0" shapeId="0" xr:uid="{9B08B2D7-9F77-47D4-AF27-C7ABB5A37309}">
      <text>
        <r>
          <rPr>
            <sz val="9"/>
            <color indexed="81"/>
            <rFont val="Arial"/>
            <family val="2"/>
          </rPr>
          <t xml:space="preserve">- The selected pin cell is yellow.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8" authorId="0" shapeId="0" xr:uid="{18A79A45-FD59-4428-9596-4C1FF25918EF}">
      <text>
        <r>
          <rPr>
            <sz val="9"/>
            <color indexed="81"/>
            <rFont val="Arial"/>
            <family val="2"/>
          </rPr>
          <t xml:space="preserve">- The selected pin cell is yellow. 
- Duplicate pin names are red. </t>
        </r>
      </text>
    </comment>
    <comment ref="W8" authorId="0" shapeId="0" xr:uid="{1C77D733-378E-499E-A247-599DEF245397}">
      <text>
        <r>
          <rPr>
            <sz val="9"/>
            <color indexed="81"/>
            <rFont val="Arial"/>
            <family val="2"/>
          </rPr>
          <t xml:space="preserve">- The selected pin cell is yellow.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8" authorId="0" shapeId="0" xr:uid="{59EE4FE8-760A-4A0A-88FE-5FEB33A2DAA5}">
      <text>
        <r>
          <rPr>
            <sz val="9"/>
            <color indexed="81"/>
            <rFont val="Arial"/>
            <family val="2"/>
          </rPr>
          <t xml:space="preserve">- The selected pin cell is yellow. 
- Duplicate pin names are red. </t>
        </r>
      </text>
    </comment>
    <comment ref="W8" authorId="0" shapeId="0" xr:uid="{96AD0074-C114-4276-AB13-561EB046F3BE}">
      <text>
        <r>
          <rPr>
            <sz val="9"/>
            <color indexed="81"/>
            <rFont val="Arial"/>
            <family val="2"/>
          </rPr>
          <t xml:space="preserve">- The selected pin cell is yellow.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V8" authorId="0" shapeId="0" xr:uid="{A0D47A12-4EF8-47DD-B709-9093AE916DB0}">
      <text>
        <r>
          <rPr>
            <sz val="9"/>
            <color indexed="81"/>
            <rFont val="Arial"/>
            <family val="2"/>
          </rPr>
          <t xml:space="preserve">- The selected pin cell is yellow. 
- Duplicate pin names are red. </t>
        </r>
      </text>
    </comment>
    <comment ref="W8" authorId="0" shapeId="0" xr:uid="{289A948A-6577-4884-A3AB-8CB23D90B3B8}">
      <text>
        <r>
          <rPr>
            <sz val="9"/>
            <color indexed="81"/>
            <rFont val="Arial"/>
            <family val="2"/>
          </rPr>
          <t xml:space="preserve">- The selected pin cell is yellow. </t>
        </r>
      </text>
    </comment>
  </commentList>
</comments>
</file>

<file path=xl/sharedStrings.xml><?xml version="1.0" encoding="utf-8"?>
<sst xmlns="http://schemas.openxmlformats.org/spreadsheetml/2006/main" count="14121" uniqueCount="1236">
  <si>
    <t>Name</t>
  </si>
  <si>
    <t>Active Mapping</t>
  </si>
  <si>
    <t>HCon#9</t>
  </si>
  <si>
    <t>HCon#10</t>
  </si>
  <si>
    <t>HCon#11</t>
  </si>
  <si>
    <t>HCon#16</t>
  </si>
  <si>
    <t>HCon#17</t>
  </si>
  <si>
    <t>HCon#18</t>
  </si>
  <si>
    <t>HCon#19</t>
  </si>
  <si>
    <t>HCon#20</t>
  </si>
  <si>
    <t>HCon#21</t>
  </si>
  <si>
    <t>HCon#26</t>
  </si>
  <si>
    <t>HCon#27</t>
  </si>
  <si>
    <t>ACT #1</t>
  </si>
  <si>
    <t>ACT #2</t>
  </si>
  <si>
    <t>ACT #3</t>
  </si>
  <si>
    <t>ACT #4</t>
  </si>
  <si>
    <t>ACT #5</t>
  </si>
  <si>
    <t>ACT #6</t>
  </si>
  <si>
    <t>ACT #7</t>
  </si>
  <si>
    <t>ACT #8</t>
  </si>
  <si>
    <t>ACT #9</t>
  </si>
  <si>
    <t>ACT #10</t>
  </si>
  <si>
    <t>P0.0</t>
  </si>
  <si>
    <t>LIN1_RX</t>
  </si>
  <si>
    <t>P0.1</t>
  </si>
  <si>
    <t>LIN1_TX</t>
  </si>
  <si>
    <t>P0.2</t>
  </si>
  <si>
    <t>LIN1_EN</t>
  </si>
  <si>
    <t>CAN0_1_TX</t>
  </si>
  <si>
    <t>P0.3</t>
  </si>
  <si>
    <t>CAN0_1_RX</t>
  </si>
  <si>
    <t>P1.0</t>
  </si>
  <si>
    <t>P1.1</t>
  </si>
  <si>
    <t>P1.2</t>
  </si>
  <si>
    <t>TRIG_IN[0]</t>
  </si>
  <si>
    <t>P1.3</t>
  </si>
  <si>
    <t>TRIG_IN[1]</t>
  </si>
  <si>
    <t>P2.0</t>
  </si>
  <si>
    <t>LIN0_RX</t>
  </si>
  <si>
    <t>CAN0_0_TX</t>
  </si>
  <si>
    <t>TRIG_IN[2]</t>
  </si>
  <si>
    <t>P2.1</t>
  </si>
  <si>
    <t>LIN0_TX</t>
  </si>
  <si>
    <t>CAN0_0_RX</t>
  </si>
  <si>
    <t>TRIG_IN[3]</t>
  </si>
  <si>
    <t>P2.2</t>
  </si>
  <si>
    <t>LIN0_EN</t>
  </si>
  <si>
    <t>TRIG_IN[4]</t>
  </si>
  <si>
    <t>P2.3</t>
  </si>
  <si>
    <t>LIN5_RX</t>
  </si>
  <si>
    <t>TRIG_IN[5]</t>
  </si>
  <si>
    <t>P2.4</t>
  </si>
  <si>
    <t>LIN5_TX</t>
  </si>
  <si>
    <t>TRIG_IN[6]</t>
  </si>
  <si>
    <t>P2.5</t>
  </si>
  <si>
    <t>LIN5_EN</t>
  </si>
  <si>
    <t>TRIG_IN[7]</t>
  </si>
  <si>
    <t>P3.0</t>
  </si>
  <si>
    <t>TRIG_DBG[0]</t>
  </si>
  <si>
    <t>P3.1</t>
  </si>
  <si>
    <t>TRIG_DBG[1]</t>
  </si>
  <si>
    <t>P3.2</t>
  </si>
  <si>
    <t>P3.3</t>
  </si>
  <si>
    <t>P3.4</t>
  </si>
  <si>
    <t>P3.5</t>
  </si>
  <si>
    <t>P4.0</t>
  </si>
  <si>
    <t>EXT_MUX[0]_0</t>
  </si>
  <si>
    <t>TRIG_IN[10]</t>
  </si>
  <si>
    <t>P4.1</t>
  </si>
  <si>
    <t>EXT_MUX[0]_1</t>
  </si>
  <si>
    <t>TRIG_IN[11]</t>
  </si>
  <si>
    <t>P4.2</t>
  </si>
  <si>
    <t>EXT_MUX[0]_2</t>
  </si>
  <si>
    <t>TRIG_IN[12]</t>
  </si>
  <si>
    <t>P4.3</t>
  </si>
  <si>
    <t>EXT_MUX[0]_EN</t>
  </si>
  <si>
    <t>TRIG_IN[13]</t>
  </si>
  <si>
    <t>P4.4</t>
  </si>
  <si>
    <t>P5.0</t>
  </si>
  <si>
    <t>LIN7_RX</t>
  </si>
  <si>
    <t>P5.1</t>
  </si>
  <si>
    <t>LIN7_TX</t>
  </si>
  <si>
    <t>P5.2</t>
  </si>
  <si>
    <t>LIN7_EN</t>
  </si>
  <si>
    <t>P5.3</t>
  </si>
  <si>
    <t>LIN2_RX</t>
  </si>
  <si>
    <t>P5.4</t>
  </si>
  <si>
    <t>LIN2_TX</t>
  </si>
  <si>
    <t>P5.5</t>
  </si>
  <si>
    <t>LIN2_EN</t>
  </si>
  <si>
    <t>P6.0</t>
  </si>
  <si>
    <t>LIN3_RX</t>
  </si>
  <si>
    <t>P6.1</t>
  </si>
  <si>
    <t>LIN3_TX</t>
  </si>
  <si>
    <t>P6.2</t>
  </si>
  <si>
    <t>LIN3_EN</t>
  </si>
  <si>
    <t>CAN0_2_TX</t>
  </si>
  <si>
    <t>P6.3</t>
  </si>
  <si>
    <t>LIN4_RX</t>
  </si>
  <si>
    <t>CAN0_2_RX</t>
  </si>
  <si>
    <t>CAL_SUP_NZ</t>
  </si>
  <si>
    <t>P6.4</t>
  </si>
  <si>
    <t>LIN4_TX</t>
  </si>
  <si>
    <t>P6.5</t>
  </si>
  <si>
    <t>LIN4_EN</t>
  </si>
  <si>
    <t>P6.6</t>
  </si>
  <si>
    <t>TRIG_IN[8]</t>
  </si>
  <si>
    <t>P6.7</t>
  </si>
  <si>
    <t>TRIG_IN[9]</t>
  </si>
  <si>
    <t>P7.0</t>
  </si>
  <si>
    <t>P7.1</t>
  </si>
  <si>
    <t>P7.2</t>
  </si>
  <si>
    <t>P7.3</t>
  </si>
  <si>
    <t>P7.4</t>
  </si>
  <si>
    <t>P7.5</t>
  </si>
  <si>
    <t>P7.6</t>
  </si>
  <si>
    <t>TRIG_IN[16]</t>
  </si>
  <si>
    <t>P7.7</t>
  </si>
  <si>
    <t>TRIG_IN[17]</t>
  </si>
  <si>
    <t>P8.0</t>
  </si>
  <si>
    <t>P8.1</t>
  </si>
  <si>
    <t>TRIG_IN[14]</t>
  </si>
  <si>
    <t>P8.2</t>
  </si>
  <si>
    <t>TRIG_IN[15]</t>
  </si>
  <si>
    <t>P8.3</t>
  </si>
  <si>
    <t>P8.4</t>
  </si>
  <si>
    <t>P9.0</t>
  </si>
  <si>
    <t>P9.1</t>
  </si>
  <si>
    <t>P9.2</t>
  </si>
  <si>
    <t>P9.3</t>
  </si>
  <si>
    <t>P10.0</t>
  </si>
  <si>
    <t>TRIG_IN[18]</t>
  </si>
  <si>
    <t>P10.1</t>
  </si>
  <si>
    <t>TRIG_IN[19]</t>
  </si>
  <si>
    <t>P10.2</t>
  </si>
  <si>
    <t>P10.3</t>
  </si>
  <si>
    <t>P10.4</t>
  </si>
  <si>
    <t>P10.5</t>
  </si>
  <si>
    <t>P10.6</t>
  </si>
  <si>
    <t>P10.7</t>
  </si>
  <si>
    <t>P12.0</t>
  </si>
  <si>
    <t>TRIG_IN[20]</t>
  </si>
  <si>
    <t>P12.1</t>
  </si>
  <si>
    <t>LIN6_EN</t>
  </si>
  <si>
    <t>TRIG_IN[21]</t>
  </si>
  <si>
    <t>P12.2</t>
  </si>
  <si>
    <t>EXT_MUX[1]_EN</t>
  </si>
  <si>
    <t>LIN6_RX</t>
  </si>
  <si>
    <t>P12.3</t>
  </si>
  <si>
    <t>EXT_MUX[1]_0</t>
  </si>
  <si>
    <t>LIN6_TX</t>
  </si>
  <si>
    <t>P12.4</t>
  </si>
  <si>
    <t>EXT_MUX[1]_1</t>
  </si>
  <si>
    <t>P12.5</t>
  </si>
  <si>
    <t>EXT_MUX[1]_2</t>
  </si>
  <si>
    <t>P12.6</t>
  </si>
  <si>
    <t>P12.7</t>
  </si>
  <si>
    <t>P13.0</t>
  </si>
  <si>
    <t>EXT_MUX[2]_0</t>
  </si>
  <si>
    <t>P13.1</t>
  </si>
  <si>
    <t>EXT_MUX[2]_1</t>
  </si>
  <si>
    <t>P13.2</t>
  </si>
  <si>
    <t>EXT_MUX[2]_2</t>
  </si>
  <si>
    <t>P13.3</t>
  </si>
  <si>
    <t>EXT_MUX[2]_EN</t>
  </si>
  <si>
    <t>P13.4</t>
  </si>
  <si>
    <t>P13.5</t>
  </si>
  <si>
    <t>P13.6</t>
  </si>
  <si>
    <t>TRIG_IN[22]</t>
  </si>
  <si>
    <t>P13.7</t>
  </si>
  <si>
    <t>TRIG_IN[23]</t>
  </si>
  <si>
    <t>P14.0</t>
  </si>
  <si>
    <t>CAN1_0_TX</t>
  </si>
  <si>
    <t>P14.1</t>
  </si>
  <si>
    <t>CAN1_0_RX</t>
  </si>
  <si>
    <t>P14.2</t>
  </si>
  <si>
    <t>P14.3</t>
  </si>
  <si>
    <t>P14.4</t>
  </si>
  <si>
    <t>P14.5</t>
  </si>
  <si>
    <t>P14.6</t>
  </si>
  <si>
    <t>TRIG_IN[24]</t>
  </si>
  <si>
    <t>P14.7</t>
  </si>
  <si>
    <t>TRIG_IN[25]</t>
  </si>
  <si>
    <t>P15.0</t>
  </si>
  <si>
    <t>P15.1</t>
  </si>
  <si>
    <t>P15.2</t>
  </si>
  <si>
    <t>P15.3</t>
  </si>
  <si>
    <t>P16.0</t>
  </si>
  <si>
    <t>P16.1</t>
  </si>
  <si>
    <t>P16.2</t>
  </si>
  <si>
    <t>P16.3</t>
  </si>
  <si>
    <t>P17.0</t>
  </si>
  <si>
    <t>CAN1_1_TX</t>
  </si>
  <si>
    <t>P17.1</t>
  </si>
  <si>
    <t>CAN1_1_RX</t>
  </si>
  <si>
    <t>P17.2</t>
  </si>
  <si>
    <t>P17.3</t>
  </si>
  <si>
    <t>TRIG_IN[26]</t>
  </si>
  <si>
    <t>P17.4</t>
  </si>
  <si>
    <t>TRIG_IN[27]</t>
  </si>
  <si>
    <t>P17.5</t>
  </si>
  <si>
    <t>P17.6</t>
  </si>
  <si>
    <t>P17.7</t>
  </si>
  <si>
    <t>P18.0</t>
  </si>
  <si>
    <t>FAULT_OUT_0</t>
  </si>
  <si>
    <t>P18.1</t>
  </si>
  <si>
    <t>FAULT_OUT_1</t>
  </si>
  <si>
    <t>P18.2</t>
  </si>
  <si>
    <t>P18.3</t>
  </si>
  <si>
    <t>P18.4</t>
  </si>
  <si>
    <t>P18.5</t>
  </si>
  <si>
    <t>P18.6</t>
  </si>
  <si>
    <t>CAN1_2_TX</t>
  </si>
  <si>
    <t>P18.7</t>
  </si>
  <si>
    <t>CAN1_2_RX</t>
  </si>
  <si>
    <t>P19.0</t>
  </si>
  <si>
    <t>FAULT_OUT_2</t>
  </si>
  <si>
    <t>P19.1</t>
  </si>
  <si>
    <t>FAULT_OUT_3</t>
  </si>
  <si>
    <t>P19.2</t>
  </si>
  <si>
    <t>TRIG_IN[28]</t>
  </si>
  <si>
    <t>P19.3</t>
  </si>
  <si>
    <t>TRIG_IN[29]</t>
  </si>
  <si>
    <t>P19.4</t>
  </si>
  <si>
    <t>P20.0</t>
  </si>
  <si>
    <t>P20.1</t>
  </si>
  <si>
    <t>P20.2</t>
  </si>
  <si>
    <t>P20.3</t>
  </si>
  <si>
    <t>P20.4</t>
  </si>
  <si>
    <t>P20.5</t>
  </si>
  <si>
    <t>P20.6</t>
  </si>
  <si>
    <t>P20.7</t>
  </si>
  <si>
    <t>EXT_CLK</t>
  </si>
  <si>
    <t>P22.0</t>
  </si>
  <si>
    <t>P22.1</t>
  </si>
  <si>
    <t>P22.2</t>
  </si>
  <si>
    <t>P22.3</t>
  </si>
  <si>
    <t>P22.4</t>
  </si>
  <si>
    <t>P22.5</t>
  </si>
  <si>
    <t>P22.6</t>
  </si>
  <si>
    <t>P22.7</t>
  </si>
  <si>
    <t>P23.0</t>
  </si>
  <si>
    <t>P23.1</t>
  </si>
  <si>
    <t>P23.2</t>
  </si>
  <si>
    <t>P23.3</t>
  </si>
  <si>
    <t>TRIG_IN[30]</t>
  </si>
  <si>
    <t>P23.4</t>
  </si>
  <si>
    <t>TRIG_IN[31]</t>
  </si>
  <si>
    <t>P23.5</t>
  </si>
  <si>
    <t>P23.6</t>
  </si>
  <si>
    <t>P23.7</t>
  </si>
  <si>
    <t>Pin</t>
    <phoneticPr fontId="3"/>
  </si>
  <si>
    <t>VSSD</t>
    <phoneticPr fontId="3"/>
  </si>
  <si>
    <t>VDDD</t>
    <phoneticPr fontId="3"/>
  </si>
  <si>
    <t>VDDIO_1</t>
    <phoneticPr fontId="3"/>
  </si>
  <si>
    <t>VCCD</t>
    <phoneticPr fontId="3"/>
  </si>
  <si>
    <t>VREFL</t>
    <phoneticPr fontId="3"/>
  </si>
  <si>
    <t>VSSA</t>
    <phoneticPr fontId="3"/>
  </si>
  <si>
    <t>VDDA</t>
    <phoneticPr fontId="3"/>
  </si>
  <si>
    <t>VREFH</t>
    <phoneticPr fontId="3"/>
  </si>
  <si>
    <t>XRES_L</t>
    <phoneticPr fontId="3"/>
  </si>
  <si>
    <t>Selected Pin Attribute</t>
    <phoneticPr fontId="4"/>
  </si>
  <si>
    <t>Function</t>
    <phoneticPr fontId="4"/>
  </si>
  <si>
    <t>Analog</t>
  </si>
  <si>
    <t>HCon#14</t>
  </si>
  <si>
    <t>HCon#29</t>
  </si>
  <si>
    <t>HCon#30</t>
  </si>
  <si>
    <t>DS #1</t>
  </si>
  <si>
    <t>DS #2</t>
  </si>
  <si>
    <t>GPIO_ENH</t>
  </si>
  <si>
    <t>GPIO_STD</t>
  </si>
  <si>
    <t>NA</t>
  </si>
  <si>
    <t>SWJ_TRSTN</t>
  </si>
  <si>
    <t>ADC[0]_0</t>
  </si>
  <si>
    <t>ADC[0]_1</t>
  </si>
  <si>
    <t>ADC[0]_2</t>
  </si>
  <si>
    <t>ADC[0]_3</t>
  </si>
  <si>
    <t>ADC[0]_4</t>
  </si>
  <si>
    <t>ADC[0]_5</t>
  </si>
  <si>
    <t>ADC[0]_6</t>
  </si>
  <si>
    <t>ADC[0]_7</t>
  </si>
  <si>
    <t>ADC[0]_8</t>
  </si>
  <si>
    <t>ADC[0]_9</t>
  </si>
  <si>
    <t>ADC[0]_10</t>
  </si>
  <si>
    <t>ADC[0]_11</t>
  </si>
  <si>
    <t>ADC[0]_12</t>
  </si>
  <si>
    <t>ADC[0]_13</t>
  </si>
  <si>
    <t>ADC[0]_14</t>
  </si>
  <si>
    <t>ADC[0]_15</t>
  </si>
  <si>
    <t>ADC[0]_16</t>
  </si>
  <si>
    <t>ADC[0]_17</t>
  </si>
  <si>
    <t>ADC[0]_18</t>
  </si>
  <si>
    <t>ADC[0]_19</t>
  </si>
  <si>
    <t>ADC[0]_20</t>
  </si>
  <si>
    <t>ADC[0]_21</t>
  </si>
  <si>
    <t>ADC[0]_22</t>
  </si>
  <si>
    <t>ADC[0]_23</t>
  </si>
  <si>
    <t>ADC[1]_0</t>
  </si>
  <si>
    <t>ADC[1]_1</t>
  </si>
  <si>
    <t>ADC[1]_2</t>
  </si>
  <si>
    <t>ADC[1]_3</t>
  </si>
  <si>
    <t>ADC[0]_M</t>
  </si>
  <si>
    <t>ADC[1]_M</t>
  </si>
  <si>
    <t>ADC[2]_M</t>
  </si>
  <si>
    <t>ADC[1]_4</t>
  </si>
  <si>
    <t>ADC[1]_5</t>
  </si>
  <si>
    <t>ADC[1]_6</t>
  </si>
  <si>
    <t>ADC[1]_7</t>
  </si>
  <si>
    <t>ADC[1]_8</t>
  </si>
  <si>
    <t>ADC[1]_9</t>
  </si>
  <si>
    <t>ADC[1]_10</t>
  </si>
  <si>
    <t>ADC[1]_11</t>
  </si>
  <si>
    <t>ADC[1]_12</t>
  </si>
  <si>
    <t>ADC[1]_13</t>
  </si>
  <si>
    <t>ADC[1]_14</t>
  </si>
  <si>
    <t>ADC[1]_15</t>
  </si>
  <si>
    <t>ADC[1]_16</t>
  </si>
  <si>
    <t>ADC[1]_17</t>
  </si>
  <si>
    <t>ADC[1]_18</t>
  </si>
  <si>
    <t>ADC[1]_19</t>
  </si>
  <si>
    <t>ADC[1]_20</t>
  </si>
  <si>
    <t>ADC[1]_21</t>
  </si>
  <si>
    <t>ADC[1]_22</t>
  </si>
  <si>
    <t>ADC[1]_23</t>
  </si>
  <si>
    <t>ADC[1]_24</t>
  </si>
  <si>
    <t>ADC[1]_25</t>
  </si>
  <si>
    <t>ADC[1]_26</t>
  </si>
  <si>
    <t>ADC[1]_27</t>
  </si>
  <si>
    <t>ADC[1]_28</t>
  </si>
  <si>
    <t>ADC[1]_29</t>
  </si>
  <si>
    <t>ADC[1]_30</t>
  </si>
  <si>
    <t>ADC[1]_31</t>
  </si>
  <si>
    <t>ADC[2]_0</t>
  </si>
  <si>
    <t>ADC[2]_1</t>
  </si>
  <si>
    <t>ADC[2]_2</t>
  </si>
  <si>
    <t>ADC[2]_3</t>
  </si>
  <si>
    <t>ADC[2]_4</t>
  </si>
  <si>
    <t>ADC[2]_5</t>
  </si>
  <si>
    <t>ADC[2]_6</t>
  </si>
  <si>
    <t>ADC[2]_7</t>
  </si>
  <si>
    <t>RTC_CAL</t>
  </si>
  <si>
    <t>SWJ_SWO_TDO</t>
  </si>
  <si>
    <t>SWJ_SWCLK_TCLK</t>
  </si>
  <si>
    <t>SWJ_SWDIO_TMS</t>
  </si>
  <si>
    <t>SWJ_SWDOE_TDI</t>
  </si>
  <si>
    <t>DeepSleep Mapping</t>
    <phoneticPr fontId="3"/>
  </si>
  <si>
    <t>DS #0</t>
    <phoneticPr fontId="3"/>
  </si>
  <si>
    <t>HCon#8</t>
    <phoneticPr fontId="3"/>
  </si>
  <si>
    <t>ACT #0</t>
    <phoneticPr fontId="3"/>
  </si>
  <si>
    <t>WCO_IN</t>
    <phoneticPr fontId="3"/>
  </si>
  <si>
    <t>WCO_OUT</t>
    <phoneticPr fontId="3"/>
  </si>
  <si>
    <t>ECO_IN</t>
    <phoneticPr fontId="3"/>
  </si>
  <si>
    <t>ECO_OUT</t>
    <phoneticPr fontId="3"/>
  </si>
  <si>
    <t>VDDIO_2</t>
    <phoneticPr fontId="3"/>
  </si>
  <si>
    <t>80-LQFP</t>
    <phoneticPr fontId="3"/>
  </si>
  <si>
    <t>100-LQFP</t>
    <phoneticPr fontId="3"/>
  </si>
  <si>
    <t>144-LQFP</t>
    <phoneticPr fontId="3"/>
  </si>
  <si>
    <t>176-LQFP</t>
    <phoneticPr fontId="3"/>
  </si>
  <si>
    <t>Pin Function_176-LQFP</t>
    <phoneticPr fontId="3"/>
  </si>
  <si>
    <t>Pin Function_144-LQFP</t>
    <phoneticPr fontId="3"/>
  </si>
  <si>
    <t>Pin Function_100-LQFP</t>
    <phoneticPr fontId="3"/>
  </si>
  <si>
    <t>Pin Function_80-LQFP</t>
    <phoneticPr fontId="3"/>
  </si>
  <si>
    <t>Pin Assignment_80-LQFP</t>
    <phoneticPr fontId="3"/>
  </si>
  <si>
    <t>Pin Assignment_100-LQFP</t>
    <phoneticPr fontId="3"/>
  </si>
  <si>
    <t>Pin Assignment_144-LQFP</t>
    <phoneticPr fontId="3"/>
  </si>
  <si>
    <t>Pin Assignment_176-LQFP</t>
    <phoneticPr fontId="3"/>
  </si>
  <si>
    <t>Pin Function_64-LQFP</t>
    <phoneticPr fontId="3"/>
  </si>
  <si>
    <t>Pin Assignment_64-LQFP</t>
    <phoneticPr fontId="3"/>
  </si>
  <si>
    <t>64-LQFP</t>
    <phoneticPr fontId="3"/>
  </si>
  <si>
    <t>Note</t>
    <phoneticPr fontId="4"/>
  </si>
  <si>
    <t>CAN1</t>
    <phoneticPr fontId="3"/>
  </si>
  <si>
    <t>Board Connection</t>
    <phoneticPr fontId="3"/>
  </si>
  <si>
    <t>GPIO</t>
    <phoneticPr fontId="3"/>
  </si>
  <si>
    <t>LIN</t>
    <phoneticPr fontId="3"/>
  </si>
  <si>
    <t>CAN0</t>
    <phoneticPr fontId="3"/>
  </si>
  <si>
    <t>SCB</t>
    <phoneticPr fontId="3"/>
  </si>
  <si>
    <t>SCB0</t>
    <phoneticPr fontId="3"/>
  </si>
  <si>
    <t>SCB1</t>
    <phoneticPr fontId="3"/>
  </si>
  <si>
    <t>SCB2</t>
    <phoneticPr fontId="3"/>
  </si>
  <si>
    <t>SCB3</t>
    <phoneticPr fontId="3"/>
  </si>
  <si>
    <t>SCB7</t>
    <phoneticPr fontId="3"/>
  </si>
  <si>
    <t>SCB6</t>
    <phoneticPr fontId="3"/>
  </si>
  <si>
    <t>SCB5</t>
    <phoneticPr fontId="3"/>
  </si>
  <si>
    <t>SCB4</t>
    <phoneticPr fontId="3"/>
  </si>
  <si>
    <t>TX</t>
    <phoneticPr fontId="3"/>
  </si>
  <si>
    <t>RX</t>
    <phoneticPr fontId="3"/>
  </si>
  <si>
    <t>LIN0</t>
    <phoneticPr fontId="3"/>
  </si>
  <si>
    <t>LIN1</t>
  </si>
  <si>
    <t>LIN2</t>
  </si>
  <si>
    <t>LIN3</t>
  </si>
  <si>
    <t>LIN4</t>
  </si>
  <si>
    <t>LIN5</t>
  </si>
  <si>
    <t>LIN6</t>
  </si>
  <si>
    <t>LIN7</t>
  </si>
  <si>
    <t>RX</t>
    <phoneticPr fontId="3"/>
  </si>
  <si>
    <t>TX</t>
    <phoneticPr fontId="3"/>
  </si>
  <si>
    <t>EN</t>
    <phoneticPr fontId="3"/>
  </si>
  <si>
    <t>Number of pins used</t>
    <phoneticPr fontId="3"/>
  </si>
  <si>
    <t>CAN0_1</t>
    <phoneticPr fontId="3"/>
  </si>
  <si>
    <t>CAN0_0</t>
    <phoneticPr fontId="3"/>
  </si>
  <si>
    <t>CAN0_2</t>
    <phoneticPr fontId="3"/>
  </si>
  <si>
    <t>CAN1_0</t>
    <phoneticPr fontId="3"/>
  </si>
  <si>
    <t>CAN1_2</t>
    <phoneticPr fontId="3"/>
  </si>
  <si>
    <t>CAN1_1</t>
    <phoneticPr fontId="3"/>
  </si>
  <si>
    <t>ADC</t>
    <phoneticPr fontId="3"/>
  </si>
  <si>
    <t>ADC[0]</t>
    <phoneticPr fontId="3"/>
  </si>
  <si>
    <t>ADC[1]</t>
    <phoneticPr fontId="3"/>
  </si>
  <si>
    <t>ADC[2]</t>
    <phoneticPr fontId="3"/>
  </si>
  <si>
    <t>PWM</t>
    <phoneticPr fontId="3"/>
  </si>
  <si>
    <t>TR0</t>
    <phoneticPr fontId="3"/>
  </si>
  <si>
    <t>TR1</t>
    <phoneticPr fontId="3"/>
  </si>
  <si>
    <t>PWM_N</t>
    <phoneticPr fontId="3"/>
  </si>
  <si>
    <t>Pin Usage Status_64-LQFP for peripheral</t>
    <phoneticPr fontId="3"/>
  </si>
  <si>
    <t>Number of pins used
for UART</t>
    <phoneticPr fontId="3"/>
  </si>
  <si>
    <t>Number of pins used
for SPI</t>
    <phoneticPr fontId="3"/>
  </si>
  <si>
    <t>Number of pins used
for I2C</t>
    <phoneticPr fontId="3"/>
  </si>
  <si>
    <t>Number of pins used
for PWM output</t>
    <phoneticPr fontId="3"/>
  </si>
  <si>
    <t>Number of pins used
for trigger output</t>
    <phoneticPr fontId="3"/>
  </si>
  <si>
    <t>Analog Inputs
for Motor</t>
    <phoneticPr fontId="3"/>
  </si>
  <si>
    <t>CNT0</t>
    <phoneticPr fontId="3"/>
  </si>
  <si>
    <t>CNT1</t>
  </si>
  <si>
    <t>CNT2</t>
  </si>
  <si>
    <t>CNT3</t>
  </si>
  <si>
    <t>CNT4</t>
  </si>
  <si>
    <t>CNT5</t>
  </si>
  <si>
    <t>CNT6</t>
  </si>
  <si>
    <t>CNT7</t>
  </si>
  <si>
    <t>CNT8</t>
  </si>
  <si>
    <t>CNT9</t>
  </si>
  <si>
    <t>TCPWM_16bit (Group0)</t>
    <phoneticPr fontId="3"/>
  </si>
  <si>
    <t>CNT10</t>
  </si>
  <si>
    <t>CNT11</t>
  </si>
  <si>
    <t>TCPWM_16bit for motor (Group1)</t>
    <phoneticPr fontId="3"/>
  </si>
  <si>
    <t>TCPWM_32bit (Group2)</t>
    <phoneticPr fontId="3"/>
  </si>
  <si>
    <t>CNT12</t>
  </si>
  <si>
    <t>CNT13</t>
  </si>
  <si>
    <t>CNT14</t>
  </si>
  <si>
    <t>CNT15</t>
  </si>
  <si>
    <t>CNT16</t>
  </si>
  <si>
    <t>CNT17</t>
  </si>
  <si>
    <t>CNT18</t>
  </si>
  <si>
    <t>CNT19</t>
  </si>
  <si>
    <t>CNT20</t>
  </si>
  <si>
    <t>CNT21</t>
  </si>
  <si>
    <t>CNT22</t>
  </si>
  <si>
    <t>CNT23</t>
  </si>
  <si>
    <t>CNT24</t>
  </si>
  <si>
    <t>CNT25</t>
  </si>
  <si>
    <t>CNT26</t>
  </si>
  <si>
    <t>CNT27</t>
  </si>
  <si>
    <t>CNT28</t>
  </si>
  <si>
    <t>CNT29</t>
  </si>
  <si>
    <t>CNT30</t>
  </si>
  <si>
    <t>CNT31</t>
  </si>
  <si>
    <t>CNT32</t>
  </si>
  <si>
    <t>CNT33</t>
  </si>
  <si>
    <t>CNT34</t>
  </si>
  <si>
    <t>CNT35</t>
  </si>
  <si>
    <t>CNT36</t>
  </si>
  <si>
    <t>CNT37</t>
  </si>
  <si>
    <t>CNT38</t>
  </si>
  <si>
    <t>CNT39</t>
  </si>
  <si>
    <t>CNT40</t>
  </si>
  <si>
    <t>CNT41</t>
  </si>
  <si>
    <t>CNT42</t>
  </si>
  <si>
    <t>CNT43</t>
  </si>
  <si>
    <t>CNT44</t>
  </si>
  <si>
    <t>CNT45</t>
  </si>
  <si>
    <t>CNT46</t>
  </si>
  <si>
    <t>CNT47</t>
  </si>
  <si>
    <t>CNT48</t>
  </si>
  <si>
    <t>CNT49</t>
  </si>
  <si>
    <t>CNT50</t>
  </si>
  <si>
    <t>CNT51</t>
  </si>
  <si>
    <t>CNT52</t>
  </si>
  <si>
    <t>CNT53</t>
  </si>
  <si>
    <t>CNT54</t>
  </si>
  <si>
    <t>CNT55</t>
  </si>
  <si>
    <t>CNT56</t>
  </si>
  <si>
    <t>CNT57</t>
  </si>
  <si>
    <t>CNT58</t>
  </si>
  <si>
    <t>CNT59</t>
  </si>
  <si>
    <t>CNT60</t>
  </si>
  <si>
    <t>CNT61</t>
  </si>
  <si>
    <t>CNT62</t>
  </si>
  <si>
    <t>Analog Inputs_0</t>
    <phoneticPr fontId="3"/>
  </si>
  <si>
    <t>Analog Inputs_1</t>
  </si>
  <si>
    <t>Analog Inputs_2</t>
  </si>
  <si>
    <t>Analog Inputs_3</t>
  </si>
  <si>
    <t>Analog Inputs_4</t>
  </si>
  <si>
    <t>Analog Inputs_5</t>
  </si>
  <si>
    <t>Analog Inputs_6</t>
  </si>
  <si>
    <t>Analog Inputs_7</t>
  </si>
  <si>
    <t>Analog Inputs_8</t>
  </si>
  <si>
    <t>Analog Inputs_9</t>
  </si>
  <si>
    <t>Analog Inputs_10</t>
  </si>
  <si>
    <t>Analog Inputs_11</t>
  </si>
  <si>
    <t>Analog Inputs_12</t>
  </si>
  <si>
    <t>Analog Inputs_13</t>
  </si>
  <si>
    <t>Analog Inputs_14</t>
  </si>
  <si>
    <t>Analog Inputs_15</t>
  </si>
  <si>
    <t>Analog Inputs_16</t>
  </si>
  <si>
    <t>Analog Inputs_17</t>
  </si>
  <si>
    <t>Analog Inputs_18</t>
  </si>
  <si>
    <t>Analog Inputs_19</t>
  </si>
  <si>
    <t>Analog Inputs_20</t>
  </si>
  <si>
    <t>Analog Inputs_21</t>
  </si>
  <si>
    <t>Analog Inputs_22</t>
  </si>
  <si>
    <t>Analog Inputs_23</t>
  </si>
  <si>
    <t>Analog Inputs_24</t>
  </si>
  <si>
    <t>Analog Inputs_25</t>
  </si>
  <si>
    <t>Analog Inputs_26</t>
  </si>
  <si>
    <t>Analog Inputs_27</t>
  </si>
  <si>
    <t>Analog Inputs_28</t>
  </si>
  <si>
    <t>Analog Inputs_29</t>
  </si>
  <si>
    <t>Analog Inputs_30</t>
  </si>
  <si>
    <t>Analog Inputs_31</t>
  </si>
  <si>
    <t>Number of pins used for motor</t>
    <phoneticPr fontId="3"/>
  </si>
  <si>
    <t>(Function)</t>
    <phoneticPr fontId="3"/>
  </si>
  <si>
    <t>(TCPWM TR)</t>
    <phoneticPr fontId="3"/>
  </si>
  <si>
    <t>(UART)</t>
    <phoneticPr fontId="3"/>
  </si>
  <si>
    <t>(I2C)</t>
    <phoneticPr fontId="3"/>
  </si>
  <si>
    <t>(SPI)</t>
    <phoneticPr fontId="3"/>
  </si>
  <si>
    <t>(LIN)</t>
    <phoneticPr fontId="3"/>
  </si>
  <si>
    <t>(CAN)</t>
    <phoneticPr fontId="3"/>
  </si>
  <si>
    <t>(Others)</t>
    <phoneticPr fontId="3"/>
  </si>
  <si>
    <t>(DEBUG)</t>
    <phoneticPr fontId="3"/>
  </si>
  <si>
    <t>(Analog)</t>
    <phoneticPr fontId="3"/>
  </si>
  <si>
    <t>(TCPWM)</t>
    <phoneticPr fontId="3"/>
  </si>
  <si>
    <t>Main digital supply</t>
    <phoneticPr fontId="3"/>
  </si>
  <si>
    <t>Main digital ground</t>
    <phoneticPr fontId="3"/>
  </si>
  <si>
    <t>I/O supply for analog I/Os</t>
    <phoneticPr fontId="3"/>
  </si>
  <si>
    <t>Main regulated supply</t>
    <phoneticPr fontId="3"/>
  </si>
  <si>
    <t>Low reference voltage for SAR ADCs</t>
    <phoneticPr fontId="3"/>
  </si>
  <si>
    <t>High reference voltage for SAR ADCs</t>
    <phoneticPr fontId="3"/>
  </si>
  <si>
    <t>Main analog ground</t>
    <phoneticPr fontId="3"/>
  </si>
  <si>
    <t>Main analog supply for SAR ADCs</t>
    <phoneticPr fontId="3"/>
  </si>
  <si>
    <t>Active LOW external reset input</t>
    <phoneticPr fontId="3"/>
  </si>
  <si>
    <t>HIBERNATE_WAKEUP[1]</t>
  </si>
  <si>
    <t>HIBERNATE_WAKEUP[0]</t>
  </si>
  <si>
    <t>GPIO_ENH</t>
    <phoneticPr fontId="3"/>
  </si>
  <si>
    <t>Power
Source</t>
    <phoneticPr fontId="3"/>
  </si>
  <si>
    <t>-</t>
    <phoneticPr fontId="3"/>
  </si>
  <si>
    <t>Type</t>
    <phoneticPr fontId="3"/>
  </si>
  <si>
    <t>I/O Port</t>
    <phoneticPr fontId="3"/>
  </si>
  <si>
    <t>P11.0</t>
    <phoneticPr fontId="3"/>
  </si>
  <si>
    <t>P22.0</t>
    <phoneticPr fontId="3"/>
  </si>
  <si>
    <t>P11.0 [*1]</t>
    <phoneticPr fontId="3"/>
  </si>
  <si>
    <t>P11.1 [*1]</t>
    <phoneticPr fontId="3"/>
  </si>
  <si>
    <t>P11.2 [*1]</t>
    <phoneticPr fontId="3"/>
  </si>
  <si>
    <t>P21.0 [*1]</t>
    <phoneticPr fontId="3"/>
  </si>
  <si>
    <t>P21.1 [*1]</t>
    <phoneticPr fontId="3"/>
  </si>
  <si>
    <t>P21.2 [*1]</t>
    <phoneticPr fontId="3"/>
  </si>
  <si>
    <t>P21.3 [*1]</t>
    <phoneticPr fontId="3"/>
  </si>
  <si>
    <t>P21.4 [*1]</t>
    <phoneticPr fontId="3"/>
  </si>
  <si>
    <t>P21.5 [*1]</t>
    <phoneticPr fontId="3"/>
  </si>
  <si>
    <t>P21.6 [*1]</t>
    <phoneticPr fontId="3"/>
  </si>
  <si>
    <t>P21.7 [*1]</t>
    <phoneticPr fontId="3"/>
  </si>
  <si>
    <t>*1. +B injected DC currents are not allowed for Ports 11 and 21.</t>
    <phoneticPr fontId="3"/>
  </si>
  <si>
    <t>Pin Usage Status_144-LQFP for peripheral</t>
    <phoneticPr fontId="3"/>
  </si>
  <si>
    <t>Pin Usage Status_176-LQFP for peripheral</t>
    <phoneticPr fontId="3"/>
  </si>
  <si>
    <t>Pin Usage Status_100-LQFP for peripheral</t>
    <phoneticPr fontId="3"/>
  </si>
  <si>
    <t>Pin Usage Status_80-LQFP for peripheral</t>
    <phoneticPr fontId="3"/>
  </si>
  <si>
    <t>PWM0_18</t>
  </si>
  <si>
    <t>PWM0_22_N</t>
  </si>
  <si>
    <t>TC0_18_TR0</t>
  </si>
  <si>
    <t>TC0_22_TR1</t>
  </si>
  <si>
    <t>SCB0_RX (0)</t>
  </si>
  <si>
    <t>SCB7_SDA (2)</t>
  </si>
  <si>
    <t>PWM0_17</t>
  </si>
  <si>
    <t>PWM0_18_N</t>
  </si>
  <si>
    <t>TC0_17_TR0</t>
  </si>
  <si>
    <t>TC0_18_TR1</t>
  </si>
  <si>
    <t>SCB0_TX (0)</t>
  </si>
  <si>
    <t>SCB7_SCL (2)</t>
  </si>
  <si>
    <t>PWM0_14</t>
  </si>
  <si>
    <t>PWM0_17_N</t>
  </si>
  <si>
    <t>TC0_14_TR0</t>
  </si>
  <si>
    <t>TC0_17_TR1</t>
  </si>
  <si>
    <t>SCB0_RTS (0)</t>
  </si>
  <si>
    <t>PWM0_13</t>
  </si>
  <si>
    <t>PWM0_14_N</t>
  </si>
  <si>
    <t>TC0_13_TR0</t>
  </si>
  <si>
    <t>TC0_14_TR1</t>
  </si>
  <si>
    <t>SCB0_CTS (0)</t>
  </si>
  <si>
    <t>PWM0_12</t>
  </si>
  <si>
    <t>PWM0_13_N</t>
  </si>
  <si>
    <t>TC0_12_TR0</t>
  </si>
  <si>
    <t>TC0_13_TR1</t>
  </si>
  <si>
    <t>PWM0_H_4</t>
  </si>
  <si>
    <t>PWM0_11</t>
  </si>
  <si>
    <t>PWM0_12_N</t>
  </si>
  <si>
    <t>TC0_11_TR0</t>
  </si>
  <si>
    <t>TC0_12_TR1</t>
  </si>
  <si>
    <t>PWM0_H_5</t>
  </si>
  <si>
    <t>PWM0_10</t>
  </si>
  <si>
    <t>PWM0_11_N</t>
  </si>
  <si>
    <t>TC0_10_TR0</t>
  </si>
  <si>
    <t>TC0_11_TR1</t>
  </si>
  <si>
    <t>PWM0_H_6</t>
  </si>
  <si>
    <t>PWM0_8</t>
  </si>
  <si>
    <t>PWM0_10_N</t>
  </si>
  <si>
    <t>TC0_8_TR0</t>
  </si>
  <si>
    <t>TC0_10_TR1</t>
  </si>
  <si>
    <t>PWM0_H_7</t>
  </si>
  <si>
    <t>PWM0_7</t>
  </si>
  <si>
    <t>PWM0_8_N</t>
  </si>
  <si>
    <t>TC0_7_TR0</t>
  </si>
  <si>
    <t>TC0_8_TR1</t>
  </si>
  <si>
    <t>TC0_H_4_TR0</t>
  </si>
  <si>
    <t>SCB7_RX (0)</t>
  </si>
  <si>
    <t>SCB7_MISO (0)</t>
  </si>
  <si>
    <t>PWM0_6</t>
  </si>
  <si>
    <t>PWM0_7_N</t>
  </si>
  <si>
    <t>TC0_6_TR0</t>
  </si>
  <si>
    <t>TC0_7_TR1</t>
  </si>
  <si>
    <t>TC0_H_5_TR0</t>
  </si>
  <si>
    <t>SCB7_TX (0)</t>
  </si>
  <si>
    <t>SCB7_SDA (0)</t>
  </si>
  <si>
    <t>SCB7_MOSI (0)</t>
  </si>
  <si>
    <t>PWM0_5</t>
  </si>
  <si>
    <t>PWM0_6_N</t>
  </si>
  <si>
    <t>TC0_5_TR0</t>
  </si>
  <si>
    <t>TC0_6_TR1</t>
  </si>
  <si>
    <t>TC0_H_6_TR0</t>
  </si>
  <si>
    <t>SCB7_RTS (0)</t>
  </si>
  <si>
    <t>SCB7_SCL (0)</t>
  </si>
  <si>
    <t>SCB7_CLK (0)</t>
  </si>
  <si>
    <t>PWM0_4</t>
  </si>
  <si>
    <t>PWM0_5_N</t>
  </si>
  <si>
    <t>TC0_4_TR0</t>
  </si>
  <si>
    <t>TC0_5_TR1</t>
  </si>
  <si>
    <t>TC0_H_7_TR0</t>
  </si>
  <si>
    <t>SCB7_CTS (0)</t>
  </si>
  <si>
    <t>SCB7_SEL0 (0)</t>
  </si>
  <si>
    <t>PWM0_3</t>
  </si>
  <si>
    <t>PWM0_4_N</t>
  </si>
  <si>
    <t>TC0_3_TR0</t>
  </si>
  <si>
    <t>TC0_4_TR1</t>
  </si>
  <si>
    <t>PWM0_H_4_N</t>
  </si>
  <si>
    <t>SCB7_SEL1 (0)</t>
  </si>
  <si>
    <t>PWM0_2</t>
  </si>
  <si>
    <t>PWM0_3_N</t>
  </si>
  <si>
    <t>TC0_2_TR0</t>
  </si>
  <si>
    <t>TC0_3_TR1</t>
  </si>
  <si>
    <t>PWM0_H_5_N</t>
  </si>
  <si>
    <t>SCB7_SEL2 (0)</t>
  </si>
  <si>
    <t>PWM0_1</t>
  </si>
  <si>
    <t>PWM0_2_N</t>
  </si>
  <si>
    <t>TC0_1_TR0</t>
  </si>
  <si>
    <t>TC0_2_TR1</t>
  </si>
  <si>
    <t>PWM0_H_6_N</t>
  </si>
  <si>
    <t>SCB6_RX (0)</t>
  </si>
  <si>
    <t>SCB6_MISO (0)</t>
  </si>
  <si>
    <t>CAN0_3_TX</t>
  </si>
  <si>
    <t>PWM0_0</t>
  </si>
  <si>
    <t>PWM0_1_N</t>
  </si>
  <si>
    <t>TC0_0_TR0</t>
  </si>
  <si>
    <t>TC0_1_TR1</t>
  </si>
  <si>
    <t>PWM0_H_7_N</t>
  </si>
  <si>
    <t>SCB6_TX (0)</t>
  </si>
  <si>
    <t>SCB6_SDA (0)</t>
  </si>
  <si>
    <t>SCB6_MOSI (0)</t>
  </si>
  <si>
    <t>CAN0_3_RX</t>
  </si>
  <si>
    <t>PWM0_M_3</t>
  </si>
  <si>
    <t>PWM0_0_N</t>
  </si>
  <si>
    <t>TC0_M_3_TR0</t>
  </si>
  <si>
    <t>TC0_0_TR1</t>
  </si>
  <si>
    <t>TC0_H_4_TR1</t>
  </si>
  <si>
    <t>SCB6_RTS (0)</t>
  </si>
  <si>
    <t>SCB6_SCL (0)</t>
  </si>
  <si>
    <t>SCB6_CLK (0)</t>
  </si>
  <si>
    <t>PWM0_M_2</t>
  </si>
  <si>
    <t>PWM0_M_3_N</t>
  </si>
  <si>
    <t>TC0_M_2_TR0</t>
  </si>
  <si>
    <t>TC0_M_3_TR1</t>
  </si>
  <si>
    <t>TC0_H_5_TR1</t>
  </si>
  <si>
    <t>SCB6_CTS (0)</t>
  </si>
  <si>
    <t>SCB6_SEL0 (0)</t>
  </si>
  <si>
    <t>PWM0_M_1</t>
  </si>
  <si>
    <t>PWM0_M_2_N</t>
  </si>
  <si>
    <t>TC0_M_1_TR0</t>
  </si>
  <si>
    <t>TC0_M_2_TR1</t>
  </si>
  <si>
    <t>TC0_H_6_TR1</t>
  </si>
  <si>
    <t>SCB6_SEL1 (0)</t>
  </si>
  <si>
    <t>PWM0_M_0</t>
  </si>
  <si>
    <t>PWM0_M_1_N</t>
  </si>
  <si>
    <t>TC0_M_0_TR0</t>
  </si>
  <si>
    <t>TC0_M_1_TR1</t>
  </si>
  <si>
    <t>TC0_H_7_TR1</t>
  </si>
  <si>
    <t>SCB6_SEL2 (0)</t>
  </si>
  <si>
    <t>PWM0_M_0_N</t>
  </si>
  <si>
    <t>TC0_M_0_TR1</t>
  </si>
  <si>
    <t>SCB5_RX (0)</t>
  </si>
  <si>
    <t>SCB5_MISO (0)</t>
  </si>
  <si>
    <t>SCB5_TX (0)</t>
  </si>
  <si>
    <t>SCB5_SDA (0)</t>
  </si>
  <si>
    <t>SCB5_MOSI (0)</t>
  </si>
  <si>
    <t>SCB5_RTS (0)</t>
  </si>
  <si>
    <t>SCB5_SCL (0)</t>
  </si>
  <si>
    <t>SCB5_CLK (0)</t>
  </si>
  <si>
    <t>SCB5_CTS (0)</t>
  </si>
  <si>
    <t>SCB5_SEL0 (0)</t>
  </si>
  <si>
    <t>SCB5_SEL1 (0)</t>
  </si>
  <si>
    <t>PWM0_9</t>
  </si>
  <si>
    <t>TC0_9_TR0</t>
  </si>
  <si>
    <t>SCB5_SEL2 (0)</t>
  </si>
  <si>
    <t>PWM0_9_N</t>
  </si>
  <si>
    <t>TC0_9_TR1</t>
  </si>
  <si>
    <t>SCB4_RX (0)</t>
  </si>
  <si>
    <t>SCB4_MISO (0)</t>
  </si>
  <si>
    <t>SCB4_TX (0)</t>
  </si>
  <si>
    <t>SCB4_SDA (0)</t>
  </si>
  <si>
    <t>SCB4_MOSI (0)</t>
  </si>
  <si>
    <t>SCB4_RTS (0)</t>
  </si>
  <si>
    <t>SCB4_SCL (0)</t>
  </si>
  <si>
    <t>SCB4_CLK (0)</t>
  </si>
  <si>
    <t>SCB4_CTS (0)</t>
  </si>
  <si>
    <t>SCB4_SEL0 (0)</t>
  </si>
  <si>
    <t>SCB4_SEL1 (0)</t>
  </si>
  <si>
    <t>SCB4_SEL2 (0)</t>
  </si>
  <si>
    <t>SCB4_SEL3 (0)</t>
  </si>
  <si>
    <t>PWM0_M_4</t>
  </si>
  <si>
    <t>TC0_M_4_TR0</t>
  </si>
  <si>
    <t>SCB5_RX (1)</t>
  </si>
  <si>
    <t>SCB5_MISO (1)</t>
  </si>
  <si>
    <t>CXPI0_RX</t>
  </si>
  <si>
    <t>PWM0_15</t>
  </si>
  <si>
    <t>PWM0_M_4_N</t>
  </si>
  <si>
    <t>TC0_15_TR0</t>
  </si>
  <si>
    <t>TC0_M_4_TR1</t>
  </si>
  <si>
    <t>SCB5_TX (1)</t>
  </si>
  <si>
    <t>SCB5_SDA (1)</t>
  </si>
  <si>
    <t>SCB5_MOSI (1)</t>
  </si>
  <si>
    <t>CXPI0_TX</t>
  </si>
  <si>
    <t>PWM0_M_5</t>
  </si>
  <si>
    <t>PWM0_15_N</t>
  </si>
  <si>
    <t>TC0_M_5_TR0</t>
  </si>
  <si>
    <t>TC0_15_TR1</t>
  </si>
  <si>
    <t>SCB5_RTS (1)</t>
  </si>
  <si>
    <t>SCB5_SCL (1)</t>
  </si>
  <si>
    <t>SCB5_CLK (1)</t>
  </si>
  <si>
    <t>CXPI0_EN</t>
  </si>
  <si>
    <t>PWM0_16</t>
  </si>
  <si>
    <t>PWM0_M_5_N</t>
  </si>
  <si>
    <t>TC0_16_TR0</t>
  </si>
  <si>
    <t>TC0_M_5_TR1</t>
  </si>
  <si>
    <t>SCB5_CTS (1)</t>
  </si>
  <si>
    <t>SCB5_SEL0 (1)</t>
  </si>
  <si>
    <t>PWM0_M_6</t>
  </si>
  <si>
    <t>PWM0_16_N</t>
  </si>
  <si>
    <t>TC0_M_6_TR0</t>
  </si>
  <si>
    <t>TC0_16_TR1</t>
  </si>
  <si>
    <t>SCB5_SEL1 (1)</t>
  </si>
  <si>
    <t>PWM0_M_6_N</t>
  </si>
  <si>
    <t>TC0_M_6_TR1</t>
  </si>
  <si>
    <t>SCB5_SEL2 (1)</t>
  </si>
  <si>
    <t>LIN10_RX</t>
  </si>
  <si>
    <t>PWM0_M_7</t>
  </si>
  <si>
    <t>TC0_M_7_TR0</t>
  </si>
  <si>
    <t>LIN10_TX</t>
  </si>
  <si>
    <t>PWM0_M_7_N</t>
  </si>
  <si>
    <t>TC0_M_7_TR1</t>
  </si>
  <si>
    <t>LIN10_EN</t>
  </si>
  <si>
    <t>PWM0_19</t>
  </si>
  <si>
    <t>TC0_19_TR0</t>
  </si>
  <si>
    <t>PWM0_20</t>
  </si>
  <si>
    <t>PWM0_19_N</t>
  </si>
  <si>
    <t>TC0_20_TR0</t>
  </si>
  <si>
    <t>TC0_19_TR1</t>
  </si>
  <si>
    <t>PWM0_21</t>
  </si>
  <si>
    <t>PWM0_20_N</t>
  </si>
  <si>
    <t>TC0_21_TR0</t>
  </si>
  <si>
    <t>TC0_20_TR1</t>
  </si>
  <si>
    <t>PWM0_22</t>
  </si>
  <si>
    <t>PWM0_21_N</t>
  </si>
  <si>
    <t>TC0_22_TR0</t>
  </si>
  <si>
    <t>TC0_21_TR1</t>
  </si>
  <si>
    <t>PWM0_23</t>
  </si>
  <si>
    <t>TC0_23_TR0</t>
  </si>
  <si>
    <t>PWM0_24</t>
  </si>
  <si>
    <t>PWM0_23_N</t>
  </si>
  <si>
    <t>TC0_24_TR0</t>
  </si>
  <si>
    <t>TC0_23_TR1</t>
  </si>
  <si>
    <t>PWM0_25</t>
  </si>
  <si>
    <t>PWM0_24_N</t>
  </si>
  <si>
    <t>TC0_25_TR0</t>
  </si>
  <si>
    <t>TC0_24_TR1</t>
  </si>
  <si>
    <t>PWM0_26</t>
  </si>
  <si>
    <t>PWM0_25_N</t>
  </si>
  <si>
    <t>TC0_26_TR0</t>
  </si>
  <si>
    <t>TC0_25_TR1</t>
  </si>
  <si>
    <t>PWM0_27</t>
  </si>
  <si>
    <t>PWM0_26_N</t>
  </si>
  <si>
    <t>TC0_27_TR0</t>
  </si>
  <si>
    <t>TC0_26_TR1</t>
  </si>
  <si>
    <t>PWM0_28</t>
  </si>
  <si>
    <t>PWM0_27_N</t>
  </si>
  <si>
    <t>TC0_28_TR0</t>
  </si>
  <si>
    <t>TC0_27_TR1</t>
  </si>
  <si>
    <t>SCB4_RX (1)</t>
  </si>
  <si>
    <t>SCB4_MISO (1)</t>
  </si>
  <si>
    <t>PWM0_29</t>
  </si>
  <si>
    <t>PWM0_28_N</t>
  </si>
  <si>
    <t>TC0_29_TR0</t>
  </si>
  <si>
    <t>TC0_28_TR1</t>
  </si>
  <si>
    <t>SCB4_TX (1)</t>
  </si>
  <si>
    <t>SCB4_SDA (1)</t>
  </si>
  <si>
    <t>SCB4_MOSI (1)</t>
  </si>
  <si>
    <t>PWM0_30</t>
  </si>
  <si>
    <t>PWM0_29_N</t>
  </si>
  <si>
    <t>TC0_30_TR0</t>
  </si>
  <si>
    <t>TC0_29_TR1</t>
  </si>
  <si>
    <t>SCB4_RTS (1)</t>
  </si>
  <si>
    <t>SCB4_SCL (1)</t>
  </si>
  <si>
    <t>SCB4_CLK (1)</t>
  </si>
  <si>
    <t>LIN8_RX</t>
  </si>
  <si>
    <t>PWM0_31</t>
  </si>
  <si>
    <t>PWM0_30_N</t>
  </si>
  <si>
    <t>TC0_31_TR0</t>
  </si>
  <si>
    <t>TC0_30_TR1</t>
  </si>
  <si>
    <t>SCB4_CTS (1)</t>
  </si>
  <si>
    <t>SCB4_SEL0 (1)</t>
  </si>
  <si>
    <t>LIN8_TX</t>
  </si>
  <si>
    <t>PWM0_32</t>
  </si>
  <si>
    <t>PWM0_31_N</t>
  </si>
  <si>
    <t>TC0_32_TR0</t>
  </si>
  <si>
    <t>TC0_31_TR1</t>
  </si>
  <si>
    <t>SCB4_SEL1 (1)</t>
  </si>
  <si>
    <t>LIN8_EN</t>
  </si>
  <si>
    <t>PWM0_33</t>
  </si>
  <si>
    <t>PWM0_32_N</t>
  </si>
  <si>
    <t>TC0_33_TR0</t>
  </si>
  <si>
    <t>TC0_32_TR1</t>
  </si>
  <si>
    <t>SCB4_SEL2 (1)</t>
  </si>
  <si>
    <t>PWM0_34</t>
  </si>
  <si>
    <t>PWM0_33_N</t>
  </si>
  <si>
    <t>TC0_34_TR0</t>
  </si>
  <si>
    <t>TC0_33_TR1</t>
  </si>
  <si>
    <t>PWM0_35</t>
  </si>
  <si>
    <t>PWM0_34_N</t>
  </si>
  <si>
    <t>TC0_35_TR0</t>
  </si>
  <si>
    <t>TC0_34_TR1</t>
  </si>
  <si>
    <t>PWM0_36</t>
  </si>
  <si>
    <t>PWM0_35_N</t>
  </si>
  <si>
    <t>TC0_36_TR0</t>
  </si>
  <si>
    <t>TC0_35_TR1</t>
  </si>
  <si>
    <t>PWM0_37</t>
  </si>
  <si>
    <t>PWM0_36_N</t>
  </si>
  <si>
    <t>TC0_37_TR0</t>
  </si>
  <si>
    <t>TC0_36_TR1</t>
  </si>
  <si>
    <t>PWM0_38</t>
  </si>
  <si>
    <t>PWM0_37_N</t>
  </si>
  <si>
    <t>TC0_38_TR0</t>
  </si>
  <si>
    <t>TC0_37_TR1</t>
  </si>
  <si>
    <t>PWM0_39</t>
  </si>
  <si>
    <t>PWM0_38_N</t>
  </si>
  <si>
    <t>TC0_39_TR0</t>
  </si>
  <si>
    <t>TC0_38_TR1</t>
  </si>
  <si>
    <t>PWM0_40</t>
  </si>
  <si>
    <t>PWM0_39_N</t>
  </si>
  <si>
    <t>TC0_40_TR0</t>
  </si>
  <si>
    <t>TC0_39_TR1</t>
  </si>
  <si>
    <t>PWM0_41</t>
  </si>
  <si>
    <t>PWM0_40_N</t>
  </si>
  <si>
    <t>TC0_41_TR0</t>
  </si>
  <si>
    <t>TC0_40_TR1</t>
  </si>
  <si>
    <t>PWM0_42</t>
  </si>
  <si>
    <t>PWM0_41_N</t>
  </si>
  <si>
    <t>TC0_42_TR0</t>
  </si>
  <si>
    <t>TC0_41_TR1</t>
  </si>
  <si>
    <t>PWM0_43</t>
  </si>
  <si>
    <t>PWM0_42_N</t>
  </si>
  <si>
    <t>TC0_43_TR0</t>
  </si>
  <si>
    <t>TC0_42_TR1</t>
  </si>
  <si>
    <t>PWM0_M_8</t>
  </si>
  <si>
    <t>PWM0_43_N</t>
  </si>
  <si>
    <t>TC0_M_8_TR0</t>
  </si>
  <si>
    <t>TC0_43_TR1</t>
  </si>
  <si>
    <t>SCB3_RX (0)</t>
  </si>
  <si>
    <t>SCB3_MISO (0)</t>
  </si>
  <si>
    <t>CXPI1_RX</t>
  </si>
  <si>
    <t>PWM0_44</t>
  </si>
  <si>
    <t>PWM0_M_8_N</t>
  </si>
  <si>
    <t>TC0_44_TR0</t>
  </si>
  <si>
    <t>TC0_M_8_TR1</t>
  </si>
  <si>
    <t>SCB3_TX (0)</t>
  </si>
  <si>
    <t>SCB3_SDA (0)</t>
  </si>
  <si>
    <t>SCB3_MOSI (0)</t>
  </si>
  <si>
    <t>CXPI1_TX</t>
  </si>
  <si>
    <t>PWM0_M_9</t>
  </si>
  <si>
    <t>PWM0_44_N</t>
  </si>
  <si>
    <t>TC0_M_9_TR0</t>
  </si>
  <si>
    <t>TC0_44_TR1</t>
  </si>
  <si>
    <t>SCB3_RTS (0)</t>
  </si>
  <si>
    <t>SCB3_SCL (0)</t>
  </si>
  <si>
    <t>SCB3_CLK (0)</t>
  </si>
  <si>
    <t>CXPI1_EN</t>
  </si>
  <si>
    <t>PWM0_45</t>
  </si>
  <si>
    <t>PWM0_M_9_N</t>
  </si>
  <si>
    <t>TC0_45_TR0</t>
  </si>
  <si>
    <t>TC0_M_9_TR1</t>
  </si>
  <si>
    <t>SCB3_CTS (0)</t>
  </si>
  <si>
    <t>SCB3_SEL0 (0)</t>
  </si>
  <si>
    <t>PWM0_M_10</t>
  </si>
  <si>
    <t>PWM0_45_N</t>
  </si>
  <si>
    <t>TC0_M_10_TR0</t>
  </si>
  <si>
    <t>TC0_45_TR1</t>
  </si>
  <si>
    <t>SCB3_SEL1 (0)</t>
  </si>
  <si>
    <t>PWM0_46</t>
  </si>
  <si>
    <t>PWM0_M_10_N</t>
  </si>
  <si>
    <t>TC0_46_TR0</t>
  </si>
  <si>
    <t>TC0_M_10_TR1</t>
  </si>
  <si>
    <t>SCB3_SEL2 (0)</t>
  </si>
  <si>
    <t>CXPI2_RX</t>
  </si>
  <si>
    <t>PWM0_M_11</t>
  </si>
  <si>
    <t>PWM0_46_N</t>
  </si>
  <si>
    <t>TC0_M_11_TR0</t>
  </si>
  <si>
    <t>TC0_46_TR1</t>
  </si>
  <si>
    <t>SCB3_SEL3 (0)</t>
  </si>
  <si>
    <t>CXPI2_TX</t>
  </si>
  <si>
    <t>PWM0_47</t>
  </si>
  <si>
    <t>PWM0_M_11_N</t>
  </si>
  <si>
    <t>TC0_47_TR0</t>
  </si>
  <si>
    <t>TC0_M_11_TR1</t>
  </si>
  <si>
    <t>CXPI2_EN</t>
  </si>
  <si>
    <t>PWM0_48</t>
  </si>
  <si>
    <t>PWM0_47_N</t>
  </si>
  <si>
    <t>TC0_48_TR0</t>
  </si>
  <si>
    <t>TC0_47_TR1</t>
  </si>
  <si>
    <t>SCB2_RX (0)</t>
  </si>
  <si>
    <t>SCB2_MISO (0)</t>
  </si>
  <si>
    <t>PWM0_49</t>
  </si>
  <si>
    <t>PWM0_48_N</t>
  </si>
  <si>
    <t>TC0_49_TR0</t>
  </si>
  <si>
    <t>TC0_48_TR1</t>
  </si>
  <si>
    <t>SCB2_TX (0)</t>
  </si>
  <si>
    <t>SCB2_SDA (0)</t>
  </si>
  <si>
    <t>SCB2_MOSI (0)</t>
  </si>
  <si>
    <t>PWM0_50</t>
  </si>
  <si>
    <t>PWM0_49_N</t>
  </si>
  <si>
    <t>TC0_50_TR0</t>
  </si>
  <si>
    <t>TC0_49_TR1</t>
  </si>
  <si>
    <t>SCB2_RTS (0)</t>
  </si>
  <si>
    <t>SCB2_SCL (0)</t>
  </si>
  <si>
    <t>SCB2_CLK (0)</t>
  </si>
  <si>
    <t>PWM0_51</t>
  </si>
  <si>
    <t>PWM0_50_N</t>
  </si>
  <si>
    <t>TC0_51_TR0</t>
  </si>
  <si>
    <t>TC0_50_TR1</t>
  </si>
  <si>
    <t>SCB2_CTS (0)</t>
  </si>
  <si>
    <t>SCB2_SEL0 (0)</t>
  </si>
  <si>
    <t>PWM0_52</t>
  </si>
  <si>
    <t>PWM0_51_N</t>
  </si>
  <si>
    <t>TC0_52_TR0</t>
  </si>
  <si>
    <t>TC0_51_TR1</t>
  </si>
  <si>
    <t>SCB2_SEL1 (0)</t>
  </si>
  <si>
    <t>PWM0_53</t>
  </si>
  <si>
    <t>PWM0_52_N</t>
  </si>
  <si>
    <t>TC0_53_TR0</t>
  </si>
  <si>
    <t>TC0_52_TR1</t>
  </si>
  <si>
    <t>SCB2_SEL2 (0)</t>
  </si>
  <si>
    <t>PWM0_54</t>
  </si>
  <si>
    <t>PWM0_53_N</t>
  </si>
  <si>
    <t>TC0_54_TR0</t>
  </si>
  <si>
    <t>TC0_53_TR1</t>
  </si>
  <si>
    <t>PWM0_55</t>
  </si>
  <si>
    <t>PWM0_54_N</t>
  </si>
  <si>
    <t>TC0_55_TR0</t>
  </si>
  <si>
    <t>TC0_54_TR1</t>
  </si>
  <si>
    <t>PWM0_56</t>
  </si>
  <si>
    <t>PWM0_55_N</t>
  </si>
  <si>
    <t>TC0_56_TR0</t>
  </si>
  <si>
    <t>TC0_55_TR1</t>
  </si>
  <si>
    <t>CAN1_3_TX</t>
  </si>
  <si>
    <t>PWM0_57</t>
  </si>
  <si>
    <t>PWM0_56_N</t>
  </si>
  <si>
    <t>TC0_57_TR0</t>
  </si>
  <si>
    <t>TC0_56_TR1</t>
  </si>
  <si>
    <t>CAN1_3_RX</t>
  </si>
  <si>
    <t>PWM0_58</t>
  </si>
  <si>
    <t>PWM0_57_N</t>
  </si>
  <si>
    <t>TC0_58_TR0</t>
  </si>
  <si>
    <t>TC0_57_TR1</t>
  </si>
  <si>
    <t>PWM0_59</t>
  </si>
  <si>
    <t>PWM0_58_N</t>
  </si>
  <si>
    <t>TC0_59_TR0</t>
  </si>
  <si>
    <t>TC0_58_TR1</t>
  </si>
  <si>
    <t>PWM0_60</t>
  </si>
  <si>
    <t>PWM0_59_N</t>
  </si>
  <si>
    <t>TC0_60_TR0</t>
  </si>
  <si>
    <t>TC0_59_TR1</t>
  </si>
  <si>
    <t>PWM0_H_0</t>
  </si>
  <si>
    <t>LIN11_RX</t>
  </si>
  <si>
    <t>PWM0_61</t>
  </si>
  <si>
    <t>PWM0_60_N</t>
  </si>
  <si>
    <t>TC0_61_TR0</t>
  </si>
  <si>
    <t>TC0_60_TR1</t>
  </si>
  <si>
    <t>PWM0_H_0_N</t>
  </si>
  <si>
    <t>LIN11_TX</t>
  </si>
  <si>
    <t>PWM0_62</t>
  </si>
  <si>
    <t>PWM0_61_N</t>
  </si>
  <si>
    <t>TC0_62_TR0</t>
  </si>
  <si>
    <t>TC0_61_TR1</t>
  </si>
  <si>
    <t>PWM0_H_1</t>
  </si>
  <si>
    <t>LIN11_EN</t>
  </si>
  <si>
    <t>PWM0_62_N</t>
  </si>
  <si>
    <t>TC0_62_TR1</t>
  </si>
  <si>
    <t>PWM0_H_1_N</t>
  </si>
  <si>
    <t>PWM0_H_2</t>
  </si>
  <si>
    <t>SCB3_RX (1)</t>
  </si>
  <si>
    <t>SCB3_MISO (1)</t>
  </si>
  <si>
    <t>PWM0_H_2_N</t>
  </si>
  <si>
    <t>SCB3_TX (1)</t>
  </si>
  <si>
    <t>SCB3_SDA (1)</t>
  </si>
  <si>
    <t>SCB3_MOSI (1)</t>
  </si>
  <si>
    <t>PWM0_H_3</t>
  </si>
  <si>
    <t>SCB3_RTS (1)</t>
  </si>
  <si>
    <t>SCB3_SCL (1)</t>
  </si>
  <si>
    <t>SCB3_CLK (1)</t>
  </si>
  <si>
    <t>PWM0_H_3_N</t>
  </si>
  <si>
    <t>SCB3_CTS (1)</t>
  </si>
  <si>
    <t>SCB3_SEL0 (1)</t>
  </si>
  <si>
    <t>SCB3_SEL1 (1)</t>
  </si>
  <si>
    <t>SCB3_SEL2 (1)</t>
  </si>
  <si>
    <t>SCB1_RX (0)</t>
  </si>
  <si>
    <t>SCB1_MISO (0)</t>
  </si>
  <si>
    <t>SCB1_TX (0)</t>
  </si>
  <si>
    <t>SCB1_SDA (0)</t>
  </si>
  <si>
    <t>SCB1_MOSI (0)</t>
  </si>
  <si>
    <t>SCB1_RTS (0)</t>
  </si>
  <si>
    <t>SCB1_SCL (0)</t>
  </si>
  <si>
    <t>SCB1_CLK (0)</t>
  </si>
  <si>
    <t>SCB1_CTS (0)</t>
  </si>
  <si>
    <t>SCB1_SEL0 (0)</t>
  </si>
  <si>
    <t>TRACE_CLOCK (0)</t>
  </si>
  <si>
    <t>SCB1_SEL1 (0)</t>
  </si>
  <si>
    <t>TRACE_DATA_0 (0)</t>
  </si>
  <si>
    <t>SCB1_SEL2 (0)</t>
  </si>
  <si>
    <t>TRACE_DATA_1 (0)</t>
  </si>
  <si>
    <t>SCB1_SEL3 (0)</t>
  </si>
  <si>
    <t>TRACE_DATA_2 (0)</t>
  </si>
  <si>
    <t>TRACE_DATA_3 (0)</t>
  </si>
  <si>
    <t>TC0_H_0_TR0</t>
  </si>
  <si>
    <t>SCB2_RX (1)</t>
  </si>
  <si>
    <t>SCB2_MISO (1)</t>
  </si>
  <si>
    <t>TC0_H_0_TR1</t>
  </si>
  <si>
    <t>SCB2_TX (1)</t>
  </si>
  <si>
    <t>SCB2_SDA (1)</t>
  </si>
  <si>
    <t>SCB2_MOSI (1)</t>
  </si>
  <si>
    <t>CXPI3_RX</t>
  </si>
  <si>
    <t>TC0_H_1_TR0</t>
  </si>
  <si>
    <t>SCB2_RTS (1)</t>
  </si>
  <si>
    <t>SCB2_SCL (1)</t>
  </si>
  <si>
    <t>SCB2_CLK (1)</t>
  </si>
  <si>
    <t>CXPI3_TX</t>
  </si>
  <si>
    <t>TC0_H_1_TR1</t>
  </si>
  <si>
    <t>SCB2_CTS (1)</t>
  </si>
  <si>
    <t>SCB2_SEL0 (1)</t>
  </si>
  <si>
    <t>CXPI3_EN</t>
  </si>
  <si>
    <t>TC0_H_2_TR0</t>
  </si>
  <si>
    <t>SCB2_SEL1 (1)</t>
  </si>
  <si>
    <t>TC0_H_2_TR1</t>
  </si>
  <si>
    <t>SCB2_SEL2 (1)</t>
  </si>
  <si>
    <t>TC0_H_3_TR0</t>
  </si>
  <si>
    <t>TC0_H_3_TR1</t>
  </si>
  <si>
    <t>SCB1_RX (1)</t>
  </si>
  <si>
    <t>SCB1_MISO (1)</t>
  </si>
  <si>
    <t>SCB1_TX (1)</t>
  </si>
  <si>
    <t>SCB1_SDA (1)</t>
  </si>
  <si>
    <t>SCB1_MOSI (1)</t>
  </si>
  <si>
    <t>SCB1_RTS (1)</t>
  </si>
  <si>
    <t>SCB1_SCL (1)</t>
  </si>
  <si>
    <t>SCB1_CLK (1)</t>
  </si>
  <si>
    <t>SCB1_CTS (1)</t>
  </si>
  <si>
    <t>SCB1_SEL0 (1)</t>
  </si>
  <si>
    <t>SCB1_SEL1 (1)</t>
  </si>
  <si>
    <t>SCB1_SEL2 (1)</t>
  </si>
  <si>
    <t>SCB6_RX (1)</t>
  </si>
  <si>
    <t>SCB6_MISO (1)</t>
  </si>
  <si>
    <t>TRACE_DATA_0 (1)</t>
  </si>
  <si>
    <t>SCB6_TX (1)</t>
  </si>
  <si>
    <t>SCB6_SDA (1)</t>
  </si>
  <si>
    <t>SCB6_MOSI (1)</t>
  </si>
  <si>
    <t>TRACE_DATA_1 (1)</t>
  </si>
  <si>
    <t>SCB6_RTS (1)</t>
  </si>
  <si>
    <t>SCB6_SCL (1)</t>
  </si>
  <si>
    <t>SCB6_CLK (1)</t>
  </si>
  <si>
    <t>TRACE_DATA_2 (1)</t>
  </si>
  <si>
    <t>SCB6_CTS (1)</t>
  </si>
  <si>
    <t>SCB6_SEL0 (1)</t>
  </si>
  <si>
    <t>TRACE_DATA_3 (1)</t>
  </si>
  <si>
    <t>SCB6_SEL1 (1)</t>
  </si>
  <si>
    <t>TRACE_CLOCK (1)</t>
  </si>
  <si>
    <t>SCB6_SEL2 (1)</t>
  </si>
  <si>
    <t>SCB7_RX (1)</t>
  </si>
  <si>
    <t>SCB7_MISO (1)</t>
  </si>
  <si>
    <t>SCB7_TX (1)</t>
  </si>
  <si>
    <t>SCB7_SDA (1)</t>
  </si>
  <si>
    <t>SCB7_MOSI (1)</t>
  </si>
  <si>
    <t>SCB7_RTS (1)</t>
  </si>
  <si>
    <t>SCB7_SCL (1)</t>
  </si>
  <si>
    <t>SCB7_CLK (1)</t>
  </si>
  <si>
    <t>SCB7_CTS (1)</t>
  </si>
  <si>
    <t>SCB7_SEL0 (1)</t>
  </si>
  <si>
    <t>SCB7_SEL1 (1)</t>
  </si>
  <si>
    <t>SCB7_SEL2 (1)</t>
  </si>
  <si>
    <t>LIN9_RX</t>
  </si>
  <si>
    <t>LIN9_TX</t>
  </si>
  <si>
    <t>LIN9_EN</t>
  </si>
  <si>
    <t>SCB0_MISO (0)</t>
  </si>
  <si>
    <t>SCB0_MOSI (0)</t>
  </si>
  <si>
    <t>SCB0_SCL (0)</t>
  </si>
  <si>
    <t>SCB0_CLK (0)</t>
  </si>
  <si>
    <t>SCB0_SDA (0)</t>
  </si>
  <si>
    <t>SCB0_SEL0 (0)</t>
  </si>
  <si>
    <t>SCB0_SCL (1)</t>
  </si>
  <si>
    <t>SCB0_MISO (1)</t>
  </si>
  <si>
    <t>SCB0_SDA (1)</t>
  </si>
  <si>
    <t>SCB0_MOSI (1)</t>
  </si>
  <si>
    <t>SCB0_CLK (1)</t>
  </si>
  <si>
    <t>SCB0_SEL0 (1)</t>
  </si>
  <si>
    <t>SCB0_SEL1 (0)</t>
  </si>
  <si>
    <t>SCB0_SEL2 (0)</t>
  </si>
  <si>
    <t>SCB0_SEL3 (0)</t>
  </si>
  <si>
    <t>ACT #14</t>
    <phoneticPr fontId="3"/>
  </si>
  <si>
    <t>ACT #15</t>
    <phoneticPr fontId="3"/>
  </si>
  <si>
    <t>HCon#22</t>
    <phoneticPr fontId="3"/>
  </si>
  <si>
    <t>Name</t>
    <phoneticPr fontId="3"/>
  </si>
  <si>
    <t>(CXPI)</t>
    <phoneticPr fontId="3"/>
  </si>
  <si>
    <t>TX (0)</t>
    <phoneticPr fontId="3"/>
  </si>
  <si>
    <t>TX (1)</t>
    <phoneticPr fontId="3"/>
  </si>
  <si>
    <t>RX (0)</t>
    <phoneticPr fontId="3"/>
  </si>
  <si>
    <t>RX (1)</t>
    <phoneticPr fontId="3"/>
  </si>
  <si>
    <t>CTS (0)</t>
    <phoneticPr fontId="3"/>
  </si>
  <si>
    <t>CTS (1)</t>
    <phoneticPr fontId="3"/>
  </si>
  <si>
    <t>RTS (0)</t>
    <phoneticPr fontId="3"/>
  </si>
  <si>
    <t>RTS (1)</t>
    <phoneticPr fontId="3"/>
  </si>
  <si>
    <t>CLK (0)</t>
    <phoneticPr fontId="3"/>
  </si>
  <si>
    <t>CLK (1)</t>
    <phoneticPr fontId="3"/>
  </si>
  <si>
    <t>MOSI (0)</t>
    <phoneticPr fontId="3"/>
  </si>
  <si>
    <t>MOSI (1)</t>
    <phoneticPr fontId="3"/>
  </si>
  <si>
    <t>MISO (0)</t>
    <phoneticPr fontId="3"/>
  </si>
  <si>
    <t>MISO (1)</t>
    <phoneticPr fontId="3"/>
  </si>
  <si>
    <t>SEL0 (0)</t>
    <phoneticPr fontId="3"/>
  </si>
  <si>
    <t>SEL0 (1)</t>
    <phoneticPr fontId="3"/>
  </si>
  <si>
    <t>SEL1 (0)</t>
    <phoneticPr fontId="3"/>
  </si>
  <si>
    <t>SEL1 (1)</t>
    <phoneticPr fontId="3"/>
  </si>
  <si>
    <t>SEL2 (0)</t>
    <phoneticPr fontId="3"/>
  </si>
  <si>
    <t>SEL2 (1)</t>
    <phoneticPr fontId="3"/>
  </si>
  <si>
    <t>SEL3 (0)</t>
    <phoneticPr fontId="3"/>
  </si>
  <si>
    <t>SEL3 (1)</t>
    <phoneticPr fontId="3"/>
  </si>
  <si>
    <t>SDA (0)</t>
    <phoneticPr fontId="3"/>
  </si>
  <si>
    <t>SDA (1)</t>
    <phoneticPr fontId="3"/>
  </si>
  <si>
    <t>SDA (2)</t>
    <phoneticPr fontId="3"/>
  </si>
  <si>
    <t>SCL (0)</t>
    <phoneticPr fontId="3"/>
  </si>
  <si>
    <t>SCL (1)</t>
    <phoneticPr fontId="3"/>
  </si>
  <si>
    <t>SCL (2)</t>
    <phoneticPr fontId="3"/>
  </si>
  <si>
    <t>VSSD</t>
    <phoneticPr fontId="3"/>
  </si>
  <si>
    <t>P11.1</t>
    <phoneticPr fontId="3"/>
  </si>
  <si>
    <t>P11.2</t>
    <phoneticPr fontId="3"/>
  </si>
  <si>
    <t>P21.5</t>
    <phoneticPr fontId="3"/>
  </si>
  <si>
    <t>P21.7</t>
    <phoneticPr fontId="3"/>
  </si>
  <si>
    <t>P21.6</t>
    <phoneticPr fontId="3"/>
  </si>
  <si>
    <t>P21.4</t>
    <phoneticPr fontId="3"/>
  </si>
  <si>
    <t>P21.3</t>
    <phoneticPr fontId="3"/>
  </si>
  <si>
    <t>P21.2</t>
    <phoneticPr fontId="3"/>
  </si>
  <si>
    <t>P21.1</t>
    <phoneticPr fontId="3"/>
  </si>
  <si>
    <t>P21.0</t>
    <phoneticPr fontId="3"/>
  </si>
  <si>
    <t>P21.5 [*1]</t>
    <phoneticPr fontId="3"/>
  </si>
  <si>
    <t>P21.6 [*1]</t>
    <phoneticPr fontId="3"/>
  </si>
  <si>
    <t>P21.0 [*1]</t>
    <phoneticPr fontId="3"/>
  </si>
  <si>
    <t>P21.1 [*1]</t>
    <phoneticPr fontId="3"/>
  </si>
  <si>
    <t>P21.2 [*1]</t>
    <phoneticPr fontId="3"/>
  </si>
  <si>
    <t>P21.3 [*1]</t>
    <phoneticPr fontId="3"/>
  </si>
  <si>
    <t>P11.0 [*1]</t>
    <phoneticPr fontId="3"/>
  </si>
  <si>
    <t>P11.1 [*1]</t>
    <phoneticPr fontId="3"/>
  </si>
  <si>
    <t>P11.2 [*1]</t>
    <phoneticPr fontId="3"/>
  </si>
  <si>
    <t>WCO_IN</t>
    <phoneticPr fontId="3"/>
  </si>
  <si>
    <t>WCO_OUT</t>
    <phoneticPr fontId="3"/>
  </si>
  <si>
    <t>ECO_IN</t>
    <phoneticPr fontId="3"/>
  </si>
  <si>
    <t>ECO_OUT</t>
    <phoneticPr fontId="3"/>
  </si>
  <si>
    <t>Connection_1</t>
    <phoneticPr fontId="4"/>
  </si>
  <si>
    <t>Connection_2</t>
    <phoneticPr fontId="3"/>
  </si>
  <si>
    <t>002-34925_02 - REFERENCE DATA</t>
    <phoneticPr fontId="3"/>
  </si>
  <si>
    <t>SMARTIO</t>
    <phoneticPr fontId="4"/>
  </si>
  <si>
    <t>Memo</t>
    <phoneticPr fontId="4"/>
  </si>
  <si>
    <t>P0.0</t>
    <phoneticPr fontId="3"/>
  </si>
  <si>
    <t>-</t>
    <phoneticPr fontId="3"/>
  </si>
  <si>
    <t>-</t>
    <phoneticPr fontId="3"/>
  </si>
  <si>
    <t>ID</t>
    <phoneticPr fontId="3"/>
  </si>
  <si>
    <t>SPI</t>
    <phoneticPr fontId="3"/>
  </si>
  <si>
    <t>UART</t>
    <phoneticPr fontId="3"/>
  </si>
  <si>
    <t>I2C</t>
    <phoneticPr fontId="3"/>
  </si>
  <si>
    <t>Number of counts other than 0</t>
    <phoneticPr fontId="3"/>
  </si>
  <si>
    <t>[Notices]</t>
    <phoneticPr fontId="3"/>
  </si>
  <si>
    <t>*2: Check the followings.</t>
    <phoneticPr fontId="3"/>
  </si>
  <si>
    <t xml:space="preserve">      - For any function marked with an identifier (n), the AC timing is only guaranteed within the respective group "n".</t>
    <phoneticPr fontId="3"/>
  </si>
  <si>
    <t xml:space="preserve">      - Different functions are selected in same SCB ch.</t>
    <phoneticPr fontId="3"/>
  </si>
  <si>
    <t>VDDIO_1</t>
  </si>
  <si>
    <t>CXPI</t>
    <phoneticPr fontId="3"/>
  </si>
  <si>
    <t>EN</t>
    <phoneticPr fontId="3"/>
  </si>
  <si>
    <t>CXPI0</t>
    <phoneticPr fontId="3"/>
  </si>
  <si>
    <t>CXPI1</t>
  </si>
  <si>
    <t>CXPI2</t>
  </si>
  <si>
    <t>CXPI0_RX</t>
    <phoneticPr fontId="3"/>
  </si>
  <si>
    <t>CXPI3</t>
  </si>
  <si>
    <t>Revision History</t>
    <phoneticPr fontId="3"/>
  </si>
  <si>
    <t>Revision</t>
    <phoneticPr fontId="3"/>
  </si>
  <si>
    <t>Issue Date</t>
    <phoneticPr fontId="3"/>
  </si>
  <si>
    <t>Description of Change</t>
    <phoneticPr fontId="3"/>
  </si>
  <si>
    <t>**</t>
    <phoneticPr fontId="3"/>
  </si>
  <si>
    <t>04/11/2022</t>
    <phoneticPr fontId="3"/>
  </si>
  <si>
    <t>Initial Release</t>
    <phoneticPr fontId="3"/>
  </si>
  <si>
    <t>*A</t>
    <phoneticPr fontId="3"/>
  </si>
  <si>
    <t>IMPORTANT NOTICE</t>
    <phoneticPr fontId="3"/>
  </si>
  <si>
    <t>The tool used by Infineon Technologies is not fully validated and the behavior of parameters of the products assessed by Infineon Technologies is based on assumptions only. Therefore, the assessment results shown in this document shall be regarded as an indication only and in no event as a description or warranty of a certain functionality, condition or quality of the products. Before implementation of the products, the recipient of this document must verify any function and other technical information given herein in the real application. Infineon Technologies hereby disclaims any and all warranties and liabilities of any kind (including without limitation warranties of non-infringement of intellectual property rights of any third party) with respect to any and all information given in this document. 
The data contained in this document is exclusively intended for technically trained staff. It is the responsibility of customer’s technical departments to evaluate the suitability of the products for the intended application and the completeness of the product information given in this document with respect to such application.   Please note that technical specifications of Infineon’s products are conclusively stated in the applicable Infineon data sheets.
Infineon Technologies reserves  the  right  to  make  changes  to  this  document without further notice.</t>
    <phoneticPr fontId="3"/>
  </si>
  <si>
    <t>TCPWM_16bit (Group0)</t>
    <phoneticPr fontId="3"/>
  </si>
  <si>
    <t>PWM_N</t>
    <phoneticPr fontId="3"/>
  </si>
  <si>
    <t>TCPWM_32bit (Group2)</t>
    <phoneticPr fontId="3"/>
  </si>
  <si>
    <t>TCPWM_16bit for motor (Group1)</t>
    <phoneticPr fontId="3"/>
  </si>
  <si>
    <t>P18.7</t>
    <phoneticPr fontId="3"/>
  </si>
  <si>
    <t>- Added the "IMPORTANT NOTICE".
- Changed TCPWM pin name from "PWM_xx, PWM_xx_N, TC_xx_TR0, and TC_xx_TR1" to "PWM0_xx, PWM0_xx_N, TC0_xx_TR0, and TC0_xx_TR1" on PCHxxx sheet.
- Fixed typo in P18 for 64pin package.</t>
    <phoneticPr fontId="3"/>
  </si>
  <si>
    <t>PWM0_H_4</t>
    <phoneticPr fontId="3"/>
  </si>
  <si>
    <t>12/13/2022</t>
    <phoneticPr fontId="3"/>
  </si>
  <si>
    <t>NA</t>
    <phoneticPr fontId="3"/>
  </si>
  <si>
    <t>CAN0_3</t>
    <phoneticPr fontId="3"/>
  </si>
  <si>
    <t>CAN1_3</t>
    <phoneticPr fontId="3"/>
  </si>
  <si>
    <t>LIN8</t>
  </si>
  <si>
    <t>LIN9</t>
  </si>
  <si>
    <t>LIN10</t>
  </si>
  <si>
    <t>LIN11</t>
  </si>
  <si>
    <t>*B</t>
    <phoneticPr fontId="3"/>
  </si>
  <si>
    <t>Fixed CAN channel on PCHxxx sheet</t>
    <phoneticPr fontId="3"/>
  </si>
  <si>
    <t>09/01/2023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</si>
</sst>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22" x14ac:knownFonts="1">
    <font>
      <sz val="11"/>
      <color theme="1"/>
      <name val="游ゴシック"/>
      <family val="2"/>
      <scheme val="minor"/>
    </font>
    <font>
      <b/>
      <sz val="8"/>
      <color rgb="FF000000"/>
      <name val="Arial"/>
      <family val="2"/>
    </font>
    <font>
      <sz val="8"/>
      <color rgb="FF000000"/>
      <name val="Arial"/>
      <family val="2"/>
    </font>
    <font>
      <sz val="6"/>
      <name val="游ゴシック"/>
      <family val="3"/>
      <charset val="128"/>
      <scheme val="minor"/>
    </font>
    <font>
      <sz val="6"/>
      <name val="ＭＳ Ｐゴシック"/>
      <family val="3"/>
      <charset val="128"/>
    </font>
    <font>
      <sz val="8"/>
      <color theme="1"/>
      <name val="Arial"/>
      <family val="2"/>
    </font>
    <font>
      <sz val="6"/>
      <color theme="1"/>
      <name val="Arial"/>
      <family val="2"/>
    </font>
    <font>
      <b/>
      <sz val="8"/>
      <name val="Arial"/>
      <family val="2"/>
    </font>
    <font>
      <b/>
      <sz val="8"/>
      <color theme="1"/>
      <name val="Arial"/>
      <family val="2"/>
    </font>
    <font>
      <sz val="8"/>
      <color theme="0"/>
      <name val="Arial"/>
      <family val="2"/>
    </font>
    <font>
      <sz val="8"/>
      <name val="Arial"/>
      <family val="2"/>
    </font>
    <font>
      <b/>
      <sz val="8"/>
      <color rgb="FFFF0000"/>
      <name val="Arial"/>
      <family val="2"/>
    </font>
    <font>
      <sz val="24"/>
      <color theme="1"/>
      <name val="Arial"/>
      <family val="2"/>
    </font>
    <font>
      <sz val="18"/>
      <color theme="1"/>
      <name val="Arial"/>
      <family val="2"/>
    </font>
    <font>
      <sz val="8"/>
      <color theme="1"/>
      <name val="ＭＳ ゴシック"/>
      <family val="2"/>
      <charset val="128"/>
    </font>
    <font>
      <sz val="9"/>
      <color indexed="81"/>
      <name val="Arial"/>
      <family val="2"/>
    </font>
    <font>
      <u/>
      <sz val="11"/>
      <color theme="1"/>
      <name val="Arial"/>
      <family val="2"/>
    </font>
    <font>
      <sz val="11"/>
      <color theme="1"/>
      <name val="Arial"/>
      <family val="2"/>
    </font>
    <font>
      <b/>
      <sz val="10"/>
      <color theme="1"/>
      <name val="Source Sans Pro"/>
      <family val="2"/>
    </font>
    <font>
      <sz val="10"/>
      <color theme="1"/>
      <name val="Source Sans Pro"/>
      <family val="2"/>
    </font>
    <font>
      <b/>
      <sz val="11"/>
      <color theme="1"/>
      <name val="Source Sans Pro"/>
      <family val="2"/>
    </font>
    <font>
      <sz val="11"/>
      <color theme="1"/>
      <name val="Source Sans Pro"/>
      <family val="2"/>
    </font>
  </fonts>
  <fills count="11">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249977111117893"/>
        <bgColor indexed="64"/>
      </patternFill>
    </fill>
    <fill>
      <patternFill patternType="solid">
        <fgColor rgb="FFC00000"/>
        <bgColor indexed="64"/>
      </patternFill>
    </fill>
    <fill>
      <patternFill patternType="solid">
        <fgColor rgb="FFD9E1F2"/>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diagonalUp="1">
      <left/>
      <right/>
      <top/>
      <bottom/>
      <diagonal style="thin">
        <color indexed="64"/>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Down="1">
      <left/>
      <right/>
      <top/>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152">
    <xf numFmtId="0" fontId="0" fillId="0" borderId="0" xfId="0"/>
    <xf numFmtId="0" fontId="13" fillId="0" borderId="0" xfId="0" applyFont="1" applyAlignment="1" applyProtection="1">
      <alignment horizontal="left" vertical="top"/>
      <protection locked="0"/>
    </xf>
    <xf numFmtId="0" fontId="0" fillId="0" borderId="0" xfId="0" applyProtection="1">
      <protection locked="0"/>
    </xf>
    <xf numFmtId="0" fontId="0" fillId="0" borderId="0" xfId="0" applyAlignment="1" applyProtection="1">
      <alignment horizontal="left"/>
      <protection locked="0"/>
    </xf>
    <xf numFmtId="0" fontId="5" fillId="0" borderId="0" xfId="0" applyFont="1" applyAlignment="1" applyProtection="1">
      <alignment horizontal="left" vertical="top"/>
      <protection locked="0"/>
    </xf>
    <xf numFmtId="0" fontId="11" fillId="0" borderId="0" xfId="0" applyFont="1" applyAlignment="1" applyProtection="1">
      <alignment horizontal="right" vertical="center"/>
      <protection locked="0"/>
    </xf>
    <xf numFmtId="0" fontId="2" fillId="9" borderId="9" xfId="0" applyFont="1" applyFill="1" applyBorder="1" applyAlignment="1" applyProtection="1">
      <alignment horizontal="center" vertical="center" wrapText="1"/>
      <protection locked="0"/>
    </xf>
    <xf numFmtId="0" fontId="2" fillId="9" borderId="10" xfId="0" applyFont="1" applyFill="1" applyBorder="1" applyAlignment="1" applyProtection="1">
      <alignment horizontal="center" vertical="center" wrapText="1"/>
      <protection locked="0"/>
    </xf>
    <xf numFmtId="0" fontId="2" fillId="9" borderId="11" xfId="0" applyFont="1" applyFill="1" applyBorder="1" applyAlignment="1" applyProtection="1">
      <alignment horizontal="center" vertical="center" wrapText="1"/>
      <protection locked="0"/>
    </xf>
    <xf numFmtId="0" fontId="1" fillId="9" borderId="8" xfId="0" applyFont="1" applyFill="1" applyBorder="1" applyAlignment="1" applyProtection="1">
      <alignment horizontal="center" vertical="center" wrapText="1"/>
      <protection locked="0"/>
    </xf>
    <xf numFmtId="0" fontId="9" fillId="2" borderId="1" xfId="0" applyFont="1" applyFill="1" applyBorder="1" applyAlignment="1" applyProtection="1">
      <alignment horizontal="left" vertical="top" wrapText="1"/>
      <protection locked="0"/>
    </xf>
    <xf numFmtId="0" fontId="2" fillId="4" borderId="1" xfId="0" applyFont="1" applyFill="1" applyBorder="1" applyAlignment="1" applyProtection="1">
      <alignment horizontal="left" vertical="top" wrapText="1"/>
      <protection locked="0"/>
    </xf>
    <xf numFmtId="0" fontId="2" fillId="4" borderId="8" xfId="0" applyFont="1" applyFill="1" applyBorder="1" applyAlignment="1" applyProtection="1">
      <alignment horizontal="left" vertical="top" wrapText="1"/>
      <protection locked="0"/>
    </xf>
    <xf numFmtId="0" fontId="10" fillId="0" borderId="1" xfId="0" applyFont="1" applyFill="1" applyBorder="1" applyAlignment="1" applyProtection="1">
      <alignment horizontal="left" vertical="center"/>
      <protection locked="0"/>
    </xf>
    <xf numFmtId="0" fontId="2" fillId="0" borderId="8" xfId="0" applyFont="1" applyBorder="1" applyAlignment="1" applyProtection="1">
      <alignment horizontal="left" vertical="center" wrapText="1"/>
      <protection locked="0"/>
    </xf>
    <xf numFmtId="0" fontId="2" fillId="0" borderId="8" xfId="0" applyFont="1" applyBorder="1" applyAlignment="1" applyProtection="1">
      <alignment horizontal="left" vertical="top" wrapText="1"/>
      <protection locked="0"/>
    </xf>
    <xf numFmtId="0" fontId="10" fillId="0" borderId="1" xfId="0" applyFont="1" applyFill="1" applyBorder="1" applyAlignment="1" applyProtection="1">
      <alignment horizontal="left" vertical="top" wrapText="1"/>
      <protection locked="0"/>
    </xf>
    <xf numFmtId="0" fontId="9" fillId="3" borderId="1" xfId="0" applyFont="1" applyFill="1" applyBorder="1" applyAlignment="1" applyProtection="1">
      <alignment horizontal="left" vertical="top" wrapText="1"/>
      <protection locked="0"/>
    </xf>
    <xf numFmtId="0" fontId="10" fillId="0" borderId="1" xfId="0" applyFont="1" applyFill="1" applyBorder="1" applyAlignment="1" applyProtection="1">
      <alignment vertical="center"/>
      <protection locked="0"/>
    </xf>
    <xf numFmtId="0" fontId="2" fillId="0" borderId="1" xfId="0" applyFont="1" applyBorder="1" applyAlignment="1" applyProtection="1">
      <alignment horizontal="left" vertical="top" wrapText="1"/>
      <protection locked="0"/>
    </xf>
    <xf numFmtId="0" fontId="9" fillId="8" borderId="1" xfId="0" applyFont="1" applyFill="1" applyBorder="1" applyAlignment="1" applyProtection="1">
      <alignment horizontal="left" vertical="top" wrapText="1"/>
      <protection locked="0"/>
    </xf>
    <xf numFmtId="0" fontId="5" fillId="0" borderId="8" xfId="0" applyFont="1" applyBorder="1" applyAlignment="1" applyProtection="1">
      <alignment vertical="center"/>
      <protection locked="0"/>
    </xf>
    <xf numFmtId="0" fontId="9" fillId="7" borderId="1" xfId="0" applyFont="1" applyFill="1" applyBorder="1" applyAlignment="1" applyProtection="1">
      <alignment horizontal="left" vertical="top" wrapText="1"/>
      <protection locked="0"/>
    </xf>
    <xf numFmtId="0" fontId="5" fillId="0" borderId="0" xfId="0" applyFont="1" applyAlignment="1" applyProtection="1">
      <alignment horizontal="left" vertical="top"/>
    </xf>
    <xf numFmtId="0" fontId="11" fillId="0" borderId="0" xfId="0" applyFont="1" applyAlignment="1" applyProtection="1">
      <alignment horizontal="right" vertical="center"/>
    </xf>
    <xf numFmtId="0" fontId="10" fillId="0" borderId="1" xfId="0" applyFont="1" applyFill="1" applyBorder="1" applyAlignment="1" applyProtection="1">
      <alignment horizontal="left" vertical="center"/>
    </xf>
    <xf numFmtId="0" fontId="16" fillId="10" borderId="0" xfId="0" applyFont="1" applyFill="1"/>
    <xf numFmtId="0" fontId="17" fillId="10" borderId="0" xfId="0" applyFont="1" applyFill="1"/>
    <xf numFmtId="0" fontId="17" fillId="10" borderId="1" xfId="0" applyFont="1" applyFill="1" applyBorder="1" applyAlignment="1">
      <alignment horizontal="center" vertical="center"/>
    </xf>
    <xf numFmtId="0" fontId="17" fillId="10" borderId="1" xfId="0" applyFont="1" applyFill="1" applyBorder="1" applyAlignment="1">
      <alignment horizontal="center" vertical="top"/>
    </xf>
    <xf numFmtId="14" fontId="17" fillId="10" borderId="1" xfId="0" applyNumberFormat="1" applyFont="1" applyFill="1" applyBorder="1" applyAlignment="1">
      <alignment horizontal="center" vertical="top"/>
    </xf>
    <xf numFmtId="0" fontId="17" fillId="10" borderId="1" xfId="0" applyFont="1" applyFill="1" applyBorder="1" applyAlignment="1">
      <alignment horizontal="left" vertical="top"/>
    </xf>
    <xf numFmtId="0" fontId="17" fillId="10" borderId="1" xfId="0" applyFont="1" applyFill="1" applyBorder="1" applyAlignment="1">
      <alignment horizontal="center" vertical="top" wrapText="1"/>
    </xf>
    <xf numFmtId="0" fontId="17" fillId="10" borderId="1" xfId="0" applyFont="1" applyFill="1" applyBorder="1" applyAlignment="1">
      <alignment horizontal="left" vertical="top" wrapText="1"/>
    </xf>
    <xf numFmtId="0" fontId="13" fillId="0" borderId="0" xfId="0" applyFont="1" applyAlignment="1" applyProtection="1">
      <alignment vertical="center"/>
      <protection locked="0"/>
    </xf>
    <xf numFmtId="0" fontId="5" fillId="0" borderId="0" xfId="0" applyFont="1" applyAlignment="1" applyProtection="1">
      <alignment vertical="center"/>
      <protection locked="0"/>
    </xf>
    <xf numFmtId="0" fontId="10" fillId="0" borderId="0" xfId="0" applyFont="1" applyAlignment="1" applyProtection="1">
      <alignment horizontal="right" vertical="center"/>
      <protection locked="0"/>
    </xf>
    <xf numFmtId="0" fontId="5" fillId="5" borderId="1" xfId="0" applyFont="1" applyFill="1" applyBorder="1" applyAlignment="1" applyProtection="1">
      <alignment horizontal="center" vertical="center"/>
      <protection locked="0"/>
    </xf>
    <xf numFmtId="0" fontId="5" fillId="0" borderId="1" xfId="0" applyFont="1" applyBorder="1" applyAlignment="1" applyProtection="1">
      <alignment vertical="center"/>
      <protection locked="0"/>
    </xf>
    <xf numFmtId="0" fontId="5" fillId="0" borderId="0" xfId="0" applyFont="1" applyBorder="1" applyAlignment="1" applyProtection="1">
      <alignment horizontal="center" vertical="center"/>
      <protection locked="0"/>
    </xf>
    <xf numFmtId="0" fontId="5" fillId="0" borderId="0" xfId="0" applyFont="1" applyBorder="1" applyAlignment="1" applyProtection="1">
      <alignment vertical="center"/>
      <protection locked="0"/>
    </xf>
    <xf numFmtId="49" fontId="5" fillId="0" borderId="1" xfId="0" applyNumberFormat="1" applyFont="1" applyBorder="1" applyAlignment="1" applyProtection="1">
      <alignment vertical="center"/>
      <protection locked="0"/>
    </xf>
    <xf numFmtId="0" fontId="5" fillId="6" borderId="1" xfId="0" applyFont="1" applyFill="1" applyBorder="1" applyAlignment="1" applyProtection="1">
      <alignment horizontal="left" vertical="top"/>
      <protection locked="0"/>
    </xf>
    <xf numFmtId="0" fontId="5" fillId="0" borderId="1" xfId="0" applyFont="1" applyBorder="1" applyAlignment="1" applyProtection="1">
      <alignment horizontal="left" vertical="top"/>
      <protection locked="0"/>
    </xf>
    <xf numFmtId="0" fontId="14" fillId="0" borderId="0" xfId="0" applyFont="1" applyAlignment="1" applyProtection="1">
      <alignment vertical="center"/>
      <protection locked="0"/>
    </xf>
    <xf numFmtId="0" fontId="5" fillId="0" borderId="1" xfId="0" applyNumberFormat="1" applyFont="1" applyBorder="1" applyAlignment="1" applyProtection="1">
      <alignment horizontal="left" vertical="top"/>
      <protection locked="0"/>
    </xf>
    <xf numFmtId="0" fontId="5" fillId="0" borderId="1" xfId="0" applyFont="1" applyFill="1" applyBorder="1" applyAlignment="1" applyProtection="1">
      <alignment horizontal="left" vertical="top"/>
      <protection locked="0"/>
    </xf>
    <xf numFmtId="49" fontId="5" fillId="0" borderId="1"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left" vertical="center"/>
      <protection locked="0"/>
    </xf>
    <xf numFmtId="0" fontId="5" fillId="0" borderId="0" xfId="0" applyFont="1" applyBorder="1" applyAlignment="1" applyProtection="1">
      <alignment horizontal="left" vertical="top"/>
      <protection locked="0"/>
    </xf>
    <xf numFmtId="0" fontId="5" fillId="0" borderId="0" xfId="0" applyNumberFormat="1" applyFont="1" applyBorder="1" applyAlignment="1" applyProtection="1">
      <alignment horizontal="left" vertical="top"/>
      <protection locked="0"/>
    </xf>
    <xf numFmtId="0" fontId="5" fillId="9" borderId="1" xfId="0" applyFont="1" applyFill="1" applyBorder="1" applyAlignment="1" applyProtection="1">
      <alignment vertical="center"/>
      <protection locked="0"/>
    </xf>
    <xf numFmtId="0" fontId="5" fillId="9" borderId="15" xfId="0" applyFont="1" applyFill="1" applyBorder="1" applyAlignment="1" applyProtection="1">
      <alignment horizontal="center" vertical="center"/>
      <protection locked="0"/>
    </xf>
    <xf numFmtId="0" fontId="5" fillId="10" borderId="15" xfId="0" applyFont="1" applyFill="1" applyBorder="1" applyAlignment="1" applyProtection="1">
      <alignment vertical="center"/>
      <protection locked="0"/>
    </xf>
    <xf numFmtId="0" fontId="5" fillId="10" borderId="1" xfId="0" applyFont="1" applyFill="1" applyBorder="1" applyAlignment="1" applyProtection="1">
      <alignment vertical="center"/>
      <protection locked="0"/>
    </xf>
    <xf numFmtId="0" fontId="5" fillId="10" borderId="16" xfId="0" applyFont="1" applyFill="1" applyBorder="1" applyAlignment="1" applyProtection="1">
      <alignment vertical="center"/>
      <protection locked="0"/>
    </xf>
    <xf numFmtId="0" fontId="5" fillId="10" borderId="17" xfId="0" applyFont="1" applyFill="1" applyBorder="1" applyAlignment="1" applyProtection="1">
      <alignment vertical="center"/>
      <protection locked="0"/>
    </xf>
    <xf numFmtId="0" fontId="5" fillId="9" borderId="6" xfId="0" applyFont="1" applyFill="1" applyBorder="1" applyAlignment="1" applyProtection="1">
      <alignment vertical="center"/>
      <protection locked="0"/>
    </xf>
    <xf numFmtId="0" fontId="5" fillId="9" borderId="13" xfId="0" applyFont="1" applyFill="1" applyBorder="1" applyAlignment="1" applyProtection="1">
      <alignment vertical="center"/>
      <protection locked="0"/>
    </xf>
    <xf numFmtId="0" fontId="5" fillId="0" borderId="4" xfId="0" applyFont="1" applyBorder="1" applyAlignment="1" applyProtection="1">
      <alignment horizontal="center" vertical="center"/>
      <protection locked="0"/>
    </xf>
    <xf numFmtId="0" fontId="5" fillId="0" borderId="4" xfId="0" applyFont="1" applyBorder="1" applyAlignment="1" applyProtection="1">
      <alignment vertical="center"/>
      <protection locked="0"/>
    </xf>
    <xf numFmtId="0" fontId="5" fillId="0" borderId="1" xfId="0" applyFont="1" applyBorder="1" applyAlignment="1" applyProtection="1">
      <alignment horizontal="center" vertical="center" wrapText="1"/>
      <protection locked="0"/>
    </xf>
    <xf numFmtId="0" fontId="5" fillId="0" borderId="1" xfId="0" applyFont="1" applyBorder="1" applyAlignment="1" applyProtection="1">
      <alignment vertical="center" wrapText="1"/>
      <protection locked="0"/>
    </xf>
    <xf numFmtId="0" fontId="5" fillId="0" borderId="0" xfId="0" applyFont="1" applyAlignment="1" applyProtection="1">
      <alignment horizontal="left" vertical="center"/>
      <protection locked="0"/>
    </xf>
    <xf numFmtId="0" fontId="2" fillId="0" borderId="1" xfId="0" applyFont="1" applyFill="1" applyBorder="1" applyAlignment="1" applyProtection="1">
      <alignment horizontal="left" vertical="top" wrapText="1"/>
      <protection locked="0"/>
    </xf>
    <xf numFmtId="0" fontId="10" fillId="0" borderId="8" xfId="0" applyFont="1" applyFill="1" applyBorder="1" applyAlignment="1" applyProtection="1">
      <alignment horizontal="left" vertical="top" wrapText="1"/>
      <protection locked="0"/>
    </xf>
    <xf numFmtId="0" fontId="1" fillId="9" borderId="8" xfId="0" applyFont="1" applyFill="1" applyBorder="1" applyAlignment="1" applyProtection="1">
      <alignment horizontal="center" vertical="center" wrapText="1"/>
      <protection locked="0"/>
    </xf>
    <xf numFmtId="176" fontId="9" fillId="3" borderId="1" xfId="0" applyNumberFormat="1" applyFont="1" applyFill="1" applyBorder="1" applyAlignment="1" applyProtection="1">
      <alignment horizontal="center" textRotation="90"/>
      <protection locked="0"/>
    </xf>
    <xf numFmtId="176" fontId="5" fillId="0" borderId="1" xfId="0" applyNumberFormat="1" applyFont="1" applyBorder="1" applyAlignment="1" applyProtection="1">
      <alignment horizontal="center" textRotation="90"/>
      <protection locked="0"/>
    </xf>
    <xf numFmtId="176" fontId="9" fillId="2" borderId="1" xfId="0" applyNumberFormat="1" applyFont="1" applyFill="1" applyBorder="1" applyAlignment="1" applyProtection="1">
      <alignment horizontal="center" textRotation="90"/>
      <protection locked="0"/>
    </xf>
    <xf numFmtId="176" fontId="9" fillId="7" borderId="1" xfId="0" applyNumberFormat="1" applyFont="1" applyFill="1" applyBorder="1" applyAlignment="1" applyProtection="1">
      <alignment horizontal="center" textRotation="90"/>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0" borderId="0" xfId="0" applyFont="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5" fillId="0" borderId="0" xfId="0" applyFont="1" applyAlignment="1" applyProtection="1">
      <alignment horizontal="center" vertical="center"/>
      <protection locked="0"/>
    </xf>
    <xf numFmtId="176" fontId="9" fillId="2" borderId="6" xfId="0" applyNumberFormat="1" applyFont="1" applyFill="1" applyBorder="1" applyAlignment="1" applyProtection="1">
      <alignment horizontal="right" vertical="center"/>
      <protection locked="0"/>
    </xf>
    <xf numFmtId="176" fontId="9" fillId="3" borderId="1" xfId="0" applyNumberFormat="1" applyFont="1" applyFill="1" applyBorder="1" applyAlignment="1" applyProtection="1">
      <alignment vertical="center"/>
      <protection locked="0"/>
    </xf>
    <xf numFmtId="176" fontId="5" fillId="0" borderId="6" xfId="0" applyNumberFormat="1" applyFont="1" applyBorder="1" applyAlignment="1" applyProtection="1">
      <alignment horizontal="right" vertical="center"/>
      <protection locked="0"/>
    </xf>
    <xf numFmtId="176" fontId="5" fillId="0" borderId="1" xfId="0" applyNumberFormat="1" applyFont="1" applyBorder="1" applyAlignment="1" applyProtection="1">
      <alignment vertical="center"/>
      <protection locked="0"/>
    </xf>
    <xf numFmtId="176" fontId="9" fillId="3" borderId="6" xfId="0" applyNumberFormat="1" applyFont="1" applyFill="1" applyBorder="1" applyAlignment="1" applyProtection="1">
      <alignment horizontal="right" vertical="center"/>
      <protection locked="0"/>
    </xf>
    <xf numFmtId="176" fontId="9" fillId="2" borderId="1" xfId="0" applyNumberFormat="1" applyFont="1" applyFill="1" applyBorder="1" applyAlignment="1" applyProtection="1">
      <alignment vertical="center"/>
      <protection locked="0"/>
    </xf>
    <xf numFmtId="0" fontId="6" fillId="0" borderId="7" xfId="0" applyFont="1" applyBorder="1" applyAlignment="1" applyProtection="1">
      <alignment horizontal="center" vertical="center"/>
      <protection locked="0"/>
    </xf>
    <xf numFmtId="176" fontId="9" fillId="2" borderId="1" xfId="0" applyNumberFormat="1" applyFont="1" applyFill="1" applyBorder="1" applyAlignment="1" applyProtection="1">
      <alignment horizontal="center" vertical="top" textRotation="180"/>
      <protection locked="0"/>
    </xf>
    <xf numFmtId="176" fontId="9" fillId="3" borderId="1" xfId="0" applyNumberFormat="1" applyFont="1" applyFill="1" applyBorder="1" applyAlignment="1" applyProtection="1">
      <alignment horizontal="center" vertical="top" textRotation="180"/>
      <protection locked="0"/>
    </xf>
    <xf numFmtId="176" fontId="5" fillId="0" borderId="1" xfId="0" applyNumberFormat="1" applyFont="1" applyBorder="1" applyAlignment="1" applyProtection="1">
      <alignment horizontal="center" vertical="top" textRotation="180"/>
      <protection locked="0"/>
    </xf>
    <xf numFmtId="176" fontId="9" fillId="8" borderId="1" xfId="0" applyNumberFormat="1" applyFont="1" applyFill="1" applyBorder="1" applyAlignment="1" applyProtection="1">
      <alignment horizontal="center" vertical="top" textRotation="180"/>
      <protection locked="0"/>
    </xf>
    <xf numFmtId="0" fontId="5" fillId="0" borderId="1" xfId="0" applyFont="1" applyBorder="1" applyProtection="1">
      <protection locked="0"/>
    </xf>
    <xf numFmtId="0" fontId="5" fillId="0" borderId="1" xfId="0" applyFont="1" applyFill="1" applyBorder="1" applyAlignment="1" applyProtection="1">
      <alignment vertical="center"/>
      <protection locked="0"/>
    </xf>
    <xf numFmtId="0" fontId="2" fillId="4" borderId="8" xfId="0" applyFont="1" applyFill="1" applyBorder="1" applyAlignment="1" applyProtection="1">
      <alignment horizontal="left" vertical="center" wrapText="1"/>
      <protection locked="0"/>
    </xf>
    <xf numFmtId="0" fontId="5" fillId="0" borderId="8" xfId="0" applyFont="1" applyBorder="1" applyProtection="1">
      <protection locked="0"/>
    </xf>
    <xf numFmtId="0" fontId="10" fillId="0" borderId="1" xfId="0" applyFont="1" applyBorder="1" applyAlignment="1" applyProtection="1">
      <alignment vertical="center"/>
      <protection locked="0"/>
    </xf>
    <xf numFmtId="0" fontId="5" fillId="0" borderId="0" xfId="0" applyFont="1" applyFill="1" applyAlignment="1" applyProtection="1">
      <alignment horizontal="left" vertical="top"/>
      <protection locked="0"/>
    </xf>
    <xf numFmtId="0" fontId="2" fillId="10" borderId="1" xfId="0" applyFont="1" applyFill="1" applyBorder="1" applyAlignment="1" applyProtection="1">
      <alignment horizontal="left" vertical="top" wrapText="1"/>
      <protection locked="0"/>
    </xf>
    <xf numFmtId="0" fontId="10" fillId="0" borderId="3" xfId="0" applyFont="1" applyFill="1" applyBorder="1" applyAlignment="1" applyProtection="1">
      <alignment horizontal="left" vertical="center"/>
      <protection locked="0"/>
    </xf>
    <xf numFmtId="0" fontId="10" fillId="0" borderId="0" xfId="0" applyFont="1" applyFill="1" applyBorder="1" applyAlignment="1" applyProtection="1">
      <alignment horizontal="left" vertical="center"/>
      <protection locked="0"/>
    </xf>
    <xf numFmtId="0" fontId="5" fillId="0" borderId="0" xfId="0" applyFont="1" applyFill="1" applyBorder="1" applyAlignment="1" applyProtection="1">
      <alignment horizontal="left" vertical="top"/>
      <protection locked="0"/>
    </xf>
    <xf numFmtId="49" fontId="17" fillId="10" borderId="1" xfId="0" applyNumberFormat="1" applyFont="1" applyFill="1" applyBorder="1" applyAlignment="1">
      <alignment horizontal="left" vertical="top" wrapText="1"/>
    </xf>
    <xf numFmtId="0" fontId="7" fillId="9" borderId="15" xfId="0" applyFont="1" applyFill="1" applyBorder="1" applyAlignment="1" applyProtection="1">
      <alignment horizontal="center" vertical="center" wrapText="1"/>
      <protection locked="0"/>
    </xf>
    <xf numFmtId="0" fontId="7" fillId="9" borderId="17" xfId="0" applyFont="1" applyFill="1" applyBorder="1" applyAlignment="1" applyProtection="1">
      <alignment horizontal="center" vertical="center" wrapText="1"/>
      <protection locked="0"/>
    </xf>
    <xf numFmtId="0" fontId="7" fillId="9" borderId="16" xfId="0" applyFont="1" applyFill="1" applyBorder="1" applyAlignment="1" applyProtection="1">
      <alignment horizontal="center" vertical="center" wrapText="1"/>
      <protection locked="0"/>
    </xf>
    <xf numFmtId="0" fontId="7" fillId="9" borderId="15" xfId="0" applyFont="1" applyFill="1" applyBorder="1" applyAlignment="1" applyProtection="1">
      <alignment horizontal="center" vertical="center"/>
      <protection locked="0"/>
    </xf>
    <xf numFmtId="0" fontId="7" fillId="9" borderId="16" xfId="0" applyFont="1" applyFill="1" applyBorder="1" applyAlignment="1" applyProtection="1">
      <alignment horizontal="center" vertical="center"/>
      <protection locked="0"/>
    </xf>
    <xf numFmtId="0" fontId="8" fillId="9" borderId="6"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vertical="center"/>
      <protection locked="0"/>
    </xf>
    <xf numFmtId="0" fontId="7" fillId="5" borderId="1" xfId="0" applyFont="1" applyFill="1" applyBorder="1" applyAlignment="1" applyProtection="1">
      <alignment horizontal="center" vertical="center"/>
      <protection locked="0"/>
    </xf>
    <xf numFmtId="0" fontId="7" fillId="9" borderId="1" xfId="0" applyFont="1" applyFill="1" applyBorder="1" applyAlignment="1" applyProtection="1">
      <alignment horizontal="center" vertical="center" wrapText="1"/>
      <protection locked="0"/>
    </xf>
    <xf numFmtId="0" fontId="7" fillId="9" borderId="1" xfId="0" applyFont="1" applyFill="1" applyBorder="1" applyAlignment="1" applyProtection="1">
      <alignment horizontal="center" vertical="center"/>
      <protection locked="0"/>
    </xf>
    <xf numFmtId="0" fontId="7" fillId="5" borderId="6" xfId="0" applyFont="1" applyFill="1" applyBorder="1" applyAlignment="1" applyProtection="1">
      <alignment horizontal="center" vertical="center"/>
      <protection locked="0"/>
    </xf>
    <xf numFmtId="0" fontId="7" fillId="5" borderId="12" xfId="0" applyFont="1" applyFill="1" applyBorder="1" applyAlignment="1" applyProtection="1">
      <alignment horizontal="center" vertical="center"/>
      <protection locked="0"/>
    </xf>
    <xf numFmtId="0" fontId="7" fillId="5" borderId="13" xfId="0" applyFont="1" applyFill="1" applyBorder="1" applyAlignment="1" applyProtection="1">
      <alignment horizontal="center" vertical="center"/>
      <protection locked="0"/>
    </xf>
    <xf numFmtId="0" fontId="1" fillId="5" borderId="6" xfId="0" applyFont="1" applyFill="1" applyBorder="1" applyAlignment="1" applyProtection="1">
      <alignment horizontal="center" vertical="center" wrapText="1"/>
      <protection locked="0"/>
    </xf>
    <xf numFmtId="0" fontId="1" fillId="5" borderId="13" xfId="0" applyFont="1" applyFill="1" applyBorder="1" applyAlignment="1" applyProtection="1">
      <alignment horizontal="center" vertical="center" wrapText="1"/>
      <protection locked="0"/>
    </xf>
    <xf numFmtId="0" fontId="1" fillId="5" borderId="15" xfId="0" applyFont="1" applyFill="1" applyBorder="1" applyAlignment="1" applyProtection="1">
      <alignment horizontal="center" vertical="center" wrapText="1"/>
      <protection locked="0"/>
    </xf>
    <xf numFmtId="0" fontId="1" fillId="5" borderId="16" xfId="0" applyFont="1" applyFill="1" applyBorder="1" applyAlignment="1" applyProtection="1">
      <alignment horizontal="center" vertical="center" wrapText="1"/>
      <protection locked="0"/>
    </xf>
    <xf numFmtId="0" fontId="20" fillId="4" borderId="0" xfId="0" applyFont="1" applyFill="1" applyAlignment="1" applyProtection="1">
      <alignment horizontal="left"/>
    </xf>
    <xf numFmtId="0" fontId="21" fillId="4" borderId="0" xfId="0" applyFont="1" applyFill="1" applyAlignment="1" applyProtection="1">
      <alignment horizontal="left" vertical="top" wrapText="1"/>
    </xf>
    <xf numFmtId="0" fontId="1" fillId="9" borderId="8" xfId="0" applyFont="1" applyFill="1" applyBorder="1" applyAlignment="1" applyProtection="1">
      <alignment horizontal="center" vertical="center" wrapText="1"/>
      <protection locked="0"/>
    </xf>
    <xf numFmtId="0" fontId="1" fillId="9" borderId="10"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5" fillId="0" borderId="15" xfId="0" applyFont="1" applyBorder="1" applyAlignment="1" applyProtection="1">
      <alignment horizontal="center" vertical="center"/>
      <protection locked="0"/>
    </xf>
    <xf numFmtId="0" fontId="5" fillId="0" borderId="17" xfId="0" applyFont="1" applyBorder="1" applyAlignment="1" applyProtection="1">
      <alignment horizontal="center" vertical="center"/>
      <protection locked="0"/>
    </xf>
    <xf numFmtId="0" fontId="0" fillId="0" borderId="16" xfId="0" applyBorder="1" applyAlignment="1" applyProtection="1">
      <alignment vertical="center"/>
      <protection locked="0"/>
    </xf>
    <xf numFmtId="0" fontId="5" fillId="0" borderId="15" xfId="0" applyFont="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5" borderId="6"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0" borderId="16" xfId="0" applyFont="1" applyBorder="1" applyAlignment="1" applyProtection="1">
      <alignment horizontal="center" vertical="center"/>
      <protection locked="0"/>
    </xf>
    <xf numFmtId="49" fontId="5" fillId="0" borderId="15" xfId="0" applyNumberFormat="1" applyFont="1" applyBorder="1" applyAlignment="1" applyProtection="1">
      <alignment horizontal="center" vertical="center" wrapText="1"/>
      <protection locked="0"/>
    </xf>
    <xf numFmtId="49" fontId="5" fillId="0" borderId="17" xfId="0" applyNumberFormat="1" applyFont="1" applyBorder="1" applyAlignment="1" applyProtection="1">
      <alignment horizontal="center" vertical="center" wrapText="1"/>
      <protection locked="0"/>
    </xf>
    <xf numFmtId="0" fontId="0" fillId="0" borderId="17" xfId="0" applyBorder="1" applyAlignment="1" applyProtection="1">
      <alignment horizontal="center" vertical="center" wrapText="1"/>
      <protection locked="0"/>
    </xf>
    <xf numFmtId="0" fontId="0" fillId="0" borderId="16" xfId="0" applyBorder="1" applyAlignment="1" applyProtection="1">
      <alignment horizontal="center" vertical="center" wrapText="1"/>
      <protection locked="0"/>
    </xf>
    <xf numFmtId="0" fontId="5" fillId="0" borderId="1"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20" fillId="4" borderId="0" xfId="0" applyFont="1" applyFill="1" applyAlignment="1" applyProtection="1">
      <alignment horizontal="left" vertical="center"/>
    </xf>
    <xf numFmtId="0" fontId="1" fillId="9" borderId="21" xfId="0" applyFont="1" applyFill="1" applyBorder="1" applyAlignment="1" applyProtection="1">
      <alignment horizontal="center" vertical="center" wrapText="1"/>
      <protection locked="0"/>
    </xf>
    <xf numFmtId="0" fontId="1" fillId="9" borderId="22" xfId="0" applyFont="1" applyFill="1" applyBorder="1" applyAlignment="1" applyProtection="1">
      <alignment horizontal="center" vertical="center" wrapText="1"/>
      <protection locked="0"/>
    </xf>
    <xf numFmtId="0" fontId="1" fillId="9" borderId="23" xfId="0" applyFont="1" applyFill="1" applyBorder="1" applyAlignment="1" applyProtection="1">
      <alignment horizontal="center" vertical="center" wrapText="1"/>
      <protection locked="0"/>
    </xf>
    <xf numFmtId="0" fontId="1" fillId="9" borderId="18" xfId="0" applyFont="1" applyFill="1" applyBorder="1" applyAlignment="1" applyProtection="1">
      <alignment horizontal="center" vertical="center" wrapText="1"/>
      <protection locked="0"/>
    </xf>
    <xf numFmtId="0" fontId="1" fillId="9" borderId="19" xfId="0" applyFont="1" applyFill="1" applyBorder="1" applyAlignment="1" applyProtection="1">
      <alignment horizontal="center" vertical="center" wrapText="1"/>
      <protection locked="0"/>
    </xf>
    <xf numFmtId="0" fontId="1" fillId="9" borderId="20" xfId="0" applyFont="1" applyFill="1" applyBorder="1" applyAlignment="1" applyProtection="1">
      <alignment horizontal="center" vertical="center" wrapText="1"/>
      <protection locked="0"/>
    </xf>
    <xf numFmtId="0" fontId="1" fillId="9" borderId="9" xfId="0" applyFont="1" applyFill="1" applyBorder="1" applyAlignment="1" applyProtection="1">
      <alignment horizontal="center" vertical="center" wrapText="1"/>
      <protection locked="0"/>
    </xf>
    <xf numFmtId="0" fontId="1" fillId="9" borderId="11" xfId="0" applyFont="1" applyFill="1" applyBorder="1" applyAlignment="1" applyProtection="1">
      <alignment horizontal="center" vertical="center" wrapText="1"/>
      <protection locked="0"/>
    </xf>
    <xf numFmtId="0" fontId="1" fillId="9" borderId="27" xfId="0" applyFont="1" applyFill="1" applyBorder="1" applyAlignment="1" applyProtection="1">
      <alignment horizontal="center" vertical="center" wrapText="1"/>
      <protection locked="0"/>
    </xf>
    <xf numFmtId="0" fontId="1" fillId="5" borderId="24" xfId="0" applyFont="1" applyFill="1" applyBorder="1" applyAlignment="1" applyProtection="1">
      <alignment horizontal="center" vertical="center" wrapText="1"/>
      <protection locked="0"/>
    </xf>
    <xf numFmtId="0" fontId="1" fillId="5" borderId="25" xfId="0" applyFont="1" applyFill="1" applyBorder="1" applyAlignment="1" applyProtection="1">
      <alignment horizontal="center" vertical="center" wrapText="1"/>
      <protection locked="0"/>
    </xf>
    <xf numFmtId="0" fontId="1" fillId="5" borderId="26" xfId="0" applyFont="1" applyFill="1" applyBorder="1" applyAlignment="1" applyProtection="1">
      <alignment horizontal="center" vertical="center" wrapText="1"/>
      <protection locked="0"/>
    </xf>
    <xf numFmtId="0" fontId="18" fillId="4" borderId="0" xfId="0" applyFont="1" applyFill="1" applyAlignment="1" applyProtection="1">
      <alignment horizontal="left" vertical="center"/>
    </xf>
    <xf numFmtId="0" fontId="19" fillId="4" borderId="0" xfId="0" applyFont="1" applyFill="1" applyAlignment="1" applyProtection="1">
      <alignment horizontal="left" vertical="top" wrapText="1"/>
    </xf>
  </cellXfs>
  <cellStyles count="1">
    <cellStyle name="標準" xfId="0" builtinId="0"/>
  </cellStyles>
  <dxfs count="405">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ill>
        <patternFill>
          <bgColor rgb="FFFFFF00"/>
        </patternFill>
      </fill>
    </dxf>
    <dxf>
      <font>
        <color rgb="FFFF0000"/>
      </font>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ont>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rgb="FFFFFF00"/>
        </patternFill>
      </fill>
    </dxf>
    <dxf>
      <font>
        <strike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000000"/>
      <color rgb="FFD9E1F2"/>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29</xdr:col>
      <xdr:colOff>317501</xdr:colOff>
      <xdr:row>1</xdr:row>
      <xdr:rowOff>45349</xdr:rowOff>
    </xdr:from>
    <xdr:to>
      <xdr:col>31</xdr:col>
      <xdr:colOff>533401</xdr:colOff>
      <xdr:row>3</xdr:row>
      <xdr:rowOff>83449</xdr:rowOff>
    </xdr:to>
    <xdr:pic>
      <xdr:nvPicPr>
        <xdr:cNvPr id="5" name="Picture 23">
          <a:extLst>
            <a:ext uri="{FF2B5EF4-FFF2-40B4-BE49-F238E27FC236}">
              <a16:creationId xmlns:a16="http://schemas.microsoft.com/office/drawing/2014/main" id="{8217C2E8-0F4F-47BB-B197-CBA3A193BE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129751" y="362849"/>
          <a:ext cx="1524000" cy="673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B1399008-DE1B-4426-A294-C45721DFA929}"/>
            </a:ext>
          </a:extLst>
        </xdr:cNvPr>
        <xdr:cNvSpPr/>
      </xdr:nvSpPr>
      <xdr:spPr>
        <a:xfrm>
          <a:off x="426356" y="389346"/>
          <a:ext cx="3138908" cy="108566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66</xdr:col>
      <xdr:colOff>317501</xdr:colOff>
      <xdr:row>1</xdr:row>
      <xdr:rowOff>45348</xdr:rowOff>
    </xdr:from>
    <xdr:to>
      <xdr:col>68</xdr:col>
      <xdr:colOff>533401</xdr:colOff>
      <xdr:row>3</xdr:row>
      <xdr:rowOff>86623</xdr:rowOff>
    </xdr:to>
    <xdr:pic>
      <xdr:nvPicPr>
        <xdr:cNvPr id="4" name="Picture 23">
          <a:extLst>
            <a:ext uri="{FF2B5EF4-FFF2-40B4-BE49-F238E27FC236}">
              <a16:creationId xmlns:a16="http://schemas.microsoft.com/office/drawing/2014/main" id="{A98AEF65-9FF8-484D-BC10-3397FEC67A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94551" y="362848"/>
          <a:ext cx="1524000" cy="673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1523C4F3-81DC-46A5-AD0B-F7B41031703D}"/>
            </a:ext>
          </a:extLst>
        </xdr:cNvPr>
        <xdr:cNvSpPr/>
      </xdr:nvSpPr>
      <xdr:spPr>
        <a:xfrm>
          <a:off x="2781702" y="2984253"/>
          <a:ext cx="17888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52</xdr:col>
      <xdr:colOff>317501</xdr:colOff>
      <xdr:row>1</xdr:row>
      <xdr:rowOff>45348</xdr:rowOff>
    </xdr:from>
    <xdr:to>
      <xdr:col>54</xdr:col>
      <xdr:colOff>533401</xdr:colOff>
      <xdr:row>3</xdr:row>
      <xdr:rowOff>83448</xdr:rowOff>
    </xdr:to>
    <xdr:pic>
      <xdr:nvPicPr>
        <xdr:cNvPr id="5" name="Picture 23">
          <a:extLst>
            <a:ext uri="{FF2B5EF4-FFF2-40B4-BE49-F238E27FC236}">
              <a16:creationId xmlns:a16="http://schemas.microsoft.com/office/drawing/2014/main" id="{A5DDFD4B-8BDF-4878-8FFE-7333DC3389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09601" y="362848"/>
          <a:ext cx="1524000" cy="673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29</xdr:col>
      <xdr:colOff>317501</xdr:colOff>
      <xdr:row>1</xdr:row>
      <xdr:rowOff>45347</xdr:rowOff>
    </xdr:from>
    <xdr:to>
      <xdr:col>31</xdr:col>
      <xdr:colOff>533402</xdr:colOff>
      <xdr:row>3</xdr:row>
      <xdr:rowOff>83447</xdr:rowOff>
    </xdr:to>
    <xdr:pic>
      <xdr:nvPicPr>
        <xdr:cNvPr id="5" name="Picture 23">
          <a:extLst>
            <a:ext uri="{FF2B5EF4-FFF2-40B4-BE49-F238E27FC236}">
              <a16:creationId xmlns:a16="http://schemas.microsoft.com/office/drawing/2014/main" id="{746ADD2F-DD8B-4E61-8FDB-51793FFC5F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568151" y="362847"/>
          <a:ext cx="1524000" cy="6731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3ABEBED9-81F6-427E-8266-1CA7ECBFD39A}"/>
            </a:ext>
          </a:extLst>
        </xdr:cNvPr>
        <xdr:cNvSpPr/>
      </xdr:nvSpPr>
      <xdr:spPr>
        <a:xfrm>
          <a:off x="426356" y="385536"/>
          <a:ext cx="3136368" cy="107042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66</xdr:col>
      <xdr:colOff>317501</xdr:colOff>
      <xdr:row>1</xdr:row>
      <xdr:rowOff>45347</xdr:rowOff>
    </xdr:from>
    <xdr:to>
      <xdr:col>68</xdr:col>
      <xdr:colOff>533401</xdr:colOff>
      <xdr:row>3</xdr:row>
      <xdr:rowOff>140597</xdr:rowOff>
    </xdr:to>
    <xdr:pic>
      <xdr:nvPicPr>
        <xdr:cNvPr id="4" name="Picture 23">
          <a:extLst>
            <a:ext uri="{FF2B5EF4-FFF2-40B4-BE49-F238E27FC236}">
              <a16:creationId xmlns:a16="http://schemas.microsoft.com/office/drawing/2014/main" id="{63AE02FE-98EC-4525-87C8-E943B7AD82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81851" y="331097"/>
          <a:ext cx="1524000" cy="6731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F2D46D0A-A015-40A4-8DE6-545D0BD0038B}"/>
            </a:ext>
          </a:extLst>
        </xdr:cNvPr>
        <xdr:cNvSpPr/>
      </xdr:nvSpPr>
      <xdr:spPr>
        <a:xfrm>
          <a:off x="2603902" y="2300993"/>
          <a:ext cx="18142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44</xdr:col>
      <xdr:colOff>317501</xdr:colOff>
      <xdr:row>1</xdr:row>
      <xdr:rowOff>45347</xdr:rowOff>
    </xdr:from>
    <xdr:to>
      <xdr:col>46</xdr:col>
      <xdr:colOff>533401</xdr:colOff>
      <xdr:row>3</xdr:row>
      <xdr:rowOff>146947</xdr:rowOff>
    </xdr:to>
    <xdr:pic>
      <xdr:nvPicPr>
        <xdr:cNvPr id="5" name="Picture 23">
          <a:extLst>
            <a:ext uri="{FF2B5EF4-FFF2-40B4-BE49-F238E27FC236}">
              <a16:creationId xmlns:a16="http://schemas.microsoft.com/office/drawing/2014/main" id="{C9DC32DD-68FF-4176-BBB8-EA2CE61EB7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1" y="331097"/>
          <a:ext cx="1524000" cy="673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29</xdr:col>
      <xdr:colOff>317501</xdr:colOff>
      <xdr:row>1</xdr:row>
      <xdr:rowOff>45347</xdr:rowOff>
    </xdr:from>
    <xdr:to>
      <xdr:col>31</xdr:col>
      <xdr:colOff>533401</xdr:colOff>
      <xdr:row>3</xdr:row>
      <xdr:rowOff>83447</xdr:rowOff>
    </xdr:to>
    <xdr:pic>
      <xdr:nvPicPr>
        <xdr:cNvPr id="6" name="Picture 23">
          <a:extLst>
            <a:ext uri="{FF2B5EF4-FFF2-40B4-BE49-F238E27FC236}">
              <a16:creationId xmlns:a16="http://schemas.microsoft.com/office/drawing/2014/main" id="{BA4C797D-FD2D-486F-8098-95CBD863D0F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1" y="331097"/>
          <a:ext cx="1524000" cy="6731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907981EA-9252-4EA9-9442-2471C9BDD3AB}"/>
            </a:ext>
          </a:extLst>
        </xdr:cNvPr>
        <xdr:cNvSpPr/>
      </xdr:nvSpPr>
      <xdr:spPr>
        <a:xfrm>
          <a:off x="426356" y="385536"/>
          <a:ext cx="3136368" cy="107042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66</xdr:col>
      <xdr:colOff>317501</xdr:colOff>
      <xdr:row>1</xdr:row>
      <xdr:rowOff>45347</xdr:rowOff>
    </xdr:from>
    <xdr:to>
      <xdr:col>68</xdr:col>
      <xdr:colOff>533401</xdr:colOff>
      <xdr:row>3</xdr:row>
      <xdr:rowOff>83447</xdr:rowOff>
    </xdr:to>
    <xdr:pic>
      <xdr:nvPicPr>
        <xdr:cNvPr id="4" name="Picture 23">
          <a:extLst>
            <a:ext uri="{FF2B5EF4-FFF2-40B4-BE49-F238E27FC236}">
              <a16:creationId xmlns:a16="http://schemas.microsoft.com/office/drawing/2014/main" id="{1D5665A1-7931-466F-8D7A-8BC93700C2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26901" y="362847"/>
          <a:ext cx="1524000" cy="6731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60E36C02-C894-4C47-9EF3-63F2C0F28892}"/>
            </a:ext>
          </a:extLst>
        </xdr:cNvPr>
        <xdr:cNvSpPr/>
      </xdr:nvSpPr>
      <xdr:spPr>
        <a:xfrm>
          <a:off x="2502302" y="2300993"/>
          <a:ext cx="18142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33</xdr:col>
      <xdr:colOff>317501</xdr:colOff>
      <xdr:row>1</xdr:row>
      <xdr:rowOff>45347</xdr:rowOff>
    </xdr:from>
    <xdr:to>
      <xdr:col>35</xdr:col>
      <xdr:colOff>533402</xdr:colOff>
      <xdr:row>3</xdr:row>
      <xdr:rowOff>86622</xdr:rowOff>
    </xdr:to>
    <xdr:pic>
      <xdr:nvPicPr>
        <xdr:cNvPr id="5" name="Picture 23">
          <a:extLst>
            <a:ext uri="{FF2B5EF4-FFF2-40B4-BE49-F238E27FC236}">
              <a16:creationId xmlns:a16="http://schemas.microsoft.com/office/drawing/2014/main" id="{EAC058CD-ADED-44B6-A15F-71391751F8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81851" y="362847"/>
          <a:ext cx="1524000" cy="6731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29</xdr:col>
      <xdr:colOff>317501</xdr:colOff>
      <xdr:row>1</xdr:row>
      <xdr:rowOff>45347</xdr:rowOff>
    </xdr:from>
    <xdr:to>
      <xdr:col>31</xdr:col>
      <xdr:colOff>533401</xdr:colOff>
      <xdr:row>3</xdr:row>
      <xdr:rowOff>83447</xdr:rowOff>
    </xdr:to>
    <xdr:pic>
      <xdr:nvPicPr>
        <xdr:cNvPr id="6" name="Picture 23">
          <a:extLst>
            <a:ext uri="{FF2B5EF4-FFF2-40B4-BE49-F238E27FC236}">
              <a16:creationId xmlns:a16="http://schemas.microsoft.com/office/drawing/2014/main" id="{7CA96788-11C6-4ECB-8C02-B6978F2BB8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85351" y="362847"/>
          <a:ext cx="1524000" cy="6731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3" name="スクロール: 横 2">
          <a:extLst>
            <a:ext uri="{FF2B5EF4-FFF2-40B4-BE49-F238E27FC236}">
              <a16:creationId xmlns:a16="http://schemas.microsoft.com/office/drawing/2014/main" id="{C2FDC157-5545-49AF-BBCF-50BA4D126591}"/>
            </a:ext>
          </a:extLst>
        </xdr:cNvPr>
        <xdr:cNvSpPr/>
      </xdr:nvSpPr>
      <xdr:spPr>
        <a:xfrm>
          <a:off x="426356" y="385536"/>
          <a:ext cx="3136368" cy="107042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66</xdr:col>
      <xdr:colOff>317501</xdr:colOff>
      <xdr:row>1</xdr:row>
      <xdr:rowOff>45347</xdr:rowOff>
    </xdr:from>
    <xdr:to>
      <xdr:col>68</xdr:col>
      <xdr:colOff>533401</xdr:colOff>
      <xdr:row>3</xdr:row>
      <xdr:rowOff>86622</xdr:rowOff>
    </xdr:to>
    <xdr:pic>
      <xdr:nvPicPr>
        <xdr:cNvPr id="5" name="Picture 23">
          <a:extLst>
            <a:ext uri="{FF2B5EF4-FFF2-40B4-BE49-F238E27FC236}">
              <a16:creationId xmlns:a16="http://schemas.microsoft.com/office/drawing/2014/main" id="{78C71EBF-E4F6-47DA-BE19-33226C749D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85351" y="362847"/>
          <a:ext cx="1524000" cy="6731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190902</xdr:colOff>
      <xdr:row>7</xdr:row>
      <xdr:rowOff>141993</xdr:rowOff>
    </xdr:from>
    <xdr:to>
      <xdr:col>4</xdr:col>
      <xdr:colOff>118331</xdr:colOff>
      <xdr:row>8</xdr:row>
      <xdr:rowOff>132922</xdr:rowOff>
    </xdr:to>
    <xdr:sp macro="" textlink="">
      <xdr:nvSpPr>
        <xdr:cNvPr id="2" name="フローチャート: 結合子 1">
          <a:extLst>
            <a:ext uri="{FF2B5EF4-FFF2-40B4-BE49-F238E27FC236}">
              <a16:creationId xmlns:a16="http://schemas.microsoft.com/office/drawing/2014/main" id="{CBB8AB9E-6B34-4E12-A736-8FDFD530FEF2}"/>
            </a:ext>
          </a:extLst>
        </xdr:cNvPr>
        <xdr:cNvSpPr/>
      </xdr:nvSpPr>
      <xdr:spPr>
        <a:xfrm>
          <a:off x="2603902" y="2300993"/>
          <a:ext cx="18142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28</xdr:col>
      <xdr:colOff>317501</xdr:colOff>
      <xdr:row>1</xdr:row>
      <xdr:rowOff>45347</xdr:rowOff>
    </xdr:from>
    <xdr:to>
      <xdr:col>30</xdr:col>
      <xdr:colOff>533401</xdr:colOff>
      <xdr:row>3</xdr:row>
      <xdr:rowOff>86622</xdr:rowOff>
    </xdr:to>
    <xdr:pic>
      <xdr:nvPicPr>
        <xdr:cNvPr id="4" name="Picture 23">
          <a:extLst>
            <a:ext uri="{FF2B5EF4-FFF2-40B4-BE49-F238E27FC236}">
              <a16:creationId xmlns:a16="http://schemas.microsoft.com/office/drawing/2014/main" id="{14F885C9-504B-4F09-ABF6-4832FE91CCA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85351" y="362847"/>
          <a:ext cx="1524000" cy="6731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29</xdr:col>
      <xdr:colOff>317501</xdr:colOff>
      <xdr:row>1</xdr:row>
      <xdr:rowOff>45347</xdr:rowOff>
    </xdr:from>
    <xdr:to>
      <xdr:col>31</xdr:col>
      <xdr:colOff>533401</xdr:colOff>
      <xdr:row>3</xdr:row>
      <xdr:rowOff>83447</xdr:rowOff>
    </xdr:to>
    <xdr:pic>
      <xdr:nvPicPr>
        <xdr:cNvPr id="6" name="Picture 23">
          <a:extLst>
            <a:ext uri="{FF2B5EF4-FFF2-40B4-BE49-F238E27FC236}">
              <a16:creationId xmlns:a16="http://schemas.microsoft.com/office/drawing/2014/main" id="{49CD1952-6542-4357-9500-E54ACEDA20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64601" y="362847"/>
          <a:ext cx="1524000" cy="6731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426356</xdr:colOff>
      <xdr:row>1</xdr:row>
      <xdr:rowOff>99786</xdr:rowOff>
    </xdr:from>
    <xdr:to>
      <xdr:col>4</xdr:col>
      <xdr:colOff>425824</xdr:colOff>
      <xdr:row>5</xdr:row>
      <xdr:rowOff>27214</xdr:rowOff>
    </xdr:to>
    <xdr:sp macro="" textlink="">
      <xdr:nvSpPr>
        <xdr:cNvPr id="10" name="スクロール: 横 9">
          <a:extLst>
            <a:ext uri="{FF2B5EF4-FFF2-40B4-BE49-F238E27FC236}">
              <a16:creationId xmlns:a16="http://schemas.microsoft.com/office/drawing/2014/main" id="{0EF7ADA7-5E01-40EE-8167-DA953A6FEDBC}"/>
            </a:ext>
          </a:extLst>
        </xdr:cNvPr>
        <xdr:cNvSpPr/>
      </xdr:nvSpPr>
      <xdr:spPr>
        <a:xfrm>
          <a:off x="426356" y="383668"/>
          <a:ext cx="3137115" cy="1062958"/>
        </a:xfrm>
        <a:prstGeom prst="horizont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[Rule]</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latin typeface="Meiryo UI" panose="020B0604030504040204" pitchFamily="50" charset="-128"/>
              <a:ea typeface="Meiryo UI" panose="020B0604030504040204" pitchFamily="50" charset="-128"/>
            </a:rPr>
            <a:t>-</a:t>
          </a:r>
          <a:r>
            <a:rPr kumimoji="1" lang="en-US" altLang="ja-JP"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The selected pin cell is yellow. </a:t>
          </a:r>
        </a:p>
        <a:p>
          <a:pPr algn="l"/>
          <a:r>
            <a:rPr kumimoji="1" lang="en-US" altLang="ja-JP" sz="1100">
              <a:latin typeface="Meiryo UI" panose="020B0604030504040204" pitchFamily="50" charset="-128"/>
              <a:ea typeface="Meiryo UI" panose="020B0604030504040204" pitchFamily="50" charset="-128"/>
            </a:rPr>
            <a:t>- Duplicate pin names are red.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66</xdr:col>
      <xdr:colOff>317501</xdr:colOff>
      <xdr:row>1</xdr:row>
      <xdr:rowOff>45347</xdr:rowOff>
    </xdr:from>
    <xdr:to>
      <xdr:col>68</xdr:col>
      <xdr:colOff>533401</xdr:colOff>
      <xdr:row>3</xdr:row>
      <xdr:rowOff>146947</xdr:rowOff>
    </xdr:to>
    <xdr:pic>
      <xdr:nvPicPr>
        <xdr:cNvPr id="4" name="Picture 23">
          <a:extLst>
            <a:ext uri="{FF2B5EF4-FFF2-40B4-BE49-F238E27FC236}">
              <a16:creationId xmlns:a16="http://schemas.microsoft.com/office/drawing/2014/main" id="{AB883D52-C6A2-47DC-B9EC-8D0D26DB6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64601" y="362847"/>
          <a:ext cx="1524000" cy="6731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190902</xdr:colOff>
      <xdr:row>9</xdr:row>
      <xdr:rowOff>141993</xdr:rowOff>
    </xdr:from>
    <xdr:to>
      <xdr:col>4</xdr:col>
      <xdr:colOff>118331</xdr:colOff>
      <xdr:row>10</xdr:row>
      <xdr:rowOff>132922</xdr:rowOff>
    </xdr:to>
    <xdr:sp macro="" textlink="">
      <xdr:nvSpPr>
        <xdr:cNvPr id="2" name="フローチャート: 結合子 1">
          <a:extLst>
            <a:ext uri="{FF2B5EF4-FFF2-40B4-BE49-F238E27FC236}">
              <a16:creationId xmlns:a16="http://schemas.microsoft.com/office/drawing/2014/main" id="{CF0B4DF1-20A3-40E2-B524-8FDC0564CC00}"/>
            </a:ext>
          </a:extLst>
        </xdr:cNvPr>
        <xdr:cNvSpPr/>
      </xdr:nvSpPr>
      <xdr:spPr>
        <a:xfrm>
          <a:off x="2603902" y="1824743"/>
          <a:ext cx="181429" cy="18142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editAs="oneCell">
    <xdr:from>
      <xdr:col>24</xdr:col>
      <xdr:colOff>317501</xdr:colOff>
      <xdr:row>1</xdr:row>
      <xdr:rowOff>45347</xdr:rowOff>
    </xdr:from>
    <xdr:to>
      <xdr:col>26</xdr:col>
      <xdr:colOff>533401</xdr:colOff>
      <xdr:row>3</xdr:row>
      <xdr:rowOff>83447</xdr:rowOff>
    </xdr:to>
    <xdr:pic>
      <xdr:nvPicPr>
        <xdr:cNvPr id="4" name="Picture 23">
          <a:extLst>
            <a:ext uri="{FF2B5EF4-FFF2-40B4-BE49-F238E27FC236}">
              <a16:creationId xmlns:a16="http://schemas.microsoft.com/office/drawing/2014/main" id="{BB8E8DEE-4473-4B0A-BAAB-3D8D1557CC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64601" y="362847"/>
          <a:ext cx="1524000" cy="67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E39B-1879-49CD-9FE9-D84653CC6FDA}">
  <dimension ref="A1:AL204"/>
  <sheetViews>
    <sheetView tabSelected="1" topLeftCell="Q1" zoomScale="84" zoomScaleNormal="84" workbookViewId="0">
      <selection activeCell="AF16" sqref="AF16"/>
    </sheetView>
  </sheetViews>
  <sheetFormatPr defaultColWidth="8.83203125" defaultRowHeight="10.25" customHeight="1" x14ac:dyDescent="0.55000000000000004"/>
  <cols>
    <col min="1" max="1" width="4.58203125" style="2" customWidth="1"/>
    <col min="2" max="2" width="8.83203125" style="2"/>
    <col min="3" max="3" width="3.58203125" style="2" customWidth="1"/>
    <col min="4" max="4" width="9.58203125" style="2" customWidth="1"/>
    <col min="5" max="5" width="8.83203125" style="2" customWidth="1"/>
    <col min="6" max="7" width="11.08203125" style="2" customWidth="1"/>
    <col min="8" max="8" width="11.6640625" style="2" customWidth="1"/>
    <col min="9" max="9" width="11.5" style="2" customWidth="1"/>
    <col min="10" max="10" width="11.1640625" style="2" customWidth="1"/>
    <col min="11" max="11" width="12.08203125" style="2" customWidth="1"/>
    <col min="12" max="12" width="11.83203125" style="2" customWidth="1"/>
    <col min="13" max="16" width="8.83203125" style="2" customWidth="1"/>
    <col min="17" max="20" width="14.08203125" style="2" customWidth="1"/>
    <col min="21" max="21" width="17.6640625" style="2" customWidth="1"/>
    <col min="22" max="23" width="16.4140625" style="2" customWidth="1"/>
    <col min="24" max="25" width="24.83203125" style="2" customWidth="1"/>
    <col min="26" max="26" width="8.83203125" style="3"/>
    <col min="27" max="27" width="8.83203125" style="2"/>
    <col min="28" max="29" width="12.58203125" style="4" customWidth="1"/>
    <col min="30" max="32" width="8.58203125" style="4" customWidth="1"/>
    <col min="33" max="16384" width="8.83203125" style="2"/>
  </cols>
  <sheetData>
    <row r="1" spans="1:38" ht="25" customHeight="1" x14ac:dyDescent="0.55000000000000004">
      <c r="A1" s="1" t="s">
        <v>359</v>
      </c>
      <c r="AD1" s="23"/>
      <c r="AE1" s="23"/>
      <c r="AF1" s="23"/>
    </row>
    <row r="2" spans="1:38" ht="25" customHeight="1" x14ac:dyDescent="0.55000000000000004">
      <c r="AD2" s="23"/>
      <c r="AE2" s="23"/>
      <c r="AF2" s="23"/>
    </row>
    <row r="3" spans="1:38" ht="25" customHeight="1" x14ac:dyDescent="0.55000000000000004">
      <c r="AD3" s="23"/>
      <c r="AE3" s="23"/>
      <c r="AF3" s="23"/>
    </row>
    <row r="4" spans="1:38" ht="25" customHeight="1" x14ac:dyDescent="0.55000000000000004">
      <c r="AD4" s="23"/>
      <c r="AE4" s="23"/>
      <c r="AF4" s="23"/>
    </row>
    <row r="5" spans="1:38" ht="25" customHeight="1" x14ac:dyDescent="0.55000000000000004">
      <c r="AC5" s="5"/>
      <c r="AD5" s="23"/>
      <c r="AE5" s="23"/>
      <c r="AF5" s="24" t="s">
        <v>1185</v>
      </c>
      <c r="AL5" s="5"/>
    </row>
    <row r="6" spans="1:38" s="4" customFormat="1" ht="10" x14ac:dyDescent="0.55000000000000004">
      <c r="B6" s="4" t="s">
        <v>519</v>
      </c>
      <c r="E6" s="4" t="s">
        <v>529</v>
      </c>
      <c r="F6" s="4" t="s">
        <v>529</v>
      </c>
      <c r="G6" s="4" t="s">
        <v>520</v>
      </c>
      <c r="H6" s="4" t="s">
        <v>520</v>
      </c>
      <c r="I6" s="4" t="s">
        <v>529</v>
      </c>
      <c r="J6" s="4" t="s">
        <v>521</v>
      </c>
      <c r="K6" s="4" t="s">
        <v>522</v>
      </c>
      <c r="L6" s="4" t="s">
        <v>523</v>
      </c>
      <c r="M6" s="4" t="s">
        <v>524</v>
      </c>
      <c r="N6" s="4" t="s">
        <v>525</v>
      </c>
      <c r="O6" s="4" t="s">
        <v>1130</v>
      </c>
      <c r="P6" s="4" t="s">
        <v>526</v>
      </c>
      <c r="Q6" s="4" t="s">
        <v>526</v>
      </c>
      <c r="R6" s="4" t="s">
        <v>522</v>
      </c>
      <c r="S6" s="4" t="s">
        <v>527</v>
      </c>
      <c r="T6" s="4" t="s">
        <v>523</v>
      </c>
      <c r="U6" s="4" t="s">
        <v>528</v>
      </c>
    </row>
    <row r="7" spans="1:38" ht="10.25" customHeight="1" x14ac:dyDescent="0.55000000000000004">
      <c r="B7" s="120" t="s">
        <v>1129</v>
      </c>
      <c r="C7" s="122" t="s">
        <v>252</v>
      </c>
      <c r="D7" s="120" t="s">
        <v>373</v>
      </c>
      <c r="E7" s="6"/>
      <c r="F7" s="7"/>
      <c r="G7" s="7"/>
      <c r="H7" s="7"/>
      <c r="I7" s="121" t="s">
        <v>1</v>
      </c>
      <c r="J7" s="121"/>
      <c r="K7" s="121"/>
      <c r="L7" s="7"/>
      <c r="M7" s="7"/>
      <c r="N7" s="7"/>
      <c r="O7" s="7"/>
      <c r="P7" s="7"/>
      <c r="Q7" s="8"/>
      <c r="R7" s="120" t="s">
        <v>346</v>
      </c>
      <c r="S7" s="120"/>
      <c r="T7" s="120"/>
      <c r="U7" s="120" t="s">
        <v>264</v>
      </c>
      <c r="V7" s="111" t="s">
        <v>262</v>
      </c>
      <c r="W7" s="112"/>
      <c r="X7" s="113"/>
      <c r="Y7" s="101" t="s">
        <v>1187</v>
      </c>
      <c r="Z7" s="114" t="s">
        <v>545</v>
      </c>
      <c r="AA7" s="115"/>
      <c r="AB7" s="106" t="s">
        <v>372</v>
      </c>
      <c r="AC7" s="107"/>
    </row>
    <row r="8" spans="1:38" ht="10.25" customHeight="1" x14ac:dyDescent="0.55000000000000004">
      <c r="B8" s="120"/>
      <c r="C8" s="122"/>
      <c r="D8" s="120"/>
      <c r="E8" s="9" t="s">
        <v>348</v>
      </c>
      <c r="F8" s="9" t="s">
        <v>2</v>
      </c>
      <c r="G8" s="9" t="s">
        <v>3</v>
      </c>
      <c r="H8" s="9" t="s">
        <v>4</v>
      </c>
      <c r="I8" s="9" t="s">
        <v>5</v>
      </c>
      <c r="J8" s="9" t="s">
        <v>6</v>
      </c>
      <c r="K8" s="9" t="s">
        <v>7</v>
      </c>
      <c r="L8" s="9" t="s">
        <v>8</v>
      </c>
      <c r="M8" s="9" t="s">
        <v>9</v>
      </c>
      <c r="N8" s="9" t="s">
        <v>10</v>
      </c>
      <c r="O8" s="9" t="s">
        <v>1128</v>
      </c>
      <c r="P8" s="9" t="s">
        <v>11</v>
      </c>
      <c r="Q8" s="9" t="s">
        <v>12</v>
      </c>
      <c r="R8" s="9" t="s">
        <v>265</v>
      </c>
      <c r="S8" s="9" t="s">
        <v>266</v>
      </c>
      <c r="T8" s="9" t="s">
        <v>267</v>
      </c>
      <c r="U8" s="120"/>
      <c r="V8" s="108" t="s">
        <v>263</v>
      </c>
      <c r="W8" s="108" t="s">
        <v>1186</v>
      </c>
      <c r="X8" s="109" t="s">
        <v>370</v>
      </c>
      <c r="Y8" s="102"/>
      <c r="Z8" s="116" t="s">
        <v>544</v>
      </c>
      <c r="AA8" s="116" t="s">
        <v>542</v>
      </c>
      <c r="AB8" s="104" t="s">
        <v>1183</v>
      </c>
      <c r="AC8" s="104" t="s">
        <v>1184</v>
      </c>
    </row>
    <row r="9" spans="1:38" ht="10.25" customHeight="1" x14ac:dyDescent="0.55000000000000004">
      <c r="B9" s="120"/>
      <c r="C9" s="122"/>
      <c r="D9" s="120"/>
      <c r="E9" s="9" t="s">
        <v>349</v>
      </c>
      <c r="F9" s="9" t="s">
        <v>13</v>
      </c>
      <c r="G9" s="9" t="s">
        <v>14</v>
      </c>
      <c r="H9" s="9" t="s">
        <v>15</v>
      </c>
      <c r="I9" s="9" t="s">
        <v>16</v>
      </c>
      <c r="J9" s="9" t="s">
        <v>17</v>
      </c>
      <c r="K9" s="9" t="s">
        <v>18</v>
      </c>
      <c r="L9" s="9" t="s">
        <v>19</v>
      </c>
      <c r="M9" s="9" t="s">
        <v>20</v>
      </c>
      <c r="N9" s="9" t="s">
        <v>21</v>
      </c>
      <c r="O9" s="9" t="s">
        <v>22</v>
      </c>
      <c r="P9" s="9" t="s">
        <v>1126</v>
      </c>
      <c r="Q9" s="9" t="s">
        <v>1127</v>
      </c>
      <c r="R9" s="9" t="s">
        <v>347</v>
      </c>
      <c r="S9" s="9" t="s">
        <v>268</v>
      </c>
      <c r="T9" s="9" t="s">
        <v>269</v>
      </c>
      <c r="U9" s="120"/>
      <c r="V9" s="108"/>
      <c r="W9" s="108"/>
      <c r="X9" s="110"/>
      <c r="Y9" s="103"/>
      <c r="Z9" s="117"/>
      <c r="AA9" s="117"/>
      <c r="AB9" s="105"/>
      <c r="AC9" s="105"/>
    </row>
    <row r="10" spans="1:38" ht="10.25" customHeight="1" x14ac:dyDescent="0.55000000000000004">
      <c r="B10" s="10" t="s">
        <v>253</v>
      </c>
      <c r="C10" s="11">
        <v>1</v>
      </c>
      <c r="D10" s="12" t="s">
        <v>272</v>
      </c>
      <c r="E10" s="12" t="s">
        <v>272</v>
      </c>
      <c r="F10" s="12" t="s">
        <v>272</v>
      </c>
      <c r="G10" s="12" t="s">
        <v>272</v>
      </c>
      <c r="H10" s="12" t="s">
        <v>272</v>
      </c>
      <c r="I10" s="12" t="s">
        <v>272</v>
      </c>
      <c r="J10" s="12" t="s">
        <v>272</v>
      </c>
      <c r="K10" s="12" t="s">
        <v>272</v>
      </c>
      <c r="L10" s="12" t="s">
        <v>272</v>
      </c>
      <c r="M10" s="12" t="s">
        <v>272</v>
      </c>
      <c r="N10" s="12" t="s">
        <v>272</v>
      </c>
      <c r="O10" s="12" t="s">
        <v>272</v>
      </c>
      <c r="P10" s="12" t="s">
        <v>272</v>
      </c>
      <c r="Q10" s="12" t="s">
        <v>272</v>
      </c>
      <c r="R10" s="12" t="s">
        <v>272</v>
      </c>
      <c r="S10" s="12" t="s">
        <v>272</v>
      </c>
      <c r="T10" s="12" t="s">
        <v>272</v>
      </c>
      <c r="U10" s="12" t="s">
        <v>272</v>
      </c>
      <c r="V10" s="10" t="s">
        <v>253</v>
      </c>
      <c r="W10" s="12" t="s">
        <v>272</v>
      </c>
      <c r="X10" s="25"/>
      <c r="Y10" s="13" t="s">
        <v>531</v>
      </c>
      <c r="Z10" s="14" t="s">
        <v>1190</v>
      </c>
      <c r="AA10" s="15" t="s">
        <v>1190</v>
      </c>
      <c r="AB10" s="13"/>
      <c r="AC10" s="13"/>
    </row>
    <row r="11" spans="1:38" ht="10.25" customHeight="1" x14ac:dyDescent="0.55000000000000004">
      <c r="B11" s="14" t="s">
        <v>23</v>
      </c>
      <c r="C11" s="14">
        <v>2</v>
      </c>
      <c r="D11" s="15" t="s">
        <v>23</v>
      </c>
      <c r="E11" s="14" t="s">
        <v>564</v>
      </c>
      <c r="F11" s="14" t="s">
        <v>565</v>
      </c>
      <c r="G11" s="14" t="s">
        <v>566</v>
      </c>
      <c r="H11" s="14" t="s">
        <v>567</v>
      </c>
      <c r="I11" s="12" t="s">
        <v>272</v>
      </c>
      <c r="J11" s="14" t="s">
        <v>568</v>
      </c>
      <c r="K11" s="14" t="s">
        <v>569</v>
      </c>
      <c r="L11" s="12" t="s">
        <v>272</v>
      </c>
      <c r="M11" s="14" t="s">
        <v>24</v>
      </c>
      <c r="N11" s="12" t="s">
        <v>272</v>
      </c>
      <c r="O11" s="12" t="s">
        <v>272</v>
      </c>
      <c r="P11" s="12" t="s">
        <v>272</v>
      </c>
      <c r="Q11" s="12" t="s">
        <v>272</v>
      </c>
      <c r="R11" s="12" t="s">
        <v>272</v>
      </c>
      <c r="S11" s="12" t="s">
        <v>272</v>
      </c>
      <c r="T11" s="14" t="s">
        <v>1111</v>
      </c>
      <c r="U11" s="12" t="s">
        <v>272</v>
      </c>
      <c r="V11" s="16"/>
      <c r="W11" s="12" t="s">
        <v>272</v>
      </c>
      <c r="X11" s="25" t="str">
        <f>_xlfn.IFS(AND(COUNTIF(V11,"SCB0*")=1, 'PCH176'!D60&gt;=2), "See the Notice *2", AND(COUNTIF(V11,"SCB7*")=1, 'PCH176'!K60&gt;=2), "See the Notice *2", TRUE, "")</f>
        <v/>
      </c>
      <c r="Y11" s="13"/>
      <c r="Z11" s="14" t="s">
        <v>270</v>
      </c>
      <c r="AA11" s="15" t="s">
        <v>254</v>
      </c>
      <c r="AB11" s="13"/>
      <c r="AC11" s="13"/>
    </row>
    <row r="12" spans="1:38" ht="10.25" customHeight="1" x14ac:dyDescent="0.55000000000000004">
      <c r="B12" s="14" t="s">
        <v>25</v>
      </c>
      <c r="C12" s="14">
        <v>3</v>
      </c>
      <c r="D12" s="15" t="s">
        <v>25</v>
      </c>
      <c r="E12" s="14" t="s">
        <v>570</v>
      </c>
      <c r="F12" s="14" t="s">
        <v>571</v>
      </c>
      <c r="G12" s="14" t="s">
        <v>572</v>
      </c>
      <c r="H12" s="14" t="s">
        <v>573</v>
      </c>
      <c r="I12" s="12" t="s">
        <v>272</v>
      </c>
      <c r="J12" s="14" t="s">
        <v>574</v>
      </c>
      <c r="K12" s="14" t="s">
        <v>575</v>
      </c>
      <c r="L12" s="12" t="s">
        <v>272</v>
      </c>
      <c r="M12" s="14" t="s">
        <v>26</v>
      </c>
      <c r="N12" s="12" t="s">
        <v>272</v>
      </c>
      <c r="O12" s="12" t="s">
        <v>272</v>
      </c>
      <c r="P12" s="12" t="s">
        <v>272</v>
      </c>
      <c r="Q12" s="12" t="s">
        <v>272</v>
      </c>
      <c r="R12" s="12" t="s">
        <v>272</v>
      </c>
      <c r="S12" s="12" t="s">
        <v>272</v>
      </c>
      <c r="T12" s="14" t="s">
        <v>1112</v>
      </c>
      <c r="U12" s="12" t="s">
        <v>272</v>
      </c>
      <c r="V12" s="16"/>
      <c r="W12" s="12" t="s">
        <v>272</v>
      </c>
      <c r="X12" s="25" t="str">
        <f>_xlfn.IFS(AND(COUNTIF(V12,"SCB0*")=1, 'PCH176'!D60&gt;=2), "See the Notice *2", AND(COUNTIF(V12,"SCB7*")=1, 'PCH176'!K60&gt;=2), "See the Notice *2", TRUE, "")</f>
        <v/>
      </c>
      <c r="Y12" s="13"/>
      <c r="Z12" s="14" t="s">
        <v>270</v>
      </c>
      <c r="AA12" s="15" t="s">
        <v>254</v>
      </c>
      <c r="AB12" s="13"/>
      <c r="AC12" s="13"/>
    </row>
    <row r="13" spans="1:38" ht="10.25" customHeight="1" x14ac:dyDescent="0.55000000000000004">
      <c r="B13" s="14" t="s">
        <v>27</v>
      </c>
      <c r="C13" s="14">
        <v>4</v>
      </c>
      <c r="D13" s="15" t="s">
        <v>27</v>
      </c>
      <c r="E13" s="14" t="s">
        <v>576</v>
      </c>
      <c r="F13" s="14" t="s">
        <v>577</v>
      </c>
      <c r="G13" s="14" t="s">
        <v>578</v>
      </c>
      <c r="H13" s="14" t="s">
        <v>579</v>
      </c>
      <c r="I13" s="12" t="s">
        <v>272</v>
      </c>
      <c r="J13" s="14" t="s">
        <v>580</v>
      </c>
      <c r="K13" s="12" t="s">
        <v>272</v>
      </c>
      <c r="L13" s="12" t="s">
        <v>272</v>
      </c>
      <c r="M13" s="14" t="s">
        <v>28</v>
      </c>
      <c r="N13" s="14" t="s">
        <v>29</v>
      </c>
      <c r="O13" s="12" t="s">
        <v>272</v>
      </c>
      <c r="P13" s="12" t="s">
        <v>272</v>
      </c>
      <c r="Q13" s="12" t="s">
        <v>272</v>
      </c>
      <c r="R13" s="14" t="s">
        <v>1113</v>
      </c>
      <c r="S13" s="12" t="s">
        <v>272</v>
      </c>
      <c r="T13" s="14" t="s">
        <v>1114</v>
      </c>
      <c r="U13" s="12" t="s">
        <v>272</v>
      </c>
      <c r="V13" s="16"/>
      <c r="W13" s="12" t="s">
        <v>272</v>
      </c>
      <c r="X13" s="25" t="str">
        <f>_xlfn.IFS(AND(COUNTIF(V13,"SCB*")=1, 'PCH176'!D60&gt;=2), "See the Notice *2", TRUE, "")</f>
        <v/>
      </c>
      <c r="Y13" s="13"/>
      <c r="Z13" s="14" t="s">
        <v>270</v>
      </c>
      <c r="AA13" s="15" t="s">
        <v>254</v>
      </c>
      <c r="AB13" s="13"/>
      <c r="AC13" s="13"/>
    </row>
    <row r="14" spans="1:38" ht="10.25" customHeight="1" x14ac:dyDescent="0.55000000000000004">
      <c r="B14" s="14" t="s">
        <v>30</v>
      </c>
      <c r="C14" s="14">
        <v>5</v>
      </c>
      <c r="D14" s="15" t="s">
        <v>30</v>
      </c>
      <c r="E14" s="14" t="s">
        <v>581</v>
      </c>
      <c r="F14" s="14" t="s">
        <v>582</v>
      </c>
      <c r="G14" s="14" t="s">
        <v>583</v>
      </c>
      <c r="H14" s="14" t="s">
        <v>584</v>
      </c>
      <c r="I14" s="12" t="s">
        <v>272</v>
      </c>
      <c r="J14" s="14" t="s">
        <v>585</v>
      </c>
      <c r="K14" s="12" t="s">
        <v>272</v>
      </c>
      <c r="L14" s="12" t="s">
        <v>272</v>
      </c>
      <c r="M14" s="12" t="s">
        <v>272</v>
      </c>
      <c r="N14" s="14" t="s">
        <v>31</v>
      </c>
      <c r="O14" s="12" t="s">
        <v>272</v>
      </c>
      <c r="P14" s="12" t="s">
        <v>272</v>
      </c>
      <c r="Q14" s="12" t="s">
        <v>272</v>
      </c>
      <c r="R14" s="14" t="s">
        <v>1115</v>
      </c>
      <c r="S14" s="12" t="s">
        <v>272</v>
      </c>
      <c r="T14" s="14" t="s">
        <v>1116</v>
      </c>
      <c r="U14" s="12" t="s">
        <v>272</v>
      </c>
      <c r="V14" s="16"/>
      <c r="W14" s="12" t="s">
        <v>272</v>
      </c>
      <c r="X14" s="25" t="str">
        <f>_xlfn.IFS(AND(COUNTIF(V14,"SCB*")=1, 'PCH176'!D60&gt;=2), "See the Notice *2", TRUE, "")</f>
        <v/>
      </c>
      <c r="Y14" s="13"/>
      <c r="Z14" s="14" t="s">
        <v>270</v>
      </c>
      <c r="AA14" s="15" t="s">
        <v>254</v>
      </c>
      <c r="AB14" s="13"/>
      <c r="AC14" s="13"/>
    </row>
    <row r="15" spans="1:38" ht="10.25" customHeight="1" x14ac:dyDescent="0.55000000000000004">
      <c r="B15" s="14" t="s">
        <v>32</v>
      </c>
      <c r="C15" s="14">
        <v>6</v>
      </c>
      <c r="D15" s="15" t="s">
        <v>32</v>
      </c>
      <c r="E15" s="14" t="s">
        <v>586</v>
      </c>
      <c r="F15" s="14" t="s">
        <v>587</v>
      </c>
      <c r="G15" s="14" t="s">
        <v>588</v>
      </c>
      <c r="H15" s="14" t="s">
        <v>589</v>
      </c>
      <c r="I15" s="14" t="s">
        <v>1224</v>
      </c>
      <c r="J15" s="12" t="s">
        <v>272</v>
      </c>
      <c r="K15" s="12" t="s">
        <v>272</v>
      </c>
      <c r="L15" s="12" t="s">
        <v>272</v>
      </c>
      <c r="M15" s="12" t="s">
        <v>272</v>
      </c>
      <c r="N15" s="12" t="s">
        <v>272</v>
      </c>
      <c r="O15" s="12" t="s">
        <v>272</v>
      </c>
      <c r="P15" s="12" t="s">
        <v>272</v>
      </c>
      <c r="Q15" s="12" t="s">
        <v>272</v>
      </c>
      <c r="R15" s="14" t="s">
        <v>1117</v>
      </c>
      <c r="S15" s="12" t="s">
        <v>272</v>
      </c>
      <c r="T15" s="14" t="s">
        <v>1118</v>
      </c>
      <c r="U15" s="12" t="s">
        <v>272</v>
      </c>
      <c r="V15" s="16"/>
      <c r="W15" s="12" t="s">
        <v>272</v>
      </c>
      <c r="X15" s="25" t="str">
        <f>_xlfn.IFS(AND(COUNTIF(V15,"SCB*")=1, 'PCH176'!D60&gt;=2), "See the Notice *2", TRUE, "")</f>
        <v/>
      </c>
      <c r="Y15" s="13"/>
      <c r="Z15" s="14" t="s">
        <v>271</v>
      </c>
      <c r="AA15" s="15" t="s">
        <v>254</v>
      </c>
      <c r="AB15" s="13"/>
      <c r="AC15" s="13"/>
    </row>
    <row r="16" spans="1:38" ht="10.25" customHeight="1" x14ac:dyDescent="0.55000000000000004">
      <c r="B16" s="14" t="s">
        <v>33</v>
      </c>
      <c r="C16" s="14">
        <v>7</v>
      </c>
      <c r="D16" s="15" t="s">
        <v>33</v>
      </c>
      <c r="E16" s="14" t="s">
        <v>591</v>
      </c>
      <c r="F16" s="14" t="s">
        <v>592</v>
      </c>
      <c r="G16" s="14" t="s">
        <v>593</v>
      </c>
      <c r="H16" s="14" t="s">
        <v>594</v>
      </c>
      <c r="I16" s="14" t="s">
        <v>595</v>
      </c>
      <c r="J16" s="12" t="s">
        <v>272</v>
      </c>
      <c r="K16" s="12" t="s">
        <v>272</v>
      </c>
      <c r="L16" s="12" t="s">
        <v>272</v>
      </c>
      <c r="M16" s="12" t="s">
        <v>272</v>
      </c>
      <c r="N16" s="12" t="s">
        <v>272</v>
      </c>
      <c r="O16" s="12" t="s">
        <v>272</v>
      </c>
      <c r="P16" s="12" t="s">
        <v>272</v>
      </c>
      <c r="Q16" s="12" t="s">
        <v>272</v>
      </c>
      <c r="R16" s="14" t="s">
        <v>1119</v>
      </c>
      <c r="S16" s="12" t="s">
        <v>272</v>
      </c>
      <c r="T16" s="14" t="s">
        <v>1120</v>
      </c>
      <c r="U16" s="12" t="s">
        <v>272</v>
      </c>
      <c r="V16" s="16"/>
      <c r="W16" s="12" t="s">
        <v>272</v>
      </c>
      <c r="X16" s="25" t="str">
        <f>_xlfn.IFS(AND(COUNTIF(V16,"SCB*")=1, 'PCH176'!D60&gt;=2), "See the Notice *2", TRUE, "")</f>
        <v/>
      </c>
      <c r="Y16" s="13"/>
      <c r="Z16" s="14" t="s">
        <v>271</v>
      </c>
      <c r="AA16" s="15" t="s">
        <v>254</v>
      </c>
      <c r="AB16" s="13"/>
      <c r="AC16" s="13"/>
    </row>
    <row r="17" spans="2:29" ht="10.25" customHeight="1" x14ac:dyDescent="0.55000000000000004">
      <c r="B17" s="14" t="s">
        <v>34</v>
      </c>
      <c r="C17" s="14">
        <v>8</v>
      </c>
      <c r="D17" s="15" t="s">
        <v>34</v>
      </c>
      <c r="E17" s="14" t="s">
        <v>596</v>
      </c>
      <c r="F17" s="14" t="s">
        <v>597</v>
      </c>
      <c r="G17" s="14" t="s">
        <v>598</v>
      </c>
      <c r="H17" s="14" t="s">
        <v>599</v>
      </c>
      <c r="I17" s="14" t="s">
        <v>600</v>
      </c>
      <c r="J17" s="12" t="s">
        <v>272</v>
      </c>
      <c r="K17" s="12" t="s">
        <v>272</v>
      </c>
      <c r="L17" s="12" t="s">
        <v>272</v>
      </c>
      <c r="M17" s="12" t="s">
        <v>272</v>
      </c>
      <c r="N17" s="12" t="s">
        <v>272</v>
      </c>
      <c r="O17" s="12" t="s">
        <v>272</v>
      </c>
      <c r="P17" s="14" t="s">
        <v>35</v>
      </c>
      <c r="Q17" s="12" t="s">
        <v>272</v>
      </c>
      <c r="R17" s="12" t="s">
        <v>272</v>
      </c>
      <c r="S17" s="12" t="s">
        <v>272</v>
      </c>
      <c r="T17" s="14" t="s">
        <v>1121</v>
      </c>
      <c r="U17" s="12" t="s">
        <v>272</v>
      </c>
      <c r="V17" s="16"/>
      <c r="W17" s="12" t="s">
        <v>272</v>
      </c>
      <c r="X17" s="25" t="str">
        <f>_xlfn.IFS(AND(COUNTIF(V17,"SCB*")=1, 'PCH176'!D60&gt;=2), "See the Notice *2", TRUE, "")</f>
        <v/>
      </c>
      <c r="Y17" s="13"/>
      <c r="Z17" s="14" t="s">
        <v>271</v>
      </c>
      <c r="AA17" s="15" t="s">
        <v>254</v>
      </c>
      <c r="AB17" s="13"/>
      <c r="AC17" s="13"/>
    </row>
    <row r="18" spans="2:29" ht="10.25" customHeight="1" x14ac:dyDescent="0.55000000000000004">
      <c r="B18" s="14" t="s">
        <v>36</v>
      </c>
      <c r="C18" s="14">
        <v>9</v>
      </c>
      <c r="D18" s="15" t="s">
        <v>36</v>
      </c>
      <c r="E18" s="14" t="s">
        <v>601</v>
      </c>
      <c r="F18" s="14" t="s">
        <v>602</v>
      </c>
      <c r="G18" s="14" t="s">
        <v>603</v>
      </c>
      <c r="H18" s="14" t="s">
        <v>604</v>
      </c>
      <c r="I18" s="14" t="s">
        <v>605</v>
      </c>
      <c r="J18" s="12" t="s">
        <v>272</v>
      </c>
      <c r="K18" s="12" t="s">
        <v>272</v>
      </c>
      <c r="L18" s="12" t="s">
        <v>272</v>
      </c>
      <c r="M18" s="12" t="s">
        <v>272</v>
      </c>
      <c r="N18" s="12" t="s">
        <v>272</v>
      </c>
      <c r="O18" s="12" t="s">
        <v>272</v>
      </c>
      <c r="P18" s="14" t="s">
        <v>37</v>
      </c>
      <c r="Q18" s="12" t="s">
        <v>272</v>
      </c>
      <c r="R18" s="12" t="s">
        <v>272</v>
      </c>
      <c r="S18" s="12" t="s">
        <v>272</v>
      </c>
      <c r="T18" s="14" t="s">
        <v>1122</v>
      </c>
      <c r="U18" s="12" t="s">
        <v>1226</v>
      </c>
      <c r="V18" s="16"/>
      <c r="W18" s="12" t="s">
        <v>272</v>
      </c>
      <c r="X18" s="25" t="str">
        <f>_xlfn.IFS(AND(COUNTIF(V18,"SCB*")=1, 'PCH176'!D60&gt;=2), "See the Notice *2", TRUE, "")</f>
        <v/>
      </c>
      <c r="Y18" s="13"/>
      <c r="Z18" s="14" t="s">
        <v>271</v>
      </c>
      <c r="AA18" s="15" t="s">
        <v>254</v>
      </c>
      <c r="AB18" s="13"/>
      <c r="AC18" s="13"/>
    </row>
    <row r="19" spans="2:29" ht="10.25" customHeight="1" x14ac:dyDescent="0.55000000000000004">
      <c r="B19" s="14" t="s">
        <v>38</v>
      </c>
      <c r="C19" s="14">
        <v>10</v>
      </c>
      <c r="D19" s="15" t="s">
        <v>38</v>
      </c>
      <c r="E19" s="14" t="s">
        <v>606</v>
      </c>
      <c r="F19" s="14" t="s">
        <v>607</v>
      </c>
      <c r="G19" s="14" t="s">
        <v>608</v>
      </c>
      <c r="H19" s="14" t="s">
        <v>609</v>
      </c>
      <c r="I19" s="14" t="s">
        <v>610</v>
      </c>
      <c r="J19" s="14" t="s">
        <v>611</v>
      </c>
      <c r="K19" s="12" t="s">
        <v>272</v>
      </c>
      <c r="L19" s="14" t="s">
        <v>612</v>
      </c>
      <c r="M19" s="14" t="s">
        <v>39</v>
      </c>
      <c r="N19" s="14" t="s">
        <v>40</v>
      </c>
      <c r="O19" s="12" t="s">
        <v>272</v>
      </c>
      <c r="P19" s="14" t="s">
        <v>41</v>
      </c>
      <c r="Q19" s="12" t="s">
        <v>272</v>
      </c>
      <c r="R19" s="12" t="s">
        <v>272</v>
      </c>
      <c r="S19" s="14" t="s">
        <v>273</v>
      </c>
      <c r="T19" s="14" t="s">
        <v>1123</v>
      </c>
      <c r="U19" s="12" t="s">
        <v>272</v>
      </c>
      <c r="V19" s="16"/>
      <c r="W19" s="12" t="s">
        <v>272</v>
      </c>
      <c r="X19" s="25" t="str">
        <f>_xlfn.IFS(AND(COUNTIF(V19,"SCB0*")=1, 'PCH176'!D60&gt;=2), "See the Notice *2", AND(COUNTIF(V19,"SCB7*")=1, 'PCH176'!K60&gt;=2), "See the Notice *2", TRUE, "")</f>
        <v/>
      </c>
      <c r="Y19" s="13"/>
      <c r="Z19" s="14" t="s">
        <v>271</v>
      </c>
      <c r="AA19" s="15" t="s">
        <v>254</v>
      </c>
      <c r="AB19" s="13"/>
      <c r="AC19" s="13"/>
    </row>
    <row r="20" spans="2:29" ht="10.25" customHeight="1" x14ac:dyDescent="0.55000000000000004">
      <c r="B20" s="14" t="s">
        <v>42</v>
      </c>
      <c r="C20" s="14">
        <v>11</v>
      </c>
      <c r="D20" s="15" t="s">
        <v>42</v>
      </c>
      <c r="E20" s="14" t="s">
        <v>613</v>
      </c>
      <c r="F20" s="14" t="s">
        <v>614</v>
      </c>
      <c r="G20" s="14" t="s">
        <v>615</v>
      </c>
      <c r="H20" s="14" t="s">
        <v>616</v>
      </c>
      <c r="I20" s="14" t="s">
        <v>617</v>
      </c>
      <c r="J20" s="14" t="s">
        <v>618</v>
      </c>
      <c r="K20" s="14" t="s">
        <v>619</v>
      </c>
      <c r="L20" s="14" t="s">
        <v>620</v>
      </c>
      <c r="M20" s="14" t="s">
        <v>43</v>
      </c>
      <c r="N20" s="14" t="s">
        <v>44</v>
      </c>
      <c r="O20" s="12" t="s">
        <v>272</v>
      </c>
      <c r="P20" s="14" t="s">
        <v>45</v>
      </c>
      <c r="Q20" s="12" t="s">
        <v>272</v>
      </c>
      <c r="R20" s="12" t="s">
        <v>272</v>
      </c>
      <c r="S20" s="12" t="s">
        <v>272</v>
      </c>
      <c r="T20" s="14" t="s">
        <v>1124</v>
      </c>
      <c r="U20" s="12" t="s">
        <v>272</v>
      </c>
      <c r="V20" s="16"/>
      <c r="W20" s="12" t="s">
        <v>272</v>
      </c>
      <c r="X20" s="25" t="str">
        <f>_xlfn.IFS(AND(COUNTIF(V20,"SCB0*")=1, 'PCH176'!D60&gt;=2), "See the Notice *2", AND(COUNTIF(V20,"SCB7*")=1, 'PCH176'!K60&gt;=2), "See the Notice *2", TRUE, "")</f>
        <v/>
      </c>
      <c r="Y20" s="13"/>
      <c r="Z20" s="14" t="s">
        <v>271</v>
      </c>
      <c r="AA20" s="15" t="s">
        <v>254</v>
      </c>
      <c r="AB20" s="13"/>
      <c r="AC20" s="13"/>
    </row>
    <row r="21" spans="2:29" ht="10.25" customHeight="1" x14ac:dyDescent="0.55000000000000004">
      <c r="B21" s="14" t="s">
        <v>46</v>
      </c>
      <c r="C21" s="14">
        <v>12</v>
      </c>
      <c r="D21" s="15" t="s">
        <v>46</v>
      </c>
      <c r="E21" s="14" t="s">
        <v>621</v>
      </c>
      <c r="F21" s="14" t="s">
        <v>622</v>
      </c>
      <c r="G21" s="14" t="s">
        <v>623</v>
      </c>
      <c r="H21" s="14" t="s">
        <v>624</v>
      </c>
      <c r="I21" s="14" t="s">
        <v>625</v>
      </c>
      <c r="J21" s="14" t="s">
        <v>626</v>
      </c>
      <c r="K21" s="14" t="s">
        <v>627</v>
      </c>
      <c r="L21" s="14" t="s">
        <v>628</v>
      </c>
      <c r="M21" s="14" t="s">
        <v>47</v>
      </c>
      <c r="N21" s="12" t="s">
        <v>272</v>
      </c>
      <c r="O21" s="12" t="s">
        <v>272</v>
      </c>
      <c r="P21" s="14" t="s">
        <v>48</v>
      </c>
      <c r="Q21" s="12" t="s">
        <v>272</v>
      </c>
      <c r="R21" s="12" t="s">
        <v>272</v>
      </c>
      <c r="S21" s="12" t="s">
        <v>272</v>
      </c>
      <c r="T21" s="14" t="s">
        <v>1125</v>
      </c>
      <c r="U21" s="12" t="s">
        <v>272</v>
      </c>
      <c r="V21" s="16"/>
      <c r="W21" s="12" t="s">
        <v>272</v>
      </c>
      <c r="X21" s="25" t="str">
        <f>_xlfn.IFS(AND(COUNTIF(V21,"SCB0*")=1, 'PCH176'!D60&gt;=2), "See the Notice *2", AND(COUNTIF(V21,"SCB7*")=1, 'PCH176'!K60&gt;=2), "See the Notice *2", TRUE, "")</f>
        <v/>
      </c>
      <c r="Y21" s="13"/>
      <c r="Z21" s="14" t="s">
        <v>271</v>
      </c>
      <c r="AA21" s="15" t="s">
        <v>254</v>
      </c>
      <c r="AB21" s="13"/>
      <c r="AC21" s="13"/>
    </row>
    <row r="22" spans="2:29" ht="10.25" customHeight="1" x14ac:dyDescent="0.55000000000000004">
      <c r="B22" s="14" t="s">
        <v>49</v>
      </c>
      <c r="C22" s="14">
        <v>13</v>
      </c>
      <c r="D22" s="15" t="s">
        <v>49</v>
      </c>
      <c r="E22" s="14" t="s">
        <v>629</v>
      </c>
      <c r="F22" s="14" t="s">
        <v>630</v>
      </c>
      <c r="G22" s="14" t="s">
        <v>631</v>
      </c>
      <c r="H22" s="14" t="s">
        <v>632</v>
      </c>
      <c r="I22" s="14" t="s">
        <v>633</v>
      </c>
      <c r="J22" s="14" t="s">
        <v>634</v>
      </c>
      <c r="K22" s="12" t="s">
        <v>272</v>
      </c>
      <c r="L22" s="14" t="s">
        <v>635</v>
      </c>
      <c r="M22" s="14" t="s">
        <v>50</v>
      </c>
      <c r="N22" s="12" t="s">
        <v>272</v>
      </c>
      <c r="O22" s="12" t="s">
        <v>272</v>
      </c>
      <c r="P22" s="14" t="s">
        <v>51</v>
      </c>
      <c r="Q22" s="12" t="s">
        <v>272</v>
      </c>
      <c r="R22" s="12" t="s">
        <v>272</v>
      </c>
      <c r="S22" s="12" t="s">
        <v>272</v>
      </c>
      <c r="T22" s="12" t="s">
        <v>272</v>
      </c>
      <c r="U22" s="12" t="s">
        <v>272</v>
      </c>
      <c r="V22" s="16"/>
      <c r="W22" s="12" t="s">
        <v>272</v>
      </c>
      <c r="X22" s="25" t="str">
        <f>_xlfn.IFS(AND(COUNTIF(V22,"SCB*")=1, 'PCH176'!K60&gt;=2), "See the Notice *2", TRUE, "")</f>
        <v/>
      </c>
      <c r="Y22" s="13"/>
      <c r="Z22" s="14" t="s">
        <v>271</v>
      </c>
      <c r="AA22" s="15" t="s">
        <v>254</v>
      </c>
      <c r="AB22" s="13"/>
      <c r="AC22" s="13"/>
    </row>
    <row r="23" spans="2:29" ht="10.25" customHeight="1" x14ac:dyDescent="0.55000000000000004">
      <c r="B23" s="14" t="s">
        <v>52</v>
      </c>
      <c r="C23" s="14">
        <v>14</v>
      </c>
      <c r="D23" s="15" t="s">
        <v>52</v>
      </c>
      <c r="E23" s="14" t="s">
        <v>636</v>
      </c>
      <c r="F23" s="14" t="s">
        <v>637</v>
      </c>
      <c r="G23" s="14" t="s">
        <v>638</v>
      </c>
      <c r="H23" s="14" t="s">
        <v>639</v>
      </c>
      <c r="I23" s="14" t="s">
        <v>640</v>
      </c>
      <c r="J23" s="12" t="s">
        <v>272</v>
      </c>
      <c r="K23" s="12" t="s">
        <v>272</v>
      </c>
      <c r="L23" s="14" t="s">
        <v>641</v>
      </c>
      <c r="M23" s="14" t="s">
        <v>53</v>
      </c>
      <c r="N23" s="12" t="s">
        <v>272</v>
      </c>
      <c r="O23" s="12" t="s">
        <v>272</v>
      </c>
      <c r="P23" s="14" t="s">
        <v>54</v>
      </c>
      <c r="Q23" s="12" t="s">
        <v>272</v>
      </c>
      <c r="R23" s="12" t="s">
        <v>272</v>
      </c>
      <c r="S23" s="12" t="s">
        <v>272</v>
      </c>
      <c r="T23" s="12" t="s">
        <v>272</v>
      </c>
      <c r="U23" s="12" t="s">
        <v>272</v>
      </c>
      <c r="V23" s="16"/>
      <c r="W23" s="12" t="s">
        <v>272</v>
      </c>
      <c r="X23" s="25" t="str">
        <f>_xlfn.IFS(AND(COUNTIF(V23,"SCB*")=1, 'PCH176'!K60&gt;=2), "See the Notice *2", TRUE, "")</f>
        <v/>
      </c>
      <c r="Y23" s="13"/>
      <c r="Z23" s="14" t="s">
        <v>271</v>
      </c>
      <c r="AA23" s="15" t="s">
        <v>254</v>
      </c>
      <c r="AB23" s="13"/>
      <c r="AC23" s="13"/>
    </row>
    <row r="24" spans="2:29" ht="10.25" customHeight="1" x14ac:dyDescent="0.55000000000000004">
      <c r="B24" s="14" t="s">
        <v>55</v>
      </c>
      <c r="C24" s="14">
        <v>15</v>
      </c>
      <c r="D24" s="15" t="s">
        <v>55</v>
      </c>
      <c r="E24" s="14" t="s">
        <v>642</v>
      </c>
      <c r="F24" s="14" t="s">
        <v>643</v>
      </c>
      <c r="G24" s="14" t="s">
        <v>644</v>
      </c>
      <c r="H24" s="14" t="s">
        <v>645</v>
      </c>
      <c r="I24" s="14" t="s">
        <v>646</v>
      </c>
      <c r="J24" s="12" t="s">
        <v>272</v>
      </c>
      <c r="K24" s="12" t="s">
        <v>272</v>
      </c>
      <c r="L24" s="14" t="s">
        <v>647</v>
      </c>
      <c r="M24" s="14" t="s">
        <v>56</v>
      </c>
      <c r="N24" s="12" t="s">
        <v>272</v>
      </c>
      <c r="O24" s="12" t="s">
        <v>272</v>
      </c>
      <c r="P24" s="14" t="s">
        <v>57</v>
      </c>
      <c r="Q24" s="12" t="s">
        <v>272</v>
      </c>
      <c r="R24" s="12" t="s">
        <v>272</v>
      </c>
      <c r="S24" s="12" t="s">
        <v>272</v>
      </c>
      <c r="T24" s="12" t="s">
        <v>272</v>
      </c>
      <c r="U24" s="12" t="s">
        <v>272</v>
      </c>
      <c r="V24" s="16"/>
      <c r="W24" s="12" t="s">
        <v>272</v>
      </c>
      <c r="X24" s="25" t="str">
        <f>_xlfn.IFS(AND(COUNTIF(V24,"SCB*")=1, 'PCH176'!K60&gt;=2), "See the Notice *2", TRUE, "")</f>
        <v/>
      </c>
      <c r="Y24" s="13"/>
      <c r="Z24" s="14" t="s">
        <v>271</v>
      </c>
      <c r="AA24" s="15" t="s">
        <v>254</v>
      </c>
      <c r="AB24" s="13"/>
      <c r="AC24" s="13"/>
    </row>
    <row r="25" spans="2:29" ht="10.25" customHeight="1" x14ac:dyDescent="0.55000000000000004">
      <c r="B25" s="14" t="s">
        <v>58</v>
      </c>
      <c r="C25" s="14">
        <v>16</v>
      </c>
      <c r="D25" s="15" t="s">
        <v>58</v>
      </c>
      <c r="E25" s="14" t="s">
        <v>648</v>
      </c>
      <c r="F25" s="14" t="s">
        <v>649</v>
      </c>
      <c r="G25" s="14" t="s">
        <v>650</v>
      </c>
      <c r="H25" s="14" t="s">
        <v>651</v>
      </c>
      <c r="I25" s="14" t="s">
        <v>652</v>
      </c>
      <c r="J25" s="14" t="s">
        <v>653</v>
      </c>
      <c r="K25" s="12" t="s">
        <v>272</v>
      </c>
      <c r="L25" s="14" t="s">
        <v>654</v>
      </c>
      <c r="M25" s="12" t="s">
        <v>272</v>
      </c>
      <c r="N25" s="14" t="s">
        <v>655</v>
      </c>
      <c r="O25" s="12" t="s">
        <v>272</v>
      </c>
      <c r="P25" s="12" t="s">
        <v>272</v>
      </c>
      <c r="Q25" s="14" t="s">
        <v>59</v>
      </c>
      <c r="R25" s="12" t="s">
        <v>272</v>
      </c>
      <c r="S25" s="12" t="s">
        <v>272</v>
      </c>
      <c r="T25" s="12" t="s">
        <v>272</v>
      </c>
      <c r="U25" s="12" t="s">
        <v>272</v>
      </c>
      <c r="V25" s="16"/>
      <c r="W25" s="12" t="s">
        <v>272</v>
      </c>
      <c r="X25" s="25" t="str">
        <f>_xlfn.IFS(AND(COUNTIF(V25,"SCB*")=1, 'PCH176'!J60&gt;=2), "See the Notice *2", TRUE, "")</f>
        <v/>
      </c>
      <c r="Y25" s="13"/>
      <c r="Z25" s="14" t="s">
        <v>271</v>
      </c>
      <c r="AA25" s="15" t="s">
        <v>254</v>
      </c>
      <c r="AB25" s="13"/>
      <c r="AC25" s="13"/>
    </row>
    <row r="26" spans="2:29" ht="10.25" customHeight="1" x14ac:dyDescent="0.55000000000000004">
      <c r="B26" s="14" t="s">
        <v>60</v>
      </c>
      <c r="C26" s="14">
        <v>17</v>
      </c>
      <c r="D26" s="15" t="s">
        <v>60</v>
      </c>
      <c r="E26" s="14" t="s">
        <v>656</v>
      </c>
      <c r="F26" s="14" t="s">
        <v>657</v>
      </c>
      <c r="G26" s="14" t="s">
        <v>658</v>
      </c>
      <c r="H26" s="14" t="s">
        <v>659</v>
      </c>
      <c r="I26" s="14" t="s">
        <v>660</v>
      </c>
      <c r="J26" s="14" t="s">
        <v>661</v>
      </c>
      <c r="K26" s="14" t="s">
        <v>662</v>
      </c>
      <c r="L26" s="14" t="s">
        <v>663</v>
      </c>
      <c r="M26" s="12" t="s">
        <v>272</v>
      </c>
      <c r="N26" s="14" t="s">
        <v>664</v>
      </c>
      <c r="O26" s="12" t="s">
        <v>272</v>
      </c>
      <c r="P26" s="12" t="s">
        <v>272</v>
      </c>
      <c r="Q26" s="14" t="s">
        <v>61</v>
      </c>
      <c r="R26" s="12" t="s">
        <v>272</v>
      </c>
      <c r="S26" s="12" t="s">
        <v>272</v>
      </c>
      <c r="T26" s="12" t="s">
        <v>272</v>
      </c>
      <c r="U26" s="12" t="s">
        <v>272</v>
      </c>
      <c r="V26" s="16"/>
      <c r="W26" s="12" t="s">
        <v>272</v>
      </c>
      <c r="X26" s="25" t="str">
        <f>_xlfn.IFS(AND(COUNTIF(V26,"SCB*")=1, 'PCH176'!J60&gt;=2), "See the Notice *2", TRUE, "")</f>
        <v/>
      </c>
      <c r="Y26" s="13"/>
      <c r="Z26" s="14" t="s">
        <v>271</v>
      </c>
      <c r="AA26" s="15" t="s">
        <v>254</v>
      </c>
      <c r="AB26" s="13"/>
      <c r="AC26" s="13"/>
    </row>
    <row r="27" spans="2:29" ht="10.25" customHeight="1" x14ac:dyDescent="0.55000000000000004">
      <c r="B27" s="14" t="s">
        <v>62</v>
      </c>
      <c r="C27" s="14">
        <v>18</v>
      </c>
      <c r="D27" s="15" t="s">
        <v>62</v>
      </c>
      <c r="E27" s="14" t="s">
        <v>665</v>
      </c>
      <c r="F27" s="14" t="s">
        <v>666</v>
      </c>
      <c r="G27" s="14" t="s">
        <v>667</v>
      </c>
      <c r="H27" s="14" t="s">
        <v>668</v>
      </c>
      <c r="I27" s="14" t="s">
        <v>669</v>
      </c>
      <c r="J27" s="14" t="s">
        <v>670</v>
      </c>
      <c r="K27" s="14" t="s">
        <v>671</v>
      </c>
      <c r="L27" s="14" t="s">
        <v>672</v>
      </c>
      <c r="M27" s="12" t="s">
        <v>272</v>
      </c>
      <c r="N27" s="12" t="s">
        <v>272</v>
      </c>
      <c r="O27" s="12" t="s">
        <v>272</v>
      </c>
      <c r="P27" s="12" t="s">
        <v>272</v>
      </c>
      <c r="Q27" s="12" t="s">
        <v>272</v>
      </c>
      <c r="R27" s="12" t="s">
        <v>272</v>
      </c>
      <c r="S27" s="12" t="s">
        <v>272</v>
      </c>
      <c r="T27" s="12" t="s">
        <v>272</v>
      </c>
      <c r="U27" s="12" t="s">
        <v>272</v>
      </c>
      <c r="V27" s="16"/>
      <c r="W27" s="12" t="s">
        <v>272</v>
      </c>
      <c r="X27" s="25" t="str">
        <f>_xlfn.IFS(AND(COUNTIF(V27,"SCB*")=1, 'PCH176'!J60&gt;=2), "See the Notice *2", TRUE, "")</f>
        <v/>
      </c>
      <c r="Y27" s="13"/>
      <c r="Z27" s="14" t="s">
        <v>271</v>
      </c>
      <c r="AA27" s="15" t="s">
        <v>254</v>
      </c>
      <c r="AB27" s="13"/>
      <c r="AC27" s="13"/>
    </row>
    <row r="28" spans="2:29" ht="10.25" customHeight="1" x14ac:dyDescent="0.55000000000000004">
      <c r="B28" s="14" t="s">
        <v>63</v>
      </c>
      <c r="C28" s="14">
        <v>19</v>
      </c>
      <c r="D28" s="15" t="s">
        <v>63</v>
      </c>
      <c r="E28" s="14" t="s">
        <v>673</v>
      </c>
      <c r="F28" s="14" t="s">
        <v>674</v>
      </c>
      <c r="G28" s="14" t="s">
        <v>675</v>
      </c>
      <c r="H28" s="14" t="s">
        <v>676</v>
      </c>
      <c r="I28" s="14" t="s">
        <v>677</v>
      </c>
      <c r="J28" s="14" t="s">
        <v>678</v>
      </c>
      <c r="K28" s="12" t="s">
        <v>272</v>
      </c>
      <c r="L28" s="14" t="s">
        <v>679</v>
      </c>
      <c r="M28" s="12" t="s">
        <v>272</v>
      </c>
      <c r="N28" s="12" t="s">
        <v>272</v>
      </c>
      <c r="O28" s="12" t="s">
        <v>272</v>
      </c>
      <c r="P28" s="12" t="s">
        <v>272</v>
      </c>
      <c r="Q28" s="12" t="s">
        <v>272</v>
      </c>
      <c r="R28" s="12" t="s">
        <v>272</v>
      </c>
      <c r="S28" s="12" t="s">
        <v>272</v>
      </c>
      <c r="T28" s="12" t="s">
        <v>272</v>
      </c>
      <c r="U28" s="12" t="s">
        <v>272</v>
      </c>
      <c r="V28" s="16"/>
      <c r="W28" s="12" t="s">
        <v>272</v>
      </c>
      <c r="X28" s="25" t="str">
        <f>_xlfn.IFS(AND(COUNTIF(V28,"SCB*")=1, 'PCH176'!J60&gt;=2), "See the Notice *2", TRUE, "")</f>
        <v/>
      </c>
      <c r="Y28" s="13"/>
      <c r="Z28" s="14" t="s">
        <v>271</v>
      </c>
      <c r="AA28" s="15" t="s">
        <v>254</v>
      </c>
      <c r="AB28" s="13"/>
      <c r="AC28" s="13"/>
    </row>
    <row r="29" spans="2:29" ht="10.25" customHeight="1" x14ac:dyDescent="0.55000000000000004">
      <c r="B29" s="14" t="s">
        <v>64</v>
      </c>
      <c r="C29" s="14">
        <v>20</v>
      </c>
      <c r="D29" s="15" t="s">
        <v>64</v>
      </c>
      <c r="E29" s="14" t="s">
        <v>680</v>
      </c>
      <c r="F29" s="14" t="s">
        <v>681</v>
      </c>
      <c r="G29" s="14" t="s">
        <v>682</v>
      </c>
      <c r="H29" s="14" t="s">
        <v>683</v>
      </c>
      <c r="I29" s="14" t="s">
        <v>684</v>
      </c>
      <c r="J29" s="12" t="s">
        <v>272</v>
      </c>
      <c r="K29" s="12" t="s">
        <v>272</v>
      </c>
      <c r="L29" s="14" t="s">
        <v>685</v>
      </c>
      <c r="M29" s="12" t="s">
        <v>272</v>
      </c>
      <c r="N29" s="12" t="s">
        <v>272</v>
      </c>
      <c r="O29" s="12" t="s">
        <v>272</v>
      </c>
      <c r="P29" s="12" t="s">
        <v>272</v>
      </c>
      <c r="Q29" s="12" t="s">
        <v>272</v>
      </c>
      <c r="R29" s="12" t="s">
        <v>272</v>
      </c>
      <c r="S29" s="12" t="s">
        <v>272</v>
      </c>
      <c r="T29" s="12" t="s">
        <v>272</v>
      </c>
      <c r="U29" s="12" t="s">
        <v>272</v>
      </c>
      <c r="V29" s="16"/>
      <c r="W29" s="12" t="s">
        <v>272</v>
      </c>
      <c r="X29" s="25" t="str">
        <f>_xlfn.IFS(AND(COUNTIF(V29,"SCB*")=1, 'PCH176'!J60&gt;=2), "See the Notice *2", TRUE, "")</f>
        <v/>
      </c>
      <c r="Y29" s="13"/>
      <c r="Z29" s="14" t="s">
        <v>271</v>
      </c>
      <c r="AA29" s="15" t="s">
        <v>254</v>
      </c>
      <c r="AB29" s="13"/>
      <c r="AC29" s="13"/>
    </row>
    <row r="30" spans="2:29" ht="10.25" customHeight="1" x14ac:dyDescent="0.55000000000000004">
      <c r="B30" s="14" t="s">
        <v>65</v>
      </c>
      <c r="C30" s="14">
        <v>21</v>
      </c>
      <c r="D30" s="15" t="s">
        <v>65</v>
      </c>
      <c r="E30" s="14" t="s">
        <v>686</v>
      </c>
      <c r="F30" s="14" t="s">
        <v>687</v>
      </c>
      <c r="G30" s="14" t="s">
        <v>688</v>
      </c>
      <c r="H30" s="14" t="s">
        <v>689</v>
      </c>
      <c r="I30" s="14" t="s">
        <v>690</v>
      </c>
      <c r="J30" s="12" t="s">
        <v>272</v>
      </c>
      <c r="K30" s="12" t="s">
        <v>272</v>
      </c>
      <c r="L30" s="14" t="s">
        <v>691</v>
      </c>
      <c r="M30" s="12" t="s">
        <v>272</v>
      </c>
      <c r="N30" s="12" t="s">
        <v>272</v>
      </c>
      <c r="O30" s="12" t="s">
        <v>272</v>
      </c>
      <c r="P30" s="12" t="s">
        <v>272</v>
      </c>
      <c r="Q30" s="12" t="s">
        <v>272</v>
      </c>
      <c r="R30" s="12" t="s">
        <v>272</v>
      </c>
      <c r="S30" s="12" t="s">
        <v>272</v>
      </c>
      <c r="T30" s="12" t="s">
        <v>272</v>
      </c>
      <c r="U30" s="12" t="s">
        <v>272</v>
      </c>
      <c r="V30" s="16"/>
      <c r="W30" s="12" t="s">
        <v>272</v>
      </c>
      <c r="X30" s="25" t="str">
        <f>_xlfn.IFS(AND(COUNTIF(V30,"SCB*")=1, 'PCH176'!J60&gt;=2), "See the Notice *2", TRUE, "")</f>
        <v/>
      </c>
      <c r="Y30" s="13"/>
      <c r="Z30" s="14" t="s">
        <v>271</v>
      </c>
      <c r="AA30" s="15" t="s">
        <v>254</v>
      </c>
      <c r="AB30" s="13"/>
      <c r="AC30" s="13"/>
    </row>
    <row r="31" spans="2:29" ht="10.25" customHeight="1" x14ac:dyDescent="0.55000000000000004">
      <c r="B31" s="17" t="s">
        <v>254</v>
      </c>
      <c r="C31" s="11">
        <v>22</v>
      </c>
      <c r="D31" s="12" t="s">
        <v>272</v>
      </c>
      <c r="E31" s="12" t="s">
        <v>272</v>
      </c>
      <c r="F31" s="12" t="s">
        <v>272</v>
      </c>
      <c r="G31" s="12" t="s">
        <v>272</v>
      </c>
      <c r="H31" s="12" t="s">
        <v>272</v>
      </c>
      <c r="I31" s="12" t="s">
        <v>272</v>
      </c>
      <c r="J31" s="12" t="s">
        <v>272</v>
      </c>
      <c r="K31" s="12" t="s">
        <v>272</v>
      </c>
      <c r="L31" s="12" t="s">
        <v>272</v>
      </c>
      <c r="M31" s="12" t="s">
        <v>272</v>
      </c>
      <c r="N31" s="12" t="s">
        <v>272</v>
      </c>
      <c r="O31" s="12" t="s">
        <v>272</v>
      </c>
      <c r="P31" s="12" t="s">
        <v>272</v>
      </c>
      <c r="Q31" s="12" t="s">
        <v>272</v>
      </c>
      <c r="R31" s="12" t="s">
        <v>272</v>
      </c>
      <c r="S31" s="12" t="s">
        <v>272</v>
      </c>
      <c r="T31" s="12" t="s">
        <v>272</v>
      </c>
      <c r="U31" s="12" t="s">
        <v>272</v>
      </c>
      <c r="V31" s="17" t="s">
        <v>254</v>
      </c>
      <c r="W31" s="12" t="s">
        <v>272</v>
      </c>
      <c r="X31" s="25"/>
      <c r="Y31" s="13" t="s">
        <v>530</v>
      </c>
      <c r="Z31" s="14" t="s">
        <v>1190</v>
      </c>
      <c r="AA31" s="15" t="s">
        <v>1190</v>
      </c>
      <c r="AB31" s="13"/>
      <c r="AC31" s="13"/>
    </row>
    <row r="32" spans="2:29" ht="10.25" customHeight="1" x14ac:dyDescent="0.55000000000000004">
      <c r="B32" s="10" t="s">
        <v>253</v>
      </c>
      <c r="C32" s="11">
        <v>23</v>
      </c>
      <c r="D32" s="12" t="s">
        <v>272</v>
      </c>
      <c r="E32" s="12" t="s">
        <v>272</v>
      </c>
      <c r="F32" s="12" t="s">
        <v>272</v>
      </c>
      <c r="G32" s="12" t="s">
        <v>272</v>
      </c>
      <c r="H32" s="12" t="s">
        <v>272</v>
      </c>
      <c r="I32" s="12" t="s">
        <v>272</v>
      </c>
      <c r="J32" s="12" t="s">
        <v>272</v>
      </c>
      <c r="K32" s="12" t="s">
        <v>272</v>
      </c>
      <c r="L32" s="12" t="s">
        <v>272</v>
      </c>
      <c r="M32" s="12" t="s">
        <v>272</v>
      </c>
      <c r="N32" s="12" t="s">
        <v>272</v>
      </c>
      <c r="O32" s="12" t="s">
        <v>272</v>
      </c>
      <c r="P32" s="12" t="s">
        <v>272</v>
      </c>
      <c r="Q32" s="12" t="s">
        <v>272</v>
      </c>
      <c r="R32" s="12" t="s">
        <v>272</v>
      </c>
      <c r="S32" s="12" t="s">
        <v>272</v>
      </c>
      <c r="T32" s="12" t="s">
        <v>272</v>
      </c>
      <c r="U32" s="12" t="s">
        <v>272</v>
      </c>
      <c r="V32" s="10" t="s">
        <v>253</v>
      </c>
      <c r="W32" s="12" t="s">
        <v>272</v>
      </c>
      <c r="X32" s="25"/>
      <c r="Y32" s="13" t="s">
        <v>531</v>
      </c>
      <c r="Z32" s="14" t="s">
        <v>1190</v>
      </c>
      <c r="AA32" s="15" t="s">
        <v>1190</v>
      </c>
      <c r="AB32" s="13"/>
      <c r="AC32" s="13"/>
    </row>
    <row r="33" spans="2:29" ht="10.25" customHeight="1" x14ac:dyDescent="0.55000000000000004">
      <c r="B33" s="14" t="s">
        <v>66</v>
      </c>
      <c r="C33" s="14">
        <v>24</v>
      </c>
      <c r="D33" s="15" t="s">
        <v>66</v>
      </c>
      <c r="E33" s="14" t="s">
        <v>629</v>
      </c>
      <c r="F33" s="14" t="s">
        <v>692</v>
      </c>
      <c r="G33" s="14" t="s">
        <v>631</v>
      </c>
      <c r="H33" s="14" t="s">
        <v>693</v>
      </c>
      <c r="I33" s="14" t="s">
        <v>67</v>
      </c>
      <c r="J33" s="14" t="s">
        <v>694</v>
      </c>
      <c r="K33" s="12" t="s">
        <v>272</v>
      </c>
      <c r="L33" s="14" t="s">
        <v>695</v>
      </c>
      <c r="M33" s="14" t="s">
        <v>24</v>
      </c>
      <c r="N33" s="12" t="s">
        <v>272</v>
      </c>
      <c r="O33" s="12" t="s">
        <v>272</v>
      </c>
      <c r="P33" s="14" t="s">
        <v>68</v>
      </c>
      <c r="Q33" s="12" t="s">
        <v>272</v>
      </c>
      <c r="R33" s="12" t="s">
        <v>272</v>
      </c>
      <c r="S33" s="12" t="s">
        <v>272</v>
      </c>
      <c r="T33" s="12" t="s">
        <v>272</v>
      </c>
      <c r="U33" s="12" t="s">
        <v>272</v>
      </c>
      <c r="V33" s="16"/>
      <c r="W33" s="12" t="s">
        <v>272</v>
      </c>
      <c r="X33" s="25" t="str">
        <f>_xlfn.IFS(AND(COUNTIF(V33,"SCB*")=1, 'PCH176'!I60&gt;=2), "See the Notice *2", TRUE, "")</f>
        <v/>
      </c>
      <c r="Y33" s="13"/>
      <c r="Z33" s="14" t="s">
        <v>271</v>
      </c>
      <c r="AA33" s="15" t="s">
        <v>254</v>
      </c>
      <c r="AB33" s="13"/>
      <c r="AC33" s="13"/>
    </row>
    <row r="34" spans="2:29" ht="10.25" customHeight="1" x14ac:dyDescent="0.55000000000000004">
      <c r="B34" s="14" t="s">
        <v>69</v>
      </c>
      <c r="C34" s="14">
        <v>25</v>
      </c>
      <c r="D34" s="15" t="s">
        <v>69</v>
      </c>
      <c r="E34" s="14" t="s">
        <v>621</v>
      </c>
      <c r="F34" s="14" t="s">
        <v>637</v>
      </c>
      <c r="G34" s="14" t="s">
        <v>623</v>
      </c>
      <c r="H34" s="14" t="s">
        <v>639</v>
      </c>
      <c r="I34" s="14" t="s">
        <v>70</v>
      </c>
      <c r="J34" s="14" t="s">
        <v>696</v>
      </c>
      <c r="K34" s="14" t="s">
        <v>697</v>
      </c>
      <c r="L34" s="14" t="s">
        <v>698</v>
      </c>
      <c r="M34" s="14" t="s">
        <v>26</v>
      </c>
      <c r="N34" s="12" t="s">
        <v>272</v>
      </c>
      <c r="O34" s="12" t="s">
        <v>272</v>
      </c>
      <c r="P34" s="14" t="s">
        <v>71</v>
      </c>
      <c r="Q34" s="12" t="s">
        <v>272</v>
      </c>
      <c r="R34" s="12" t="s">
        <v>272</v>
      </c>
      <c r="S34" s="12" t="s">
        <v>272</v>
      </c>
      <c r="T34" s="12" t="s">
        <v>272</v>
      </c>
      <c r="U34" s="12" t="s">
        <v>272</v>
      </c>
      <c r="V34" s="16"/>
      <c r="W34" s="12" t="s">
        <v>272</v>
      </c>
      <c r="X34" s="25" t="str">
        <f>_xlfn.IFS(AND(COUNTIF(V34,"SCB*")=1, 'PCH176'!I60&gt;=2), "See the Notice *2", TRUE, "")</f>
        <v/>
      </c>
      <c r="Y34" s="13"/>
      <c r="Z34" s="14" t="s">
        <v>271</v>
      </c>
      <c r="AA34" s="15" t="s">
        <v>254</v>
      </c>
      <c r="AB34" s="13"/>
      <c r="AC34" s="13"/>
    </row>
    <row r="35" spans="2:29" ht="10.25" customHeight="1" x14ac:dyDescent="0.55000000000000004">
      <c r="B35" s="14" t="s">
        <v>72</v>
      </c>
      <c r="C35" s="14">
        <v>26</v>
      </c>
      <c r="D35" s="15" t="s">
        <v>72</v>
      </c>
      <c r="E35" s="14" t="s">
        <v>613</v>
      </c>
      <c r="F35" s="14" t="s">
        <v>630</v>
      </c>
      <c r="G35" s="14" t="s">
        <v>615</v>
      </c>
      <c r="H35" s="14" t="s">
        <v>632</v>
      </c>
      <c r="I35" s="14" t="s">
        <v>73</v>
      </c>
      <c r="J35" s="14" t="s">
        <v>699</v>
      </c>
      <c r="K35" s="14" t="s">
        <v>700</v>
      </c>
      <c r="L35" s="14" t="s">
        <v>701</v>
      </c>
      <c r="M35" s="14" t="s">
        <v>28</v>
      </c>
      <c r="N35" s="12" t="s">
        <v>272</v>
      </c>
      <c r="O35" s="12" t="s">
        <v>272</v>
      </c>
      <c r="P35" s="14" t="s">
        <v>74</v>
      </c>
      <c r="Q35" s="12" t="s">
        <v>272</v>
      </c>
      <c r="R35" s="12" t="s">
        <v>272</v>
      </c>
      <c r="S35" s="12" t="s">
        <v>272</v>
      </c>
      <c r="T35" s="12" t="s">
        <v>272</v>
      </c>
      <c r="U35" s="12" t="s">
        <v>272</v>
      </c>
      <c r="V35" s="16"/>
      <c r="W35" s="12" t="s">
        <v>272</v>
      </c>
      <c r="X35" s="25" t="str">
        <f>_xlfn.IFS(AND(COUNTIF(V35,"SCB*")=1, 'PCH176'!I60&gt;=2), "See the Notice *2", TRUE, "")</f>
        <v/>
      </c>
      <c r="Y35" s="13"/>
      <c r="Z35" s="14" t="s">
        <v>271</v>
      </c>
      <c r="AA35" s="15" t="s">
        <v>254</v>
      </c>
      <c r="AB35" s="13"/>
      <c r="AC35" s="13"/>
    </row>
    <row r="36" spans="2:29" ht="10.25" customHeight="1" x14ac:dyDescent="0.55000000000000004">
      <c r="B36" s="14" t="s">
        <v>75</v>
      </c>
      <c r="C36" s="14">
        <v>27</v>
      </c>
      <c r="D36" s="15" t="s">
        <v>75</v>
      </c>
      <c r="E36" s="14" t="s">
        <v>606</v>
      </c>
      <c r="F36" s="14" t="s">
        <v>622</v>
      </c>
      <c r="G36" s="14" t="s">
        <v>608</v>
      </c>
      <c r="H36" s="14" t="s">
        <v>624</v>
      </c>
      <c r="I36" s="14" t="s">
        <v>76</v>
      </c>
      <c r="J36" s="14" t="s">
        <v>702</v>
      </c>
      <c r="K36" s="12" t="s">
        <v>272</v>
      </c>
      <c r="L36" s="14" t="s">
        <v>703</v>
      </c>
      <c r="M36" s="12" t="s">
        <v>272</v>
      </c>
      <c r="N36" s="14" t="s">
        <v>29</v>
      </c>
      <c r="O36" s="12" t="s">
        <v>272</v>
      </c>
      <c r="P36" s="14" t="s">
        <v>77</v>
      </c>
      <c r="Q36" s="12" t="s">
        <v>272</v>
      </c>
      <c r="R36" s="12" t="s">
        <v>272</v>
      </c>
      <c r="S36" s="12" t="s">
        <v>272</v>
      </c>
      <c r="T36" s="12" t="s">
        <v>272</v>
      </c>
      <c r="U36" s="12" t="s">
        <v>272</v>
      </c>
      <c r="V36" s="16"/>
      <c r="W36" s="12" t="s">
        <v>272</v>
      </c>
      <c r="X36" s="25" t="str">
        <f>_xlfn.IFS(AND(COUNTIF(V36,"SCB*")=1, 'PCH176'!I60&gt;=2), "See the Notice *2", TRUE, "")</f>
        <v/>
      </c>
      <c r="Y36" s="13"/>
      <c r="Z36" s="14" t="s">
        <v>271</v>
      </c>
      <c r="AA36" s="15" t="s">
        <v>254</v>
      </c>
      <c r="AB36" s="13"/>
      <c r="AC36" s="13"/>
    </row>
    <row r="37" spans="2:29" ht="10.25" customHeight="1" x14ac:dyDescent="0.55000000000000004">
      <c r="B37" s="14" t="s">
        <v>78</v>
      </c>
      <c r="C37" s="14">
        <v>28</v>
      </c>
      <c r="D37" s="15" t="s">
        <v>78</v>
      </c>
      <c r="E37" s="14" t="s">
        <v>601</v>
      </c>
      <c r="F37" s="14" t="s">
        <v>614</v>
      </c>
      <c r="G37" s="14" t="s">
        <v>603</v>
      </c>
      <c r="H37" s="14" t="s">
        <v>616</v>
      </c>
      <c r="I37" s="12" t="s">
        <v>272</v>
      </c>
      <c r="J37" s="12" t="s">
        <v>272</v>
      </c>
      <c r="K37" s="12" t="s">
        <v>272</v>
      </c>
      <c r="L37" s="14" t="s">
        <v>704</v>
      </c>
      <c r="M37" s="12" t="s">
        <v>272</v>
      </c>
      <c r="N37" s="14" t="s">
        <v>31</v>
      </c>
      <c r="O37" s="12" t="s">
        <v>272</v>
      </c>
      <c r="P37" s="12" t="s">
        <v>272</v>
      </c>
      <c r="Q37" s="12" t="s">
        <v>272</v>
      </c>
      <c r="R37" s="12" t="s">
        <v>272</v>
      </c>
      <c r="S37" s="12" t="s">
        <v>272</v>
      </c>
      <c r="T37" s="12" t="s">
        <v>272</v>
      </c>
      <c r="U37" s="12" t="s">
        <v>272</v>
      </c>
      <c r="V37" s="16"/>
      <c r="W37" s="12" t="s">
        <v>272</v>
      </c>
      <c r="X37" s="25" t="str">
        <f>_xlfn.IFS(AND(COUNTIF(V37,"SCB*")=1, 'PCH176'!I60&gt;=2), "See the Notice *2", TRUE, "")</f>
        <v/>
      </c>
      <c r="Y37" s="13"/>
      <c r="Z37" s="14" t="s">
        <v>271</v>
      </c>
      <c r="AA37" s="15" t="s">
        <v>254</v>
      </c>
      <c r="AB37" s="13"/>
      <c r="AC37" s="13"/>
    </row>
    <row r="38" spans="2:29" ht="10.25" customHeight="1" x14ac:dyDescent="0.55000000000000004">
      <c r="B38" s="14" t="s">
        <v>79</v>
      </c>
      <c r="C38" s="14">
        <v>29</v>
      </c>
      <c r="D38" s="15" t="s">
        <v>79</v>
      </c>
      <c r="E38" s="14" t="s">
        <v>705</v>
      </c>
      <c r="F38" s="14" t="s">
        <v>607</v>
      </c>
      <c r="G38" s="14" t="s">
        <v>706</v>
      </c>
      <c r="H38" s="14" t="s">
        <v>609</v>
      </c>
      <c r="I38" s="12" t="s">
        <v>272</v>
      </c>
      <c r="J38" s="12" t="s">
        <v>272</v>
      </c>
      <c r="K38" s="12" t="s">
        <v>272</v>
      </c>
      <c r="L38" s="14" t="s">
        <v>707</v>
      </c>
      <c r="M38" s="14" t="s">
        <v>80</v>
      </c>
      <c r="N38" s="12" t="s">
        <v>272</v>
      </c>
      <c r="O38" s="12" t="s">
        <v>272</v>
      </c>
      <c r="P38" s="12" t="s">
        <v>272</v>
      </c>
      <c r="Q38" s="12" t="s">
        <v>272</v>
      </c>
      <c r="R38" s="12" t="s">
        <v>272</v>
      </c>
      <c r="S38" s="12" t="s">
        <v>272</v>
      </c>
      <c r="T38" s="12" t="s">
        <v>272</v>
      </c>
      <c r="U38" s="12" t="s">
        <v>272</v>
      </c>
      <c r="V38" s="16"/>
      <c r="W38" s="12" t="s">
        <v>272</v>
      </c>
      <c r="X38" s="25" t="str">
        <f>_xlfn.IFS(AND(COUNTIF(V38,"SCB*")=1, 'PCH176'!I60&gt;=2), "See the Notice *2", TRUE, "")</f>
        <v/>
      </c>
      <c r="Y38" s="13"/>
      <c r="Z38" s="14" t="s">
        <v>271</v>
      </c>
      <c r="AA38" s="15" t="s">
        <v>254</v>
      </c>
      <c r="AB38" s="13"/>
      <c r="AC38" s="13"/>
    </row>
    <row r="39" spans="2:29" ht="10.25" customHeight="1" x14ac:dyDescent="0.55000000000000004">
      <c r="B39" s="14" t="s">
        <v>81</v>
      </c>
      <c r="C39" s="14">
        <v>30</v>
      </c>
      <c r="D39" s="15" t="s">
        <v>81</v>
      </c>
      <c r="E39" s="14" t="s">
        <v>596</v>
      </c>
      <c r="F39" s="14" t="s">
        <v>708</v>
      </c>
      <c r="G39" s="14" t="s">
        <v>598</v>
      </c>
      <c r="H39" s="14" t="s">
        <v>709</v>
      </c>
      <c r="I39" s="12" t="s">
        <v>272</v>
      </c>
      <c r="J39" s="12" t="s">
        <v>272</v>
      </c>
      <c r="K39" s="12" t="s">
        <v>272</v>
      </c>
      <c r="L39" s="12" t="s">
        <v>272</v>
      </c>
      <c r="M39" s="14" t="s">
        <v>82</v>
      </c>
      <c r="N39" s="12" t="s">
        <v>272</v>
      </c>
      <c r="O39" s="12" t="s">
        <v>272</v>
      </c>
      <c r="P39" s="12" t="s">
        <v>272</v>
      </c>
      <c r="Q39" s="12" t="s">
        <v>272</v>
      </c>
      <c r="R39" s="12" t="s">
        <v>272</v>
      </c>
      <c r="S39" s="12" t="s">
        <v>272</v>
      </c>
      <c r="T39" s="12" t="s">
        <v>272</v>
      </c>
      <c r="U39" s="12" t="s">
        <v>272</v>
      </c>
      <c r="V39" s="16"/>
      <c r="W39" s="12" t="s">
        <v>272</v>
      </c>
      <c r="X39" s="25"/>
      <c r="Y39" s="13"/>
      <c r="Z39" s="14" t="s">
        <v>271</v>
      </c>
      <c r="AA39" s="15" t="s">
        <v>254</v>
      </c>
      <c r="AB39" s="13"/>
      <c r="AC39" s="13"/>
    </row>
    <row r="40" spans="2:29" ht="10.25" customHeight="1" x14ac:dyDescent="0.55000000000000004">
      <c r="B40" s="14" t="s">
        <v>83</v>
      </c>
      <c r="C40" s="14">
        <v>31</v>
      </c>
      <c r="D40" s="15" t="s">
        <v>83</v>
      </c>
      <c r="E40" s="14" t="s">
        <v>591</v>
      </c>
      <c r="F40" s="14" t="s">
        <v>602</v>
      </c>
      <c r="G40" s="14" t="s">
        <v>593</v>
      </c>
      <c r="H40" s="14" t="s">
        <v>604</v>
      </c>
      <c r="I40" s="12" t="s">
        <v>272</v>
      </c>
      <c r="J40" s="12" t="s">
        <v>272</v>
      </c>
      <c r="K40" s="12" t="s">
        <v>272</v>
      </c>
      <c r="L40" s="12" t="s">
        <v>272</v>
      </c>
      <c r="M40" s="14" t="s">
        <v>84</v>
      </c>
      <c r="N40" s="12" t="s">
        <v>272</v>
      </c>
      <c r="O40" s="12" t="s">
        <v>272</v>
      </c>
      <c r="P40" s="12" t="s">
        <v>272</v>
      </c>
      <c r="Q40" s="12" t="s">
        <v>272</v>
      </c>
      <c r="R40" s="12" t="s">
        <v>272</v>
      </c>
      <c r="S40" s="12" t="s">
        <v>272</v>
      </c>
      <c r="T40" s="12" t="s">
        <v>272</v>
      </c>
      <c r="U40" s="12" t="s">
        <v>272</v>
      </c>
      <c r="V40" s="16"/>
      <c r="W40" s="12" t="s">
        <v>272</v>
      </c>
      <c r="X40" s="25"/>
      <c r="Y40" s="13"/>
      <c r="Z40" s="14" t="s">
        <v>271</v>
      </c>
      <c r="AA40" s="15" t="s">
        <v>254</v>
      </c>
      <c r="AB40" s="13"/>
      <c r="AC40" s="13"/>
    </row>
    <row r="41" spans="2:29" ht="10.25" customHeight="1" x14ac:dyDescent="0.55000000000000004">
      <c r="B41" s="14" t="s">
        <v>85</v>
      </c>
      <c r="C41" s="14">
        <v>32</v>
      </c>
      <c r="D41" s="15" t="s">
        <v>85</v>
      </c>
      <c r="E41" s="14" t="s">
        <v>586</v>
      </c>
      <c r="F41" s="14" t="s">
        <v>597</v>
      </c>
      <c r="G41" s="14" t="s">
        <v>588</v>
      </c>
      <c r="H41" s="14" t="s">
        <v>599</v>
      </c>
      <c r="I41" s="12" t="s">
        <v>272</v>
      </c>
      <c r="J41" s="12" t="s">
        <v>272</v>
      </c>
      <c r="K41" s="12" t="s">
        <v>272</v>
      </c>
      <c r="L41" s="12" t="s">
        <v>272</v>
      </c>
      <c r="M41" s="14" t="s">
        <v>86</v>
      </c>
      <c r="N41" s="12" t="s">
        <v>272</v>
      </c>
      <c r="O41" s="12" t="s">
        <v>272</v>
      </c>
      <c r="P41" s="12" t="s">
        <v>272</v>
      </c>
      <c r="Q41" s="12" t="s">
        <v>272</v>
      </c>
      <c r="R41" s="12" t="s">
        <v>272</v>
      </c>
      <c r="S41" s="12" t="s">
        <v>272</v>
      </c>
      <c r="T41" s="12" t="s">
        <v>272</v>
      </c>
      <c r="U41" s="12" t="s">
        <v>272</v>
      </c>
      <c r="V41" s="16"/>
      <c r="W41" s="12" t="s">
        <v>272</v>
      </c>
      <c r="X41" s="25"/>
      <c r="Y41" s="13"/>
      <c r="Z41" s="14" t="s">
        <v>271</v>
      </c>
      <c r="AA41" s="15" t="s">
        <v>254</v>
      </c>
      <c r="AB41" s="13"/>
      <c r="AC41" s="13"/>
    </row>
    <row r="42" spans="2:29" ht="10.25" customHeight="1" x14ac:dyDescent="0.55000000000000004">
      <c r="B42" s="14" t="s">
        <v>87</v>
      </c>
      <c r="C42" s="14">
        <v>33</v>
      </c>
      <c r="D42" s="15" t="s">
        <v>87</v>
      </c>
      <c r="E42" s="14" t="s">
        <v>581</v>
      </c>
      <c r="F42" s="14" t="s">
        <v>592</v>
      </c>
      <c r="G42" s="14" t="s">
        <v>583</v>
      </c>
      <c r="H42" s="14" t="s">
        <v>594</v>
      </c>
      <c r="I42" s="12" t="s">
        <v>272</v>
      </c>
      <c r="J42" s="12" t="s">
        <v>272</v>
      </c>
      <c r="K42" s="12" t="s">
        <v>272</v>
      </c>
      <c r="L42" s="12" t="s">
        <v>272</v>
      </c>
      <c r="M42" s="14" t="s">
        <v>88</v>
      </c>
      <c r="N42" s="12" t="s">
        <v>272</v>
      </c>
      <c r="O42" s="12" t="s">
        <v>272</v>
      </c>
      <c r="P42" s="12" t="s">
        <v>272</v>
      </c>
      <c r="Q42" s="12" t="s">
        <v>272</v>
      </c>
      <c r="R42" s="12" t="s">
        <v>272</v>
      </c>
      <c r="S42" s="12" t="s">
        <v>272</v>
      </c>
      <c r="T42" s="12" t="s">
        <v>272</v>
      </c>
      <c r="U42" s="12" t="s">
        <v>272</v>
      </c>
      <c r="V42" s="16"/>
      <c r="W42" s="12" t="s">
        <v>272</v>
      </c>
      <c r="X42" s="25"/>
      <c r="Y42" s="13"/>
      <c r="Z42" s="14" t="s">
        <v>271</v>
      </c>
      <c r="AA42" s="15" t="s">
        <v>254</v>
      </c>
      <c r="AB42" s="13"/>
      <c r="AC42" s="13"/>
    </row>
    <row r="43" spans="2:29" ht="10.25" customHeight="1" x14ac:dyDescent="0.55000000000000004">
      <c r="B43" s="14" t="s">
        <v>89</v>
      </c>
      <c r="C43" s="14">
        <v>34</v>
      </c>
      <c r="D43" s="15" t="s">
        <v>89</v>
      </c>
      <c r="E43" s="14" t="s">
        <v>576</v>
      </c>
      <c r="F43" s="14" t="s">
        <v>587</v>
      </c>
      <c r="G43" s="14" t="s">
        <v>578</v>
      </c>
      <c r="H43" s="14" t="s">
        <v>589</v>
      </c>
      <c r="I43" s="12" t="s">
        <v>272</v>
      </c>
      <c r="J43" s="12" t="s">
        <v>272</v>
      </c>
      <c r="K43" s="12" t="s">
        <v>272</v>
      </c>
      <c r="L43" s="12" t="s">
        <v>272</v>
      </c>
      <c r="M43" s="14" t="s">
        <v>90</v>
      </c>
      <c r="N43" s="12" t="s">
        <v>272</v>
      </c>
      <c r="O43" s="12" t="s">
        <v>272</v>
      </c>
      <c r="P43" s="12" t="s">
        <v>272</v>
      </c>
      <c r="Q43" s="12" t="s">
        <v>272</v>
      </c>
      <c r="R43" s="12" t="s">
        <v>272</v>
      </c>
      <c r="S43" s="12" t="s">
        <v>272</v>
      </c>
      <c r="T43" s="12" t="s">
        <v>272</v>
      </c>
      <c r="U43" s="12" t="s">
        <v>272</v>
      </c>
      <c r="V43" s="16"/>
      <c r="W43" s="12" t="s">
        <v>272</v>
      </c>
      <c r="X43" s="25"/>
      <c r="Y43" s="13"/>
      <c r="Z43" s="14" t="s">
        <v>271</v>
      </c>
      <c r="AA43" s="15" t="s">
        <v>254</v>
      </c>
      <c r="AB43" s="13"/>
      <c r="AC43" s="13"/>
    </row>
    <row r="44" spans="2:29" ht="10.25" customHeight="1" x14ac:dyDescent="0.55000000000000004">
      <c r="B44" s="14" t="s">
        <v>91</v>
      </c>
      <c r="C44" s="14">
        <v>35</v>
      </c>
      <c r="D44" s="15" t="s">
        <v>91</v>
      </c>
      <c r="E44" s="14" t="s">
        <v>686</v>
      </c>
      <c r="F44" s="14" t="s">
        <v>582</v>
      </c>
      <c r="G44" s="14" t="s">
        <v>688</v>
      </c>
      <c r="H44" s="14" t="s">
        <v>584</v>
      </c>
      <c r="I44" s="12" t="s">
        <v>272</v>
      </c>
      <c r="J44" s="14" t="s">
        <v>710</v>
      </c>
      <c r="K44" s="12" t="s">
        <v>272</v>
      </c>
      <c r="L44" s="14" t="s">
        <v>711</v>
      </c>
      <c r="M44" s="14" t="s">
        <v>92</v>
      </c>
      <c r="N44" s="12" t="s">
        <v>272</v>
      </c>
      <c r="O44" s="12" t="s">
        <v>272</v>
      </c>
      <c r="P44" s="12" t="s">
        <v>272</v>
      </c>
      <c r="Q44" s="12" t="s">
        <v>272</v>
      </c>
      <c r="R44" s="12" t="s">
        <v>272</v>
      </c>
      <c r="S44" s="12" t="s">
        <v>272</v>
      </c>
      <c r="T44" s="12" t="s">
        <v>272</v>
      </c>
      <c r="U44" s="14" t="s">
        <v>274</v>
      </c>
      <c r="V44" s="16"/>
      <c r="W44" s="12" t="s">
        <v>272</v>
      </c>
      <c r="X44" s="25" t="str">
        <f>_xlfn.IFS(AND(COUNTIF(V44,"SCB*")=1, 'PCH176'!H60&gt;=2), "See the Notice *2", TRUE, "")</f>
        <v/>
      </c>
      <c r="Y44" s="13"/>
      <c r="Z44" s="14" t="s">
        <v>271</v>
      </c>
      <c r="AA44" s="15" t="s">
        <v>1200</v>
      </c>
      <c r="AB44" s="13"/>
      <c r="AC44" s="13"/>
    </row>
    <row r="45" spans="2:29" ht="10.25" customHeight="1" x14ac:dyDescent="0.55000000000000004">
      <c r="B45" s="14" t="s">
        <v>93</v>
      </c>
      <c r="C45" s="14">
        <v>36</v>
      </c>
      <c r="D45" s="15" t="s">
        <v>93</v>
      </c>
      <c r="E45" s="14" t="s">
        <v>656</v>
      </c>
      <c r="F45" s="14" t="s">
        <v>692</v>
      </c>
      <c r="G45" s="14" t="s">
        <v>658</v>
      </c>
      <c r="H45" s="14" t="s">
        <v>693</v>
      </c>
      <c r="I45" s="12" t="s">
        <v>272</v>
      </c>
      <c r="J45" s="14" t="s">
        <v>712</v>
      </c>
      <c r="K45" s="14" t="s">
        <v>713</v>
      </c>
      <c r="L45" s="14" t="s">
        <v>714</v>
      </c>
      <c r="M45" s="14" t="s">
        <v>94</v>
      </c>
      <c r="N45" s="12" t="s">
        <v>272</v>
      </c>
      <c r="O45" s="12" t="s">
        <v>272</v>
      </c>
      <c r="P45" s="12" t="s">
        <v>272</v>
      </c>
      <c r="Q45" s="12" t="s">
        <v>272</v>
      </c>
      <c r="R45" s="12" t="s">
        <v>272</v>
      </c>
      <c r="S45" s="12" t="s">
        <v>272</v>
      </c>
      <c r="T45" s="12" t="s">
        <v>272</v>
      </c>
      <c r="U45" s="14" t="s">
        <v>275</v>
      </c>
      <c r="V45" s="16"/>
      <c r="W45" s="12" t="s">
        <v>272</v>
      </c>
      <c r="X45" s="25" t="str">
        <f>_xlfn.IFS(AND(COUNTIF(V45,"SCB*")=1, 'PCH176'!H60&gt;=2), "See the Notice *2", TRUE, "")</f>
        <v/>
      </c>
      <c r="Y45" s="13"/>
      <c r="Z45" s="14" t="s">
        <v>271</v>
      </c>
      <c r="AA45" s="15" t="s">
        <v>1200</v>
      </c>
      <c r="AB45" s="13"/>
      <c r="AC45" s="13"/>
    </row>
    <row r="46" spans="2:29" ht="10.25" customHeight="1" x14ac:dyDescent="0.55000000000000004">
      <c r="B46" s="14" t="s">
        <v>95</v>
      </c>
      <c r="C46" s="14">
        <v>37</v>
      </c>
      <c r="D46" s="15" t="s">
        <v>95</v>
      </c>
      <c r="E46" s="14" t="s">
        <v>680</v>
      </c>
      <c r="F46" s="14" t="s">
        <v>666</v>
      </c>
      <c r="G46" s="14" t="s">
        <v>682</v>
      </c>
      <c r="H46" s="14" t="s">
        <v>668</v>
      </c>
      <c r="I46" s="12" t="s">
        <v>272</v>
      </c>
      <c r="J46" s="14" t="s">
        <v>715</v>
      </c>
      <c r="K46" s="14" t="s">
        <v>716</v>
      </c>
      <c r="L46" s="14" t="s">
        <v>717</v>
      </c>
      <c r="M46" s="14" t="s">
        <v>96</v>
      </c>
      <c r="N46" s="14" t="s">
        <v>97</v>
      </c>
      <c r="O46" s="12" t="s">
        <v>272</v>
      </c>
      <c r="P46" s="12" t="s">
        <v>272</v>
      </c>
      <c r="Q46" s="12" t="s">
        <v>272</v>
      </c>
      <c r="R46" s="12" t="s">
        <v>272</v>
      </c>
      <c r="S46" s="12" t="s">
        <v>272</v>
      </c>
      <c r="T46" s="12" t="s">
        <v>272</v>
      </c>
      <c r="U46" s="14" t="s">
        <v>276</v>
      </c>
      <c r="V46" s="16"/>
      <c r="W46" s="12" t="s">
        <v>272</v>
      </c>
      <c r="X46" s="25" t="str">
        <f>_xlfn.IFS(AND(COUNTIF(V46,"SCB*")=1, 'PCH176'!H60&gt;=2), "See the Notice *2", TRUE, "")</f>
        <v/>
      </c>
      <c r="Y46" s="13"/>
      <c r="Z46" s="14" t="s">
        <v>271</v>
      </c>
      <c r="AA46" s="15" t="s">
        <v>1200</v>
      </c>
      <c r="AB46" s="13"/>
      <c r="AC46" s="13"/>
    </row>
    <row r="47" spans="2:29" ht="10.25" customHeight="1" x14ac:dyDescent="0.55000000000000004">
      <c r="B47" s="14" t="s">
        <v>98</v>
      </c>
      <c r="C47" s="14">
        <v>38</v>
      </c>
      <c r="D47" s="15" t="s">
        <v>98</v>
      </c>
      <c r="E47" s="14" t="s">
        <v>648</v>
      </c>
      <c r="F47" s="14" t="s">
        <v>687</v>
      </c>
      <c r="G47" s="14" t="s">
        <v>650</v>
      </c>
      <c r="H47" s="14" t="s">
        <v>689</v>
      </c>
      <c r="I47" s="12" t="s">
        <v>272</v>
      </c>
      <c r="J47" s="14" t="s">
        <v>718</v>
      </c>
      <c r="K47" s="12" t="s">
        <v>272</v>
      </c>
      <c r="L47" s="14" t="s">
        <v>719</v>
      </c>
      <c r="M47" s="14" t="s">
        <v>99</v>
      </c>
      <c r="N47" s="14" t="s">
        <v>100</v>
      </c>
      <c r="O47" s="12" t="s">
        <v>272</v>
      </c>
      <c r="P47" s="12" t="s">
        <v>272</v>
      </c>
      <c r="Q47" s="14" t="s">
        <v>101</v>
      </c>
      <c r="R47" s="12" t="s">
        <v>272</v>
      </c>
      <c r="S47" s="12" t="s">
        <v>272</v>
      </c>
      <c r="T47" s="12" t="s">
        <v>272</v>
      </c>
      <c r="U47" s="14" t="s">
        <v>277</v>
      </c>
      <c r="V47" s="16"/>
      <c r="W47" s="12" t="s">
        <v>272</v>
      </c>
      <c r="X47" s="25" t="str">
        <f>_xlfn.IFS(AND(COUNTIF(V47,"SCB*")=1, 'PCH176'!H60&gt;=2), "See the Notice *2", TRUE, "")</f>
        <v/>
      </c>
      <c r="Y47" s="13"/>
      <c r="Z47" s="14" t="s">
        <v>271</v>
      </c>
      <c r="AA47" s="15" t="s">
        <v>1200</v>
      </c>
      <c r="AB47" s="13"/>
      <c r="AC47" s="13"/>
    </row>
    <row r="48" spans="2:29" ht="10.25" customHeight="1" x14ac:dyDescent="0.55000000000000004">
      <c r="B48" s="14" t="s">
        <v>102</v>
      </c>
      <c r="C48" s="14">
        <v>39</v>
      </c>
      <c r="D48" s="15" t="s">
        <v>102</v>
      </c>
      <c r="E48" s="14" t="s">
        <v>673</v>
      </c>
      <c r="F48" s="14" t="s">
        <v>657</v>
      </c>
      <c r="G48" s="14" t="s">
        <v>675</v>
      </c>
      <c r="H48" s="14" t="s">
        <v>659</v>
      </c>
      <c r="I48" s="12" t="s">
        <v>272</v>
      </c>
      <c r="J48" s="12" t="s">
        <v>272</v>
      </c>
      <c r="K48" s="12" t="s">
        <v>272</v>
      </c>
      <c r="L48" s="14" t="s">
        <v>720</v>
      </c>
      <c r="M48" s="14" t="s">
        <v>103</v>
      </c>
      <c r="N48" s="12" t="s">
        <v>272</v>
      </c>
      <c r="O48" s="12" t="s">
        <v>272</v>
      </c>
      <c r="P48" s="12" t="s">
        <v>272</v>
      </c>
      <c r="Q48" s="12" t="s">
        <v>272</v>
      </c>
      <c r="R48" s="12" t="s">
        <v>272</v>
      </c>
      <c r="S48" s="12" t="s">
        <v>272</v>
      </c>
      <c r="T48" s="12" t="s">
        <v>272</v>
      </c>
      <c r="U48" s="14" t="s">
        <v>278</v>
      </c>
      <c r="V48" s="16"/>
      <c r="W48" s="12" t="s">
        <v>272</v>
      </c>
      <c r="X48" s="25" t="str">
        <f>_xlfn.IFS(AND(COUNTIF(V48,"SCB*")=1, 'PCH176'!H60&gt;=2), "See the Notice *2", TRUE, "")</f>
        <v/>
      </c>
      <c r="Y48" s="13"/>
      <c r="Z48" s="14" t="s">
        <v>271</v>
      </c>
      <c r="AA48" s="15" t="s">
        <v>1200</v>
      </c>
      <c r="AB48" s="13"/>
      <c r="AC48" s="13"/>
    </row>
    <row r="49" spans="2:29" ht="10.25" customHeight="1" x14ac:dyDescent="0.55000000000000004">
      <c r="B49" s="14" t="s">
        <v>104</v>
      </c>
      <c r="C49" s="14">
        <v>40</v>
      </c>
      <c r="D49" s="15" t="s">
        <v>104</v>
      </c>
      <c r="E49" s="14" t="s">
        <v>642</v>
      </c>
      <c r="F49" s="14" t="s">
        <v>681</v>
      </c>
      <c r="G49" s="14" t="s">
        <v>644</v>
      </c>
      <c r="H49" s="14" t="s">
        <v>683</v>
      </c>
      <c r="I49" s="12" t="s">
        <v>272</v>
      </c>
      <c r="J49" s="12" t="s">
        <v>272</v>
      </c>
      <c r="K49" s="12" t="s">
        <v>272</v>
      </c>
      <c r="L49" s="14" t="s">
        <v>721</v>
      </c>
      <c r="M49" s="14" t="s">
        <v>105</v>
      </c>
      <c r="N49" s="12" t="s">
        <v>272</v>
      </c>
      <c r="O49" s="12" t="s">
        <v>272</v>
      </c>
      <c r="P49" s="12" t="s">
        <v>272</v>
      </c>
      <c r="Q49" s="12" t="s">
        <v>272</v>
      </c>
      <c r="R49" s="12" t="s">
        <v>272</v>
      </c>
      <c r="S49" s="12" t="s">
        <v>272</v>
      </c>
      <c r="T49" s="12" t="s">
        <v>272</v>
      </c>
      <c r="U49" s="14" t="s">
        <v>279</v>
      </c>
      <c r="V49" s="16"/>
      <c r="W49" s="12" t="s">
        <v>272</v>
      </c>
      <c r="X49" s="25" t="str">
        <f>_xlfn.IFS(AND(COUNTIF(V49,"SCB*")=1, 'PCH176'!H60&gt;=2), "See the Notice *2", TRUE, "")</f>
        <v/>
      </c>
      <c r="Y49" s="13"/>
      <c r="Z49" s="14" t="s">
        <v>271</v>
      </c>
      <c r="AA49" s="15" t="s">
        <v>1200</v>
      </c>
      <c r="AB49" s="13"/>
      <c r="AC49" s="13"/>
    </row>
    <row r="50" spans="2:29" ht="10.25" customHeight="1" x14ac:dyDescent="0.55000000000000004">
      <c r="B50" s="14" t="s">
        <v>106</v>
      </c>
      <c r="C50" s="14">
        <v>41</v>
      </c>
      <c r="D50" s="15" t="s">
        <v>106</v>
      </c>
      <c r="E50" s="14" t="s">
        <v>665</v>
      </c>
      <c r="F50" s="14" t="s">
        <v>649</v>
      </c>
      <c r="G50" s="14" t="s">
        <v>667</v>
      </c>
      <c r="H50" s="14" t="s">
        <v>651</v>
      </c>
      <c r="I50" s="12" t="s">
        <v>272</v>
      </c>
      <c r="J50" s="12" t="s">
        <v>272</v>
      </c>
      <c r="K50" s="12" t="s">
        <v>272</v>
      </c>
      <c r="L50" s="14" t="s">
        <v>722</v>
      </c>
      <c r="M50" s="12" t="s">
        <v>272</v>
      </c>
      <c r="N50" s="12" t="s">
        <v>272</v>
      </c>
      <c r="O50" s="12" t="s">
        <v>272</v>
      </c>
      <c r="P50" s="14" t="s">
        <v>107</v>
      </c>
      <c r="Q50" s="12" t="s">
        <v>272</v>
      </c>
      <c r="R50" s="12" t="s">
        <v>272</v>
      </c>
      <c r="S50" s="12" t="s">
        <v>272</v>
      </c>
      <c r="T50" s="12" t="s">
        <v>272</v>
      </c>
      <c r="U50" s="14" t="s">
        <v>280</v>
      </c>
      <c r="V50" s="16"/>
      <c r="W50" s="12" t="s">
        <v>272</v>
      </c>
      <c r="X50" s="25" t="str">
        <f>_xlfn.IFS(AND(COUNTIF(V50,"SCB*")=1, 'PCH176'!H60&gt;=2), "See the Notice *2", TRUE, "")</f>
        <v/>
      </c>
      <c r="Y50" s="13"/>
      <c r="Z50" s="14" t="s">
        <v>271</v>
      </c>
      <c r="AA50" s="15" t="s">
        <v>1200</v>
      </c>
      <c r="AB50" s="13"/>
      <c r="AC50" s="13"/>
    </row>
    <row r="51" spans="2:29" ht="10.25" customHeight="1" x14ac:dyDescent="0.55000000000000004">
      <c r="B51" s="14" t="s">
        <v>108</v>
      </c>
      <c r="C51" s="14">
        <v>42</v>
      </c>
      <c r="D51" s="15" t="s">
        <v>108</v>
      </c>
      <c r="E51" s="14" t="s">
        <v>636</v>
      </c>
      <c r="F51" s="14" t="s">
        <v>674</v>
      </c>
      <c r="G51" s="14" t="s">
        <v>638</v>
      </c>
      <c r="H51" s="14" t="s">
        <v>676</v>
      </c>
      <c r="I51" s="12" t="s">
        <v>272</v>
      </c>
      <c r="J51" s="12" t="s">
        <v>272</v>
      </c>
      <c r="K51" s="12" t="s">
        <v>272</v>
      </c>
      <c r="L51" s="12" t="s">
        <v>272</v>
      </c>
      <c r="M51" s="12" t="s">
        <v>272</v>
      </c>
      <c r="N51" s="12" t="s">
        <v>272</v>
      </c>
      <c r="O51" s="12" t="s">
        <v>272</v>
      </c>
      <c r="P51" s="14" t="s">
        <v>109</v>
      </c>
      <c r="Q51" s="12" t="s">
        <v>272</v>
      </c>
      <c r="R51" s="12" t="s">
        <v>272</v>
      </c>
      <c r="S51" s="12" t="s">
        <v>272</v>
      </c>
      <c r="T51" s="12" t="s">
        <v>272</v>
      </c>
      <c r="U51" s="14" t="s">
        <v>281</v>
      </c>
      <c r="V51" s="16"/>
      <c r="W51" s="12" t="s">
        <v>272</v>
      </c>
      <c r="X51" s="25"/>
      <c r="Y51" s="13"/>
      <c r="Z51" s="14" t="s">
        <v>271</v>
      </c>
      <c r="AA51" s="15" t="s">
        <v>1200</v>
      </c>
      <c r="AB51" s="13"/>
      <c r="AC51" s="13"/>
    </row>
    <row r="52" spans="2:29" ht="10.25" customHeight="1" x14ac:dyDescent="0.55000000000000004">
      <c r="B52" s="17" t="s">
        <v>254</v>
      </c>
      <c r="C52" s="11">
        <v>43</v>
      </c>
      <c r="D52" s="12" t="s">
        <v>272</v>
      </c>
      <c r="E52" s="12" t="s">
        <v>272</v>
      </c>
      <c r="F52" s="12" t="s">
        <v>272</v>
      </c>
      <c r="G52" s="12" t="s">
        <v>272</v>
      </c>
      <c r="H52" s="12" t="s">
        <v>272</v>
      </c>
      <c r="I52" s="12" t="s">
        <v>272</v>
      </c>
      <c r="J52" s="12" t="s">
        <v>272</v>
      </c>
      <c r="K52" s="12" t="s">
        <v>272</v>
      </c>
      <c r="L52" s="12" t="s">
        <v>272</v>
      </c>
      <c r="M52" s="12" t="s">
        <v>272</v>
      </c>
      <c r="N52" s="12" t="s">
        <v>272</v>
      </c>
      <c r="O52" s="12" t="s">
        <v>272</v>
      </c>
      <c r="P52" s="12" t="s">
        <v>272</v>
      </c>
      <c r="Q52" s="12" t="s">
        <v>272</v>
      </c>
      <c r="R52" s="12" t="s">
        <v>272</v>
      </c>
      <c r="S52" s="12" t="s">
        <v>272</v>
      </c>
      <c r="T52" s="12" t="s">
        <v>272</v>
      </c>
      <c r="U52" s="12" t="s">
        <v>272</v>
      </c>
      <c r="V52" s="17" t="s">
        <v>254</v>
      </c>
      <c r="W52" s="12" t="s">
        <v>272</v>
      </c>
      <c r="X52" s="25"/>
      <c r="Y52" s="13" t="s">
        <v>530</v>
      </c>
      <c r="Z52" s="14" t="s">
        <v>1190</v>
      </c>
      <c r="AA52" s="15" t="s">
        <v>1190</v>
      </c>
      <c r="AB52" s="13"/>
      <c r="AC52" s="13"/>
    </row>
    <row r="53" spans="2:29" ht="10.25" customHeight="1" x14ac:dyDescent="0.55000000000000004">
      <c r="B53" s="17" t="s">
        <v>255</v>
      </c>
      <c r="C53" s="11">
        <v>44</v>
      </c>
      <c r="D53" s="12" t="s">
        <v>272</v>
      </c>
      <c r="E53" s="12" t="s">
        <v>272</v>
      </c>
      <c r="F53" s="12" t="s">
        <v>272</v>
      </c>
      <c r="G53" s="12" t="s">
        <v>272</v>
      </c>
      <c r="H53" s="12" t="s">
        <v>272</v>
      </c>
      <c r="I53" s="12" t="s">
        <v>272</v>
      </c>
      <c r="J53" s="12" t="s">
        <v>272</v>
      </c>
      <c r="K53" s="12" t="s">
        <v>272</v>
      </c>
      <c r="L53" s="12" t="s">
        <v>272</v>
      </c>
      <c r="M53" s="12" t="s">
        <v>272</v>
      </c>
      <c r="N53" s="12" t="s">
        <v>272</v>
      </c>
      <c r="O53" s="12" t="s">
        <v>272</v>
      </c>
      <c r="P53" s="12" t="s">
        <v>272</v>
      </c>
      <c r="Q53" s="12" t="s">
        <v>272</v>
      </c>
      <c r="R53" s="12" t="s">
        <v>272</v>
      </c>
      <c r="S53" s="12" t="s">
        <v>272</v>
      </c>
      <c r="T53" s="12" t="s">
        <v>272</v>
      </c>
      <c r="U53" s="12" t="s">
        <v>272</v>
      </c>
      <c r="V53" s="17" t="s">
        <v>255</v>
      </c>
      <c r="W53" s="12" t="s">
        <v>272</v>
      </c>
      <c r="X53" s="25"/>
      <c r="Y53" s="13" t="s">
        <v>532</v>
      </c>
      <c r="Z53" s="14" t="s">
        <v>1190</v>
      </c>
      <c r="AA53" s="15" t="s">
        <v>1190</v>
      </c>
      <c r="AB53" s="13"/>
      <c r="AC53" s="13"/>
    </row>
    <row r="54" spans="2:29" ht="10.25" customHeight="1" x14ac:dyDescent="0.55000000000000004">
      <c r="B54" s="10" t="s">
        <v>253</v>
      </c>
      <c r="C54" s="11">
        <v>45</v>
      </c>
      <c r="D54" s="12" t="s">
        <v>272</v>
      </c>
      <c r="E54" s="12" t="s">
        <v>272</v>
      </c>
      <c r="F54" s="12" t="s">
        <v>272</v>
      </c>
      <c r="G54" s="12" t="s">
        <v>272</v>
      </c>
      <c r="H54" s="12" t="s">
        <v>272</v>
      </c>
      <c r="I54" s="12" t="s">
        <v>272</v>
      </c>
      <c r="J54" s="12" t="s">
        <v>272</v>
      </c>
      <c r="K54" s="12" t="s">
        <v>272</v>
      </c>
      <c r="L54" s="12" t="s">
        <v>272</v>
      </c>
      <c r="M54" s="12" t="s">
        <v>272</v>
      </c>
      <c r="N54" s="12" t="s">
        <v>272</v>
      </c>
      <c r="O54" s="12" t="s">
        <v>272</v>
      </c>
      <c r="P54" s="12" t="s">
        <v>272</v>
      </c>
      <c r="Q54" s="12" t="s">
        <v>272</v>
      </c>
      <c r="R54" s="12" t="s">
        <v>272</v>
      </c>
      <c r="S54" s="12" t="s">
        <v>272</v>
      </c>
      <c r="T54" s="12" t="s">
        <v>272</v>
      </c>
      <c r="U54" s="12" t="s">
        <v>272</v>
      </c>
      <c r="V54" s="10" t="s">
        <v>253</v>
      </c>
      <c r="W54" s="12" t="s">
        <v>272</v>
      </c>
      <c r="X54" s="25"/>
      <c r="Y54" s="13" t="s">
        <v>531</v>
      </c>
      <c r="Z54" s="14" t="s">
        <v>1190</v>
      </c>
      <c r="AA54" s="15" t="s">
        <v>1190</v>
      </c>
      <c r="AB54" s="13"/>
      <c r="AC54" s="13"/>
    </row>
    <row r="55" spans="2:29" ht="10.25" customHeight="1" x14ac:dyDescent="0.55000000000000004">
      <c r="B55" s="10" t="s">
        <v>253</v>
      </c>
      <c r="C55" s="11">
        <v>46</v>
      </c>
      <c r="D55" s="12" t="s">
        <v>272</v>
      </c>
      <c r="E55" s="12" t="s">
        <v>272</v>
      </c>
      <c r="F55" s="12" t="s">
        <v>272</v>
      </c>
      <c r="G55" s="12" t="s">
        <v>272</v>
      </c>
      <c r="H55" s="12" t="s">
        <v>272</v>
      </c>
      <c r="I55" s="12" t="s">
        <v>272</v>
      </c>
      <c r="J55" s="12" t="s">
        <v>272</v>
      </c>
      <c r="K55" s="12" t="s">
        <v>272</v>
      </c>
      <c r="L55" s="12" t="s">
        <v>272</v>
      </c>
      <c r="M55" s="12" t="s">
        <v>272</v>
      </c>
      <c r="N55" s="12" t="s">
        <v>272</v>
      </c>
      <c r="O55" s="12" t="s">
        <v>272</v>
      </c>
      <c r="P55" s="12" t="s">
        <v>272</v>
      </c>
      <c r="Q55" s="12" t="s">
        <v>272</v>
      </c>
      <c r="R55" s="12" t="s">
        <v>272</v>
      </c>
      <c r="S55" s="12" t="s">
        <v>272</v>
      </c>
      <c r="T55" s="12" t="s">
        <v>272</v>
      </c>
      <c r="U55" s="12" t="s">
        <v>272</v>
      </c>
      <c r="V55" s="10" t="s">
        <v>253</v>
      </c>
      <c r="W55" s="12" t="s">
        <v>272</v>
      </c>
      <c r="X55" s="25"/>
      <c r="Y55" s="13" t="s">
        <v>531</v>
      </c>
      <c r="Z55" s="14" t="s">
        <v>1190</v>
      </c>
      <c r="AA55" s="15" t="s">
        <v>1190</v>
      </c>
      <c r="AB55" s="13"/>
      <c r="AC55" s="13"/>
    </row>
    <row r="56" spans="2:29" ht="10.25" customHeight="1" x14ac:dyDescent="0.55000000000000004">
      <c r="B56" s="17" t="s">
        <v>256</v>
      </c>
      <c r="C56" s="11">
        <v>47</v>
      </c>
      <c r="D56" s="12" t="s">
        <v>272</v>
      </c>
      <c r="E56" s="12" t="s">
        <v>272</v>
      </c>
      <c r="F56" s="12" t="s">
        <v>272</v>
      </c>
      <c r="G56" s="12" t="s">
        <v>272</v>
      </c>
      <c r="H56" s="12" t="s">
        <v>272</v>
      </c>
      <c r="I56" s="12" t="s">
        <v>272</v>
      </c>
      <c r="J56" s="12" t="s">
        <v>272</v>
      </c>
      <c r="K56" s="12" t="s">
        <v>272</v>
      </c>
      <c r="L56" s="12" t="s">
        <v>272</v>
      </c>
      <c r="M56" s="12" t="s">
        <v>272</v>
      </c>
      <c r="N56" s="12" t="s">
        <v>272</v>
      </c>
      <c r="O56" s="12" t="s">
        <v>272</v>
      </c>
      <c r="P56" s="12" t="s">
        <v>272</v>
      </c>
      <c r="Q56" s="12" t="s">
        <v>272</v>
      </c>
      <c r="R56" s="12" t="s">
        <v>272</v>
      </c>
      <c r="S56" s="12" t="s">
        <v>272</v>
      </c>
      <c r="T56" s="12" t="s">
        <v>272</v>
      </c>
      <c r="U56" s="12" t="s">
        <v>272</v>
      </c>
      <c r="V56" s="17" t="s">
        <v>256</v>
      </c>
      <c r="W56" s="12" t="s">
        <v>272</v>
      </c>
      <c r="X56" s="25"/>
      <c r="Y56" s="13" t="s">
        <v>533</v>
      </c>
      <c r="Z56" s="14" t="s">
        <v>1190</v>
      </c>
      <c r="AA56" s="15" t="s">
        <v>1190</v>
      </c>
      <c r="AB56" s="13"/>
      <c r="AC56" s="13"/>
    </row>
    <row r="57" spans="2:29" ht="10.25" customHeight="1" x14ac:dyDescent="0.55000000000000004">
      <c r="B57" s="14" t="s">
        <v>110</v>
      </c>
      <c r="C57" s="14">
        <v>48</v>
      </c>
      <c r="D57" s="15" t="s">
        <v>110</v>
      </c>
      <c r="E57" s="14" t="s">
        <v>723</v>
      </c>
      <c r="F57" s="14" t="s">
        <v>643</v>
      </c>
      <c r="G57" s="14" t="s">
        <v>724</v>
      </c>
      <c r="H57" s="14" t="s">
        <v>645</v>
      </c>
      <c r="I57" s="12" t="s">
        <v>272</v>
      </c>
      <c r="J57" s="14" t="s">
        <v>725</v>
      </c>
      <c r="K57" s="12" t="s">
        <v>272</v>
      </c>
      <c r="L57" s="14" t="s">
        <v>726</v>
      </c>
      <c r="M57" s="14" t="s">
        <v>99</v>
      </c>
      <c r="N57" s="12" t="s">
        <v>272</v>
      </c>
      <c r="O57" s="14" t="s">
        <v>727</v>
      </c>
      <c r="P57" s="12" t="s">
        <v>272</v>
      </c>
      <c r="Q57" s="12" t="s">
        <v>272</v>
      </c>
      <c r="R57" s="12" t="s">
        <v>272</v>
      </c>
      <c r="S57" s="12" t="s">
        <v>272</v>
      </c>
      <c r="T57" s="12" t="s">
        <v>272</v>
      </c>
      <c r="U57" s="14" t="s">
        <v>282</v>
      </c>
      <c r="V57" s="16"/>
      <c r="W57" s="12" t="s">
        <v>272</v>
      </c>
      <c r="X57" s="25" t="str">
        <f>_xlfn.IFS(AND(COUNTIF(V57,"SCB*")=1, 'PCH176'!I60&gt;=2), "See the Notice *2", TRUE, "")</f>
        <v/>
      </c>
      <c r="Y57" s="13"/>
      <c r="Z57" s="14" t="s">
        <v>271</v>
      </c>
      <c r="AA57" s="15" t="s">
        <v>1200</v>
      </c>
      <c r="AB57" s="13"/>
      <c r="AC57" s="13"/>
    </row>
    <row r="58" spans="2:29" ht="10.25" customHeight="1" x14ac:dyDescent="0.55000000000000004">
      <c r="B58" s="14" t="s">
        <v>111</v>
      </c>
      <c r="C58" s="14">
        <v>49</v>
      </c>
      <c r="D58" s="15" t="s">
        <v>111</v>
      </c>
      <c r="E58" s="14" t="s">
        <v>728</v>
      </c>
      <c r="F58" s="14" t="s">
        <v>729</v>
      </c>
      <c r="G58" s="14" t="s">
        <v>730</v>
      </c>
      <c r="H58" s="14" t="s">
        <v>731</v>
      </c>
      <c r="I58" s="12" t="s">
        <v>272</v>
      </c>
      <c r="J58" s="14" t="s">
        <v>732</v>
      </c>
      <c r="K58" s="14" t="s">
        <v>733</v>
      </c>
      <c r="L58" s="14" t="s">
        <v>734</v>
      </c>
      <c r="M58" s="14" t="s">
        <v>103</v>
      </c>
      <c r="N58" s="12" t="s">
        <v>272</v>
      </c>
      <c r="O58" s="14" t="s">
        <v>735</v>
      </c>
      <c r="P58" s="12" t="s">
        <v>272</v>
      </c>
      <c r="Q58" s="12" t="s">
        <v>272</v>
      </c>
      <c r="R58" s="12" t="s">
        <v>272</v>
      </c>
      <c r="S58" s="12" t="s">
        <v>272</v>
      </c>
      <c r="T58" s="12" t="s">
        <v>272</v>
      </c>
      <c r="U58" s="14" t="s">
        <v>283</v>
      </c>
      <c r="V58" s="16"/>
      <c r="W58" s="12" t="s">
        <v>272</v>
      </c>
      <c r="X58" s="25" t="str">
        <f>_xlfn.IFS(AND(COUNTIF(V58,"SCB*")=1, 'PCH176'!I60&gt;=2), "See the Notice *2", TRUE, "")</f>
        <v/>
      </c>
      <c r="Y58" s="13"/>
      <c r="Z58" s="14" t="s">
        <v>271</v>
      </c>
      <c r="AA58" s="15" t="s">
        <v>1200</v>
      </c>
      <c r="AB58" s="13"/>
      <c r="AC58" s="13"/>
    </row>
    <row r="59" spans="2:29" ht="10.25" customHeight="1" x14ac:dyDescent="0.55000000000000004">
      <c r="B59" s="14" t="s">
        <v>112</v>
      </c>
      <c r="C59" s="14">
        <v>50</v>
      </c>
      <c r="D59" s="15" t="s">
        <v>112</v>
      </c>
      <c r="E59" s="14" t="s">
        <v>736</v>
      </c>
      <c r="F59" s="14" t="s">
        <v>737</v>
      </c>
      <c r="G59" s="14" t="s">
        <v>738</v>
      </c>
      <c r="H59" s="14" t="s">
        <v>739</v>
      </c>
      <c r="I59" s="12" t="s">
        <v>272</v>
      </c>
      <c r="J59" s="14" t="s">
        <v>740</v>
      </c>
      <c r="K59" s="14" t="s">
        <v>741</v>
      </c>
      <c r="L59" s="14" t="s">
        <v>742</v>
      </c>
      <c r="M59" s="14" t="s">
        <v>105</v>
      </c>
      <c r="N59" s="12" t="s">
        <v>272</v>
      </c>
      <c r="O59" s="14" t="s">
        <v>743</v>
      </c>
      <c r="P59" s="12" t="s">
        <v>272</v>
      </c>
      <c r="Q59" s="12" t="s">
        <v>272</v>
      </c>
      <c r="R59" s="12" t="s">
        <v>272</v>
      </c>
      <c r="S59" s="12" t="s">
        <v>272</v>
      </c>
      <c r="T59" s="12" t="s">
        <v>272</v>
      </c>
      <c r="U59" s="14" t="s">
        <v>284</v>
      </c>
      <c r="V59" s="16"/>
      <c r="W59" s="12" t="s">
        <v>272</v>
      </c>
      <c r="X59" s="25" t="str">
        <f>_xlfn.IFS(AND(COUNTIF(V59,"SCB*")=1, 'PCH176'!I60&gt;=2), "See the Notice *2", TRUE, "")</f>
        <v/>
      </c>
      <c r="Y59" s="13"/>
      <c r="Z59" s="14" t="s">
        <v>271</v>
      </c>
      <c r="AA59" s="15" t="s">
        <v>1200</v>
      </c>
      <c r="AB59" s="13"/>
      <c r="AC59" s="13"/>
    </row>
    <row r="60" spans="2:29" ht="10.25" customHeight="1" x14ac:dyDescent="0.55000000000000004">
      <c r="B60" s="14" t="s">
        <v>113</v>
      </c>
      <c r="C60" s="14">
        <v>51</v>
      </c>
      <c r="D60" s="15" t="s">
        <v>113</v>
      </c>
      <c r="E60" s="14" t="s">
        <v>744</v>
      </c>
      <c r="F60" s="14" t="s">
        <v>745</v>
      </c>
      <c r="G60" s="14" t="s">
        <v>746</v>
      </c>
      <c r="H60" s="14" t="s">
        <v>747</v>
      </c>
      <c r="I60" s="12" t="s">
        <v>272</v>
      </c>
      <c r="J60" s="14" t="s">
        <v>748</v>
      </c>
      <c r="K60" s="12" t="s">
        <v>272</v>
      </c>
      <c r="L60" s="14" t="s">
        <v>749</v>
      </c>
      <c r="M60" s="12" t="s">
        <v>272</v>
      </c>
      <c r="N60" s="12" t="s">
        <v>272</v>
      </c>
      <c r="O60" s="12" t="s">
        <v>272</v>
      </c>
      <c r="P60" s="12" t="s">
        <v>272</v>
      </c>
      <c r="Q60" s="12" t="s">
        <v>272</v>
      </c>
      <c r="R60" s="12" t="s">
        <v>272</v>
      </c>
      <c r="S60" s="12" t="s">
        <v>272</v>
      </c>
      <c r="T60" s="12" t="s">
        <v>272</v>
      </c>
      <c r="U60" s="14" t="s">
        <v>285</v>
      </c>
      <c r="V60" s="16"/>
      <c r="W60" s="12" t="s">
        <v>272</v>
      </c>
      <c r="X60" s="25" t="str">
        <f>_xlfn.IFS(AND(COUNTIF(V60,"SCB*")=1, 'PCH176'!I60&gt;=2), "See the Notice *2", TRUE, "")</f>
        <v/>
      </c>
      <c r="Y60" s="13"/>
      <c r="Z60" s="14" t="s">
        <v>271</v>
      </c>
      <c r="AA60" s="15" t="s">
        <v>1200</v>
      </c>
      <c r="AB60" s="13"/>
      <c r="AC60" s="13"/>
    </row>
    <row r="61" spans="2:29" ht="10.25" customHeight="1" x14ac:dyDescent="0.55000000000000004">
      <c r="B61" s="14" t="s">
        <v>114</v>
      </c>
      <c r="C61" s="14">
        <v>52</v>
      </c>
      <c r="D61" s="15" t="s">
        <v>114</v>
      </c>
      <c r="E61" s="14" t="s">
        <v>750</v>
      </c>
      <c r="F61" s="14" t="s">
        <v>751</v>
      </c>
      <c r="G61" s="14" t="s">
        <v>752</v>
      </c>
      <c r="H61" s="14" t="s">
        <v>753</v>
      </c>
      <c r="I61" s="12" t="s">
        <v>272</v>
      </c>
      <c r="J61" s="12" t="s">
        <v>272</v>
      </c>
      <c r="K61" s="12" t="s">
        <v>272</v>
      </c>
      <c r="L61" s="14" t="s">
        <v>754</v>
      </c>
      <c r="M61" s="12" t="s">
        <v>272</v>
      </c>
      <c r="N61" s="12" t="s">
        <v>272</v>
      </c>
      <c r="O61" s="12" t="s">
        <v>272</v>
      </c>
      <c r="P61" s="12" t="s">
        <v>272</v>
      </c>
      <c r="Q61" s="12" t="s">
        <v>272</v>
      </c>
      <c r="R61" s="12" t="s">
        <v>272</v>
      </c>
      <c r="S61" s="12" t="s">
        <v>272</v>
      </c>
      <c r="T61" s="12" t="s">
        <v>272</v>
      </c>
      <c r="U61" s="14" t="s">
        <v>286</v>
      </c>
      <c r="V61" s="16"/>
      <c r="W61" s="12" t="s">
        <v>272</v>
      </c>
      <c r="X61" s="25" t="str">
        <f>_xlfn.IFS(AND(COUNTIF(V61,"SCB*")=1, 'PCH176'!I60&gt;=2), "See the Notice *2", TRUE, "")</f>
        <v/>
      </c>
      <c r="Y61" s="13"/>
      <c r="Z61" s="14" t="s">
        <v>271</v>
      </c>
      <c r="AA61" s="15" t="s">
        <v>1200</v>
      </c>
      <c r="AB61" s="13"/>
      <c r="AC61" s="13"/>
    </row>
    <row r="62" spans="2:29" ht="10.25" customHeight="1" x14ac:dyDescent="0.55000000000000004">
      <c r="B62" s="14" t="s">
        <v>115</v>
      </c>
      <c r="C62" s="14">
        <v>53</v>
      </c>
      <c r="D62" s="15" t="s">
        <v>115</v>
      </c>
      <c r="E62" s="14" t="s">
        <v>570</v>
      </c>
      <c r="F62" s="14" t="s">
        <v>755</v>
      </c>
      <c r="G62" s="14" t="s">
        <v>572</v>
      </c>
      <c r="H62" s="14" t="s">
        <v>756</v>
      </c>
      <c r="I62" s="12" t="s">
        <v>272</v>
      </c>
      <c r="J62" s="12" t="s">
        <v>272</v>
      </c>
      <c r="K62" s="12" t="s">
        <v>272</v>
      </c>
      <c r="L62" s="14" t="s">
        <v>757</v>
      </c>
      <c r="M62" s="14" t="s">
        <v>758</v>
      </c>
      <c r="N62" s="12" t="s">
        <v>272</v>
      </c>
      <c r="O62" s="12" t="s">
        <v>272</v>
      </c>
      <c r="P62" s="12" t="s">
        <v>272</v>
      </c>
      <c r="Q62" s="12" t="s">
        <v>272</v>
      </c>
      <c r="R62" s="12" t="s">
        <v>272</v>
      </c>
      <c r="S62" s="12" t="s">
        <v>272</v>
      </c>
      <c r="T62" s="12" t="s">
        <v>272</v>
      </c>
      <c r="U62" s="14" t="s">
        <v>287</v>
      </c>
      <c r="V62" s="18"/>
      <c r="W62" s="12" t="s">
        <v>272</v>
      </c>
      <c r="X62" s="25" t="str">
        <f>_xlfn.IFS(AND(COUNTIF(V62,"SCB*")=1, 'PCH176'!I60&gt;=2), "See the Notice *2", TRUE, "")</f>
        <v/>
      </c>
      <c r="Y62" s="13"/>
      <c r="Z62" s="14" t="s">
        <v>271</v>
      </c>
      <c r="AA62" s="15" t="s">
        <v>1200</v>
      </c>
      <c r="AB62" s="13"/>
      <c r="AC62" s="13"/>
    </row>
    <row r="63" spans="2:29" ht="10.25" customHeight="1" x14ac:dyDescent="0.55000000000000004">
      <c r="B63" s="14" t="s">
        <v>116</v>
      </c>
      <c r="C63" s="14">
        <v>54</v>
      </c>
      <c r="D63" s="15" t="s">
        <v>116</v>
      </c>
      <c r="E63" s="14" t="s">
        <v>759</v>
      </c>
      <c r="F63" s="14" t="s">
        <v>577</v>
      </c>
      <c r="G63" s="14" t="s">
        <v>760</v>
      </c>
      <c r="H63" s="14" t="s">
        <v>579</v>
      </c>
      <c r="I63" s="12" t="s">
        <v>272</v>
      </c>
      <c r="J63" s="12" t="s">
        <v>272</v>
      </c>
      <c r="K63" s="12" t="s">
        <v>272</v>
      </c>
      <c r="L63" s="12" t="s">
        <v>272</v>
      </c>
      <c r="M63" s="14" t="s">
        <v>761</v>
      </c>
      <c r="N63" s="12" t="s">
        <v>272</v>
      </c>
      <c r="O63" s="12" t="s">
        <v>272</v>
      </c>
      <c r="P63" s="14" t="s">
        <v>117</v>
      </c>
      <c r="Q63" s="12" t="s">
        <v>272</v>
      </c>
      <c r="R63" s="12" t="s">
        <v>272</v>
      </c>
      <c r="S63" s="12" t="s">
        <v>272</v>
      </c>
      <c r="T63" s="12" t="s">
        <v>272</v>
      </c>
      <c r="U63" s="14" t="s">
        <v>288</v>
      </c>
      <c r="V63" s="18"/>
      <c r="W63" s="12" t="s">
        <v>272</v>
      </c>
      <c r="X63" s="25"/>
      <c r="Y63" s="13"/>
      <c r="Z63" s="14" t="s">
        <v>271</v>
      </c>
      <c r="AA63" s="15" t="s">
        <v>1200</v>
      </c>
      <c r="AB63" s="13"/>
      <c r="AC63" s="13"/>
    </row>
    <row r="64" spans="2:29" ht="10.25" customHeight="1" x14ac:dyDescent="0.55000000000000004">
      <c r="B64" s="14" t="s">
        <v>118</v>
      </c>
      <c r="C64" s="14">
        <v>55</v>
      </c>
      <c r="D64" s="15" t="s">
        <v>118</v>
      </c>
      <c r="E64" s="14" t="s">
        <v>564</v>
      </c>
      <c r="F64" s="14" t="s">
        <v>762</v>
      </c>
      <c r="G64" s="14" t="s">
        <v>566</v>
      </c>
      <c r="H64" s="14" t="s">
        <v>763</v>
      </c>
      <c r="I64" s="12" t="s">
        <v>272</v>
      </c>
      <c r="J64" s="12" t="s">
        <v>272</v>
      </c>
      <c r="K64" s="12" t="s">
        <v>272</v>
      </c>
      <c r="L64" s="12" t="s">
        <v>272</v>
      </c>
      <c r="M64" s="14" t="s">
        <v>764</v>
      </c>
      <c r="N64" s="12" t="s">
        <v>272</v>
      </c>
      <c r="O64" s="12" t="s">
        <v>272</v>
      </c>
      <c r="P64" s="14" t="s">
        <v>119</v>
      </c>
      <c r="Q64" s="12" t="s">
        <v>272</v>
      </c>
      <c r="R64" s="12" t="s">
        <v>272</v>
      </c>
      <c r="S64" s="12" t="s">
        <v>272</v>
      </c>
      <c r="T64" s="12" t="s">
        <v>272</v>
      </c>
      <c r="U64" s="14" t="s">
        <v>289</v>
      </c>
      <c r="V64" s="18"/>
      <c r="W64" s="12" t="s">
        <v>272</v>
      </c>
      <c r="X64" s="25"/>
      <c r="Y64" s="13"/>
      <c r="Z64" s="14" t="s">
        <v>271</v>
      </c>
      <c r="AA64" s="15" t="s">
        <v>1200</v>
      </c>
      <c r="AB64" s="13"/>
      <c r="AC64" s="13"/>
    </row>
    <row r="65" spans="2:29" ht="10.25" customHeight="1" x14ac:dyDescent="0.55000000000000004">
      <c r="B65" s="14" t="s">
        <v>120</v>
      </c>
      <c r="C65" s="14">
        <v>56</v>
      </c>
      <c r="D65" s="15" t="s">
        <v>120</v>
      </c>
      <c r="E65" s="14" t="s">
        <v>765</v>
      </c>
      <c r="F65" s="14" t="s">
        <v>571</v>
      </c>
      <c r="G65" s="14" t="s">
        <v>766</v>
      </c>
      <c r="H65" s="14" t="s">
        <v>573</v>
      </c>
      <c r="I65" s="12" t="s">
        <v>272</v>
      </c>
      <c r="J65" s="12" t="s">
        <v>272</v>
      </c>
      <c r="K65" s="12" t="s">
        <v>272</v>
      </c>
      <c r="L65" s="12" t="s">
        <v>272</v>
      </c>
      <c r="M65" s="14" t="s">
        <v>86</v>
      </c>
      <c r="N65" s="14" t="s">
        <v>40</v>
      </c>
      <c r="O65" s="12" t="s">
        <v>272</v>
      </c>
      <c r="P65" s="12" t="s">
        <v>272</v>
      </c>
      <c r="Q65" s="12" t="s">
        <v>272</v>
      </c>
      <c r="R65" s="12" t="s">
        <v>272</v>
      </c>
      <c r="S65" s="12" t="s">
        <v>272</v>
      </c>
      <c r="T65" s="12" t="s">
        <v>272</v>
      </c>
      <c r="U65" s="12" t="s">
        <v>272</v>
      </c>
      <c r="V65" s="18"/>
      <c r="W65" s="12" t="s">
        <v>272</v>
      </c>
      <c r="X65" s="25"/>
      <c r="Y65" s="13"/>
      <c r="Z65" s="14" t="s">
        <v>271</v>
      </c>
      <c r="AA65" s="15" t="s">
        <v>1200</v>
      </c>
      <c r="AB65" s="13"/>
      <c r="AC65" s="13"/>
    </row>
    <row r="66" spans="2:29" ht="10.25" customHeight="1" x14ac:dyDescent="0.55000000000000004">
      <c r="B66" s="14" t="s">
        <v>121</v>
      </c>
      <c r="C66" s="14">
        <v>57</v>
      </c>
      <c r="D66" s="15" t="s">
        <v>121</v>
      </c>
      <c r="E66" s="14" t="s">
        <v>767</v>
      </c>
      <c r="F66" s="14" t="s">
        <v>768</v>
      </c>
      <c r="G66" s="14" t="s">
        <v>769</v>
      </c>
      <c r="H66" s="14" t="s">
        <v>770</v>
      </c>
      <c r="I66" s="12" t="s">
        <v>272</v>
      </c>
      <c r="J66" s="12" t="s">
        <v>272</v>
      </c>
      <c r="K66" s="12" t="s">
        <v>272</v>
      </c>
      <c r="L66" s="12" t="s">
        <v>272</v>
      </c>
      <c r="M66" s="14" t="s">
        <v>88</v>
      </c>
      <c r="N66" s="14" t="s">
        <v>44</v>
      </c>
      <c r="O66" s="12" t="s">
        <v>272</v>
      </c>
      <c r="P66" s="14" t="s">
        <v>122</v>
      </c>
      <c r="Q66" s="12" t="s">
        <v>272</v>
      </c>
      <c r="R66" s="12" t="s">
        <v>272</v>
      </c>
      <c r="S66" s="12" t="s">
        <v>272</v>
      </c>
      <c r="T66" s="12" t="s">
        <v>272</v>
      </c>
      <c r="U66" s="14" t="s">
        <v>290</v>
      </c>
      <c r="V66" s="18"/>
      <c r="W66" s="12" t="s">
        <v>272</v>
      </c>
      <c r="X66" s="25"/>
      <c r="Y66" s="13"/>
      <c r="Z66" s="14" t="s">
        <v>271</v>
      </c>
      <c r="AA66" s="15" t="s">
        <v>1200</v>
      </c>
      <c r="AB66" s="13"/>
      <c r="AC66" s="13"/>
    </row>
    <row r="67" spans="2:29" ht="10.25" customHeight="1" x14ac:dyDescent="0.55000000000000004">
      <c r="B67" s="14" t="s">
        <v>123</v>
      </c>
      <c r="C67" s="14">
        <v>58</v>
      </c>
      <c r="D67" s="15" t="s">
        <v>123</v>
      </c>
      <c r="E67" s="14" t="s">
        <v>771</v>
      </c>
      <c r="F67" s="14" t="s">
        <v>772</v>
      </c>
      <c r="G67" s="14" t="s">
        <v>773</v>
      </c>
      <c r="H67" s="14" t="s">
        <v>774</v>
      </c>
      <c r="I67" s="12" t="s">
        <v>272</v>
      </c>
      <c r="J67" s="12" t="s">
        <v>272</v>
      </c>
      <c r="K67" s="12" t="s">
        <v>272</v>
      </c>
      <c r="L67" s="12" t="s">
        <v>272</v>
      </c>
      <c r="M67" s="14" t="s">
        <v>90</v>
      </c>
      <c r="N67" s="12" t="s">
        <v>272</v>
      </c>
      <c r="O67" s="12" t="s">
        <v>272</v>
      </c>
      <c r="P67" s="14" t="s">
        <v>124</v>
      </c>
      <c r="Q67" s="12" t="s">
        <v>272</v>
      </c>
      <c r="R67" s="12" t="s">
        <v>272</v>
      </c>
      <c r="S67" s="12" t="s">
        <v>272</v>
      </c>
      <c r="T67" s="12" t="s">
        <v>272</v>
      </c>
      <c r="U67" s="14" t="s">
        <v>291</v>
      </c>
      <c r="V67" s="16"/>
      <c r="W67" s="12" t="s">
        <v>272</v>
      </c>
      <c r="X67" s="25"/>
      <c r="Y67" s="13"/>
      <c r="Z67" s="14" t="s">
        <v>271</v>
      </c>
      <c r="AA67" s="15" t="s">
        <v>1200</v>
      </c>
      <c r="AB67" s="13"/>
      <c r="AC67" s="13"/>
    </row>
    <row r="68" spans="2:29" ht="10.25" customHeight="1" x14ac:dyDescent="0.55000000000000004">
      <c r="B68" s="14" t="s">
        <v>125</v>
      </c>
      <c r="C68" s="14">
        <v>59</v>
      </c>
      <c r="D68" s="15" t="s">
        <v>125</v>
      </c>
      <c r="E68" s="14" t="s">
        <v>775</v>
      </c>
      <c r="F68" s="14" t="s">
        <v>776</v>
      </c>
      <c r="G68" s="14" t="s">
        <v>777</v>
      </c>
      <c r="H68" s="14" t="s">
        <v>778</v>
      </c>
      <c r="I68" s="12" t="s">
        <v>272</v>
      </c>
      <c r="J68" s="12" t="s">
        <v>272</v>
      </c>
      <c r="K68" s="12" t="s">
        <v>272</v>
      </c>
      <c r="L68" s="12" t="s">
        <v>272</v>
      </c>
      <c r="M68" s="12" t="s">
        <v>272</v>
      </c>
      <c r="N68" s="12" t="s">
        <v>272</v>
      </c>
      <c r="O68" s="12" t="s">
        <v>272</v>
      </c>
      <c r="P68" s="12" t="s">
        <v>272</v>
      </c>
      <c r="Q68" s="14" t="s">
        <v>59</v>
      </c>
      <c r="R68" s="12" t="s">
        <v>272</v>
      </c>
      <c r="S68" s="12" t="s">
        <v>272</v>
      </c>
      <c r="T68" s="12" t="s">
        <v>272</v>
      </c>
      <c r="U68" s="14" t="s">
        <v>292</v>
      </c>
      <c r="V68" s="16"/>
      <c r="W68" s="12" t="s">
        <v>272</v>
      </c>
      <c r="X68" s="25"/>
      <c r="Y68" s="13"/>
      <c r="Z68" s="14" t="s">
        <v>271</v>
      </c>
      <c r="AA68" s="15" t="s">
        <v>1200</v>
      </c>
      <c r="AB68" s="13"/>
      <c r="AC68" s="13"/>
    </row>
    <row r="69" spans="2:29" ht="10.25" customHeight="1" x14ac:dyDescent="0.55000000000000004">
      <c r="B69" s="14" t="s">
        <v>126</v>
      </c>
      <c r="C69" s="14">
        <v>60</v>
      </c>
      <c r="D69" s="15" t="s">
        <v>126</v>
      </c>
      <c r="E69" s="14" t="s">
        <v>779</v>
      </c>
      <c r="F69" s="14" t="s">
        <v>565</v>
      </c>
      <c r="G69" s="14" t="s">
        <v>780</v>
      </c>
      <c r="H69" s="14" t="s">
        <v>567</v>
      </c>
      <c r="I69" s="12" t="s">
        <v>272</v>
      </c>
      <c r="J69" s="12" t="s">
        <v>272</v>
      </c>
      <c r="K69" s="12" t="s">
        <v>272</v>
      </c>
      <c r="L69" s="12" t="s">
        <v>272</v>
      </c>
      <c r="M69" s="12" t="s">
        <v>272</v>
      </c>
      <c r="N69" s="12" t="s">
        <v>272</v>
      </c>
      <c r="O69" s="12" t="s">
        <v>272</v>
      </c>
      <c r="P69" s="12" t="s">
        <v>272</v>
      </c>
      <c r="Q69" s="14" t="s">
        <v>61</v>
      </c>
      <c r="R69" s="12" t="s">
        <v>272</v>
      </c>
      <c r="S69" s="12" t="s">
        <v>272</v>
      </c>
      <c r="T69" s="12" t="s">
        <v>272</v>
      </c>
      <c r="U69" s="14" t="s">
        <v>293</v>
      </c>
      <c r="V69" s="16"/>
      <c r="W69" s="12" t="s">
        <v>272</v>
      </c>
      <c r="X69" s="25"/>
      <c r="Y69" s="13"/>
      <c r="Z69" s="14" t="s">
        <v>271</v>
      </c>
      <c r="AA69" s="15" t="s">
        <v>1200</v>
      </c>
      <c r="AB69" s="13"/>
      <c r="AC69" s="13"/>
    </row>
    <row r="70" spans="2:29" ht="10.25" customHeight="1" x14ac:dyDescent="0.55000000000000004">
      <c r="B70" s="14" t="s">
        <v>127</v>
      </c>
      <c r="C70" s="14">
        <v>61</v>
      </c>
      <c r="D70" s="15" t="s">
        <v>127</v>
      </c>
      <c r="E70" s="14" t="s">
        <v>781</v>
      </c>
      <c r="F70" s="14" t="s">
        <v>782</v>
      </c>
      <c r="G70" s="14" t="s">
        <v>783</v>
      </c>
      <c r="H70" s="14" t="s">
        <v>784</v>
      </c>
      <c r="I70" s="12" t="s">
        <v>272</v>
      </c>
      <c r="J70" s="12" t="s">
        <v>272</v>
      </c>
      <c r="K70" s="12" t="s">
        <v>272</v>
      </c>
      <c r="L70" s="12" t="s">
        <v>272</v>
      </c>
      <c r="M70" s="12" t="s">
        <v>272</v>
      </c>
      <c r="N70" s="12" t="s">
        <v>272</v>
      </c>
      <c r="O70" s="12" t="s">
        <v>272</v>
      </c>
      <c r="P70" s="12" t="s">
        <v>272</v>
      </c>
      <c r="Q70" s="12" t="s">
        <v>272</v>
      </c>
      <c r="R70" s="12" t="s">
        <v>272</v>
      </c>
      <c r="S70" s="12" t="s">
        <v>272</v>
      </c>
      <c r="T70" s="12" t="s">
        <v>272</v>
      </c>
      <c r="U70" s="14" t="s">
        <v>294</v>
      </c>
      <c r="V70" s="18"/>
      <c r="W70" s="12" t="s">
        <v>272</v>
      </c>
      <c r="X70" s="25"/>
      <c r="Y70" s="13"/>
      <c r="Z70" s="14" t="s">
        <v>271</v>
      </c>
      <c r="AA70" s="15" t="s">
        <v>1200</v>
      </c>
      <c r="AB70" s="13"/>
      <c r="AC70" s="13"/>
    </row>
    <row r="71" spans="2:29" ht="10.25" customHeight="1" x14ac:dyDescent="0.55000000000000004">
      <c r="B71" s="14" t="s">
        <v>128</v>
      </c>
      <c r="C71" s="14">
        <v>62</v>
      </c>
      <c r="D71" s="15" t="s">
        <v>128</v>
      </c>
      <c r="E71" s="14" t="s">
        <v>785</v>
      </c>
      <c r="F71" s="14" t="s">
        <v>786</v>
      </c>
      <c r="G71" s="14" t="s">
        <v>787</v>
      </c>
      <c r="H71" s="14" t="s">
        <v>788</v>
      </c>
      <c r="I71" s="12" t="s">
        <v>272</v>
      </c>
      <c r="J71" s="12" t="s">
        <v>272</v>
      </c>
      <c r="K71" s="12" t="s">
        <v>272</v>
      </c>
      <c r="L71" s="12" t="s">
        <v>272</v>
      </c>
      <c r="M71" s="12" t="s">
        <v>272</v>
      </c>
      <c r="N71" s="12" t="s">
        <v>272</v>
      </c>
      <c r="O71" s="12" t="s">
        <v>272</v>
      </c>
      <c r="P71" s="12" t="s">
        <v>272</v>
      </c>
      <c r="Q71" s="12" t="s">
        <v>272</v>
      </c>
      <c r="R71" s="12" t="s">
        <v>272</v>
      </c>
      <c r="S71" s="12" t="s">
        <v>272</v>
      </c>
      <c r="T71" s="12" t="s">
        <v>272</v>
      </c>
      <c r="U71" s="14" t="s">
        <v>295</v>
      </c>
      <c r="V71" s="18"/>
      <c r="W71" s="12" t="s">
        <v>272</v>
      </c>
      <c r="X71" s="25"/>
      <c r="Y71" s="13"/>
      <c r="Z71" s="14" t="s">
        <v>271</v>
      </c>
      <c r="AA71" s="15" t="s">
        <v>1200</v>
      </c>
      <c r="AB71" s="13"/>
      <c r="AC71" s="13"/>
    </row>
    <row r="72" spans="2:29" ht="10.25" customHeight="1" x14ac:dyDescent="0.55000000000000004">
      <c r="B72" s="14" t="s">
        <v>129</v>
      </c>
      <c r="C72" s="14">
        <v>63</v>
      </c>
      <c r="D72" s="15" t="s">
        <v>129</v>
      </c>
      <c r="E72" s="14" t="s">
        <v>789</v>
      </c>
      <c r="F72" s="14" t="s">
        <v>790</v>
      </c>
      <c r="G72" s="14" t="s">
        <v>791</v>
      </c>
      <c r="H72" s="14" t="s">
        <v>792</v>
      </c>
      <c r="I72" s="12" t="s">
        <v>272</v>
      </c>
      <c r="J72" s="12" t="s">
        <v>272</v>
      </c>
      <c r="K72" s="12" t="s">
        <v>272</v>
      </c>
      <c r="L72" s="12" t="s">
        <v>272</v>
      </c>
      <c r="M72" s="12" t="s">
        <v>272</v>
      </c>
      <c r="N72" s="12" t="s">
        <v>272</v>
      </c>
      <c r="O72" s="12" t="s">
        <v>272</v>
      </c>
      <c r="P72" s="12" t="s">
        <v>272</v>
      </c>
      <c r="Q72" s="12" t="s">
        <v>272</v>
      </c>
      <c r="R72" s="12" t="s">
        <v>272</v>
      </c>
      <c r="S72" s="12" t="s">
        <v>272</v>
      </c>
      <c r="T72" s="12" t="s">
        <v>272</v>
      </c>
      <c r="U72" s="14" t="s">
        <v>296</v>
      </c>
      <c r="V72" s="18"/>
      <c r="W72" s="12" t="s">
        <v>272</v>
      </c>
      <c r="X72" s="25"/>
      <c r="Y72" s="13"/>
      <c r="Z72" s="14" t="s">
        <v>271</v>
      </c>
      <c r="AA72" s="15" t="s">
        <v>1200</v>
      </c>
      <c r="AB72" s="13"/>
      <c r="AC72" s="13"/>
    </row>
    <row r="73" spans="2:29" ht="10.25" customHeight="1" x14ac:dyDescent="0.55000000000000004">
      <c r="B73" s="14" t="s">
        <v>130</v>
      </c>
      <c r="C73" s="14">
        <v>64</v>
      </c>
      <c r="D73" s="15" t="s">
        <v>130</v>
      </c>
      <c r="E73" s="14" t="s">
        <v>793</v>
      </c>
      <c r="F73" s="14" t="s">
        <v>794</v>
      </c>
      <c r="G73" s="14" t="s">
        <v>795</v>
      </c>
      <c r="H73" s="14" t="s">
        <v>796</v>
      </c>
      <c r="I73" s="12" t="s">
        <v>272</v>
      </c>
      <c r="J73" s="12" t="s">
        <v>272</v>
      </c>
      <c r="K73" s="12" t="s">
        <v>272</v>
      </c>
      <c r="L73" s="12" t="s">
        <v>272</v>
      </c>
      <c r="M73" s="12" t="s">
        <v>272</v>
      </c>
      <c r="N73" s="12" t="s">
        <v>272</v>
      </c>
      <c r="O73" s="12" t="s">
        <v>272</v>
      </c>
      <c r="P73" s="12" t="s">
        <v>272</v>
      </c>
      <c r="Q73" s="12" t="s">
        <v>272</v>
      </c>
      <c r="R73" s="12" t="s">
        <v>272</v>
      </c>
      <c r="S73" s="12" t="s">
        <v>272</v>
      </c>
      <c r="T73" s="12" t="s">
        <v>272</v>
      </c>
      <c r="U73" s="14" t="s">
        <v>297</v>
      </c>
      <c r="V73" s="18"/>
      <c r="W73" s="12" t="s">
        <v>272</v>
      </c>
      <c r="X73" s="25"/>
      <c r="Y73" s="13"/>
      <c r="Z73" s="14" t="s">
        <v>271</v>
      </c>
      <c r="AA73" s="15" t="s">
        <v>1200</v>
      </c>
      <c r="AB73" s="13"/>
      <c r="AC73" s="13"/>
    </row>
    <row r="74" spans="2:29" ht="10.25" customHeight="1" x14ac:dyDescent="0.55000000000000004">
      <c r="B74" s="14" t="s">
        <v>131</v>
      </c>
      <c r="C74" s="14">
        <v>65</v>
      </c>
      <c r="D74" s="15" t="s">
        <v>131</v>
      </c>
      <c r="E74" s="14" t="s">
        <v>797</v>
      </c>
      <c r="F74" s="14" t="s">
        <v>798</v>
      </c>
      <c r="G74" s="14" t="s">
        <v>799</v>
      </c>
      <c r="H74" s="14" t="s">
        <v>800</v>
      </c>
      <c r="I74" s="12" t="s">
        <v>272</v>
      </c>
      <c r="J74" s="14" t="s">
        <v>801</v>
      </c>
      <c r="K74" s="12" t="s">
        <v>272</v>
      </c>
      <c r="L74" s="14" t="s">
        <v>802</v>
      </c>
      <c r="M74" s="12" t="s">
        <v>272</v>
      </c>
      <c r="N74" s="12" t="s">
        <v>272</v>
      </c>
      <c r="O74" s="12" t="s">
        <v>272</v>
      </c>
      <c r="P74" s="14" t="s">
        <v>132</v>
      </c>
      <c r="Q74" s="12" t="s">
        <v>272</v>
      </c>
      <c r="R74" s="12" t="s">
        <v>272</v>
      </c>
      <c r="S74" s="12" t="s">
        <v>272</v>
      </c>
      <c r="T74" s="12" t="s">
        <v>272</v>
      </c>
      <c r="U74" s="12" t="s">
        <v>272</v>
      </c>
      <c r="V74" s="18"/>
      <c r="W74" s="12" t="s">
        <v>272</v>
      </c>
      <c r="X74" s="25" t="str">
        <f>_xlfn.IFS(AND(COUNTIF(V74,"SCB*")=1, 'PCH176'!H60&gt;=2), "See the Notice *2", TRUE, "")</f>
        <v/>
      </c>
      <c r="Y74" s="13"/>
      <c r="Z74" s="14" t="s">
        <v>271</v>
      </c>
      <c r="AA74" s="15" t="s">
        <v>354</v>
      </c>
      <c r="AB74" s="13"/>
      <c r="AC74" s="13"/>
    </row>
    <row r="75" spans="2:29" ht="10.25" customHeight="1" x14ac:dyDescent="0.55000000000000004">
      <c r="B75" s="14" t="s">
        <v>133</v>
      </c>
      <c r="C75" s="14">
        <v>66</v>
      </c>
      <c r="D75" s="15" t="s">
        <v>133</v>
      </c>
      <c r="E75" s="14" t="s">
        <v>803</v>
      </c>
      <c r="F75" s="14" t="s">
        <v>804</v>
      </c>
      <c r="G75" s="14" t="s">
        <v>805</v>
      </c>
      <c r="H75" s="14" t="s">
        <v>806</v>
      </c>
      <c r="I75" s="12" t="s">
        <v>272</v>
      </c>
      <c r="J75" s="14" t="s">
        <v>807</v>
      </c>
      <c r="K75" s="14" t="s">
        <v>808</v>
      </c>
      <c r="L75" s="14" t="s">
        <v>809</v>
      </c>
      <c r="M75" s="12" t="s">
        <v>272</v>
      </c>
      <c r="N75" s="12" t="s">
        <v>272</v>
      </c>
      <c r="O75" s="12" t="s">
        <v>272</v>
      </c>
      <c r="P75" s="14" t="s">
        <v>134</v>
      </c>
      <c r="Q75" s="12" t="s">
        <v>272</v>
      </c>
      <c r="R75" s="12" t="s">
        <v>272</v>
      </c>
      <c r="S75" s="12" t="s">
        <v>272</v>
      </c>
      <c r="T75" s="12" t="s">
        <v>272</v>
      </c>
      <c r="U75" s="12" t="s">
        <v>272</v>
      </c>
      <c r="V75" s="18"/>
      <c r="W75" s="12" t="s">
        <v>272</v>
      </c>
      <c r="X75" s="25" t="str">
        <f>_xlfn.IFS(AND(COUNTIF(V75,"SCB*")=1, 'PCH176'!H60&gt;=2), "See the Notice *2", TRUE, "")</f>
        <v/>
      </c>
      <c r="Y75" s="13"/>
      <c r="Z75" s="14" t="s">
        <v>271</v>
      </c>
      <c r="AA75" s="15" t="s">
        <v>354</v>
      </c>
      <c r="AB75" s="13"/>
      <c r="AC75" s="13"/>
    </row>
    <row r="76" spans="2:29" ht="10.25" customHeight="1" x14ac:dyDescent="0.55000000000000004">
      <c r="B76" s="14" t="s">
        <v>135</v>
      </c>
      <c r="C76" s="14">
        <v>67</v>
      </c>
      <c r="D76" s="15" t="s">
        <v>135</v>
      </c>
      <c r="E76" s="14" t="s">
        <v>810</v>
      </c>
      <c r="F76" s="14" t="s">
        <v>811</v>
      </c>
      <c r="G76" s="14" t="s">
        <v>812</v>
      </c>
      <c r="H76" s="14" t="s">
        <v>813</v>
      </c>
      <c r="I76" s="12" t="s">
        <v>272</v>
      </c>
      <c r="J76" s="14" t="s">
        <v>814</v>
      </c>
      <c r="K76" s="14" t="s">
        <v>815</v>
      </c>
      <c r="L76" s="14" t="s">
        <v>816</v>
      </c>
      <c r="M76" s="14" t="s">
        <v>817</v>
      </c>
      <c r="N76" s="12" t="s">
        <v>272</v>
      </c>
      <c r="O76" s="12" t="s">
        <v>272</v>
      </c>
      <c r="P76" s="12" t="s">
        <v>272</v>
      </c>
      <c r="Q76" s="12" t="s">
        <v>272</v>
      </c>
      <c r="R76" s="12" t="s">
        <v>272</v>
      </c>
      <c r="S76" s="12" t="s">
        <v>272</v>
      </c>
      <c r="T76" s="12" t="s">
        <v>272</v>
      </c>
      <c r="U76" s="12" t="s">
        <v>272</v>
      </c>
      <c r="V76" s="18"/>
      <c r="W76" s="12" t="s">
        <v>272</v>
      </c>
      <c r="X76" s="25" t="str">
        <f>_xlfn.IFS(AND(COUNTIF(V76,"SCB*")=1, 'PCH176'!H60&gt;=2), "See the Notice *2", TRUE, "")</f>
        <v/>
      </c>
      <c r="Y76" s="13"/>
      <c r="Z76" s="14" t="s">
        <v>271</v>
      </c>
      <c r="AA76" s="15" t="s">
        <v>354</v>
      </c>
      <c r="AB76" s="13"/>
      <c r="AC76" s="13"/>
    </row>
    <row r="77" spans="2:29" ht="10.25" customHeight="1" x14ac:dyDescent="0.55000000000000004">
      <c r="B77" s="14" t="s">
        <v>136</v>
      </c>
      <c r="C77" s="14">
        <v>68</v>
      </c>
      <c r="D77" s="15" t="s">
        <v>136</v>
      </c>
      <c r="E77" s="14" t="s">
        <v>818</v>
      </c>
      <c r="F77" s="14" t="s">
        <v>819</v>
      </c>
      <c r="G77" s="14" t="s">
        <v>820</v>
      </c>
      <c r="H77" s="14" t="s">
        <v>821</v>
      </c>
      <c r="I77" s="12" t="s">
        <v>272</v>
      </c>
      <c r="J77" s="14" t="s">
        <v>822</v>
      </c>
      <c r="K77" s="12" t="s">
        <v>272</v>
      </c>
      <c r="L77" s="14" t="s">
        <v>823</v>
      </c>
      <c r="M77" s="14" t="s">
        <v>824</v>
      </c>
      <c r="N77" s="12" t="s">
        <v>272</v>
      </c>
      <c r="O77" s="12" t="s">
        <v>272</v>
      </c>
      <c r="P77" s="12" t="s">
        <v>272</v>
      </c>
      <c r="Q77" s="12" t="s">
        <v>272</v>
      </c>
      <c r="R77" s="12" t="s">
        <v>272</v>
      </c>
      <c r="S77" s="12" t="s">
        <v>272</v>
      </c>
      <c r="T77" s="12" t="s">
        <v>272</v>
      </c>
      <c r="U77" s="12" t="s">
        <v>272</v>
      </c>
      <c r="V77" s="18"/>
      <c r="W77" s="12" t="s">
        <v>272</v>
      </c>
      <c r="X77" s="25" t="str">
        <f>_xlfn.IFS(AND(COUNTIF(V77,"SCB*")=1, 'PCH176'!H60&gt;=2), "See the Notice *2", TRUE, "")</f>
        <v/>
      </c>
      <c r="Y77" s="13"/>
      <c r="Z77" s="14" t="s">
        <v>271</v>
      </c>
      <c r="AA77" s="15" t="s">
        <v>354</v>
      </c>
      <c r="AB77" s="13"/>
      <c r="AC77" s="13"/>
    </row>
    <row r="78" spans="2:29" ht="10.25" customHeight="1" x14ac:dyDescent="0.55000000000000004">
      <c r="B78" s="14" t="s">
        <v>137</v>
      </c>
      <c r="C78" s="14">
        <v>69</v>
      </c>
      <c r="D78" s="15" t="s">
        <v>137</v>
      </c>
      <c r="E78" s="14" t="s">
        <v>825</v>
      </c>
      <c r="F78" s="14" t="s">
        <v>826</v>
      </c>
      <c r="G78" s="14" t="s">
        <v>827</v>
      </c>
      <c r="H78" s="14" t="s">
        <v>828</v>
      </c>
      <c r="I78" s="12" t="s">
        <v>272</v>
      </c>
      <c r="J78" s="12" t="s">
        <v>272</v>
      </c>
      <c r="K78" s="12" t="s">
        <v>272</v>
      </c>
      <c r="L78" s="14" t="s">
        <v>829</v>
      </c>
      <c r="M78" s="14" t="s">
        <v>830</v>
      </c>
      <c r="N78" s="12" t="s">
        <v>272</v>
      </c>
      <c r="O78" s="12" t="s">
        <v>272</v>
      </c>
      <c r="P78" s="12" t="s">
        <v>272</v>
      </c>
      <c r="Q78" s="12" t="s">
        <v>272</v>
      </c>
      <c r="R78" s="12" t="s">
        <v>272</v>
      </c>
      <c r="S78" s="12" t="s">
        <v>272</v>
      </c>
      <c r="T78" s="12" t="s">
        <v>272</v>
      </c>
      <c r="U78" s="14" t="s">
        <v>298</v>
      </c>
      <c r="V78" s="18"/>
      <c r="W78" s="12" t="s">
        <v>272</v>
      </c>
      <c r="X78" s="25" t="str">
        <f>_xlfn.IFS(AND(COUNTIF(V78,"SCB*")=1, 'PCH176'!H60&gt;=2), "See the Notice *2", TRUE, "")</f>
        <v/>
      </c>
      <c r="Y78" s="13"/>
      <c r="Z78" s="14" t="s">
        <v>271</v>
      </c>
      <c r="AA78" s="15" t="s">
        <v>354</v>
      </c>
      <c r="AB78" s="13"/>
      <c r="AC78" s="13"/>
    </row>
    <row r="79" spans="2:29" ht="10.25" customHeight="1" x14ac:dyDescent="0.55000000000000004">
      <c r="B79" s="14" t="s">
        <v>138</v>
      </c>
      <c r="C79" s="14">
        <v>70</v>
      </c>
      <c r="D79" s="15" t="s">
        <v>138</v>
      </c>
      <c r="E79" s="14" t="s">
        <v>831</v>
      </c>
      <c r="F79" s="14" t="s">
        <v>832</v>
      </c>
      <c r="G79" s="14" t="s">
        <v>833</v>
      </c>
      <c r="H79" s="14" t="s">
        <v>834</v>
      </c>
      <c r="I79" s="12" t="s">
        <v>272</v>
      </c>
      <c r="J79" s="12" t="s">
        <v>272</v>
      </c>
      <c r="K79" s="12" t="s">
        <v>272</v>
      </c>
      <c r="L79" s="14" t="s">
        <v>835</v>
      </c>
      <c r="M79" s="12" t="s">
        <v>272</v>
      </c>
      <c r="N79" s="12" t="s">
        <v>272</v>
      </c>
      <c r="O79" s="14" t="s">
        <v>1206</v>
      </c>
      <c r="P79" s="12" t="s">
        <v>272</v>
      </c>
      <c r="Q79" s="12" t="s">
        <v>272</v>
      </c>
      <c r="R79" s="12" t="s">
        <v>272</v>
      </c>
      <c r="S79" s="12" t="s">
        <v>272</v>
      </c>
      <c r="T79" s="12" t="s">
        <v>272</v>
      </c>
      <c r="U79" s="14" t="s">
        <v>299</v>
      </c>
      <c r="V79" s="18"/>
      <c r="W79" s="12" t="s">
        <v>272</v>
      </c>
      <c r="X79" s="25" t="str">
        <f>_xlfn.IFS(AND(COUNTIF(V79,"SCB*")=1, 'PCH176'!H60&gt;=2), "See the Notice *2", TRUE, "")</f>
        <v/>
      </c>
      <c r="Y79" s="13"/>
      <c r="Z79" s="14" t="s">
        <v>271</v>
      </c>
      <c r="AA79" s="15" t="s">
        <v>354</v>
      </c>
      <c r="AB79" s="13"/>
      <c r="AC79" s="13"/>
    </row>
    <row r="80" spans="2:29" ht="10.25" customHeight="1" x14ac:dyDescent="0.55000000000000004">
      <c r="B80" s="14" t="s">
        <v>139</v>
      </c>
      <c r="C80" s="14">
        <v>71</v>
      </c>
      <c r="D80" s="15" t="s">
        <v>139</v>
      </c>
      <c r="E80" s="14" t="s">
        <v>836</v>
      </c>
      <c r="F80" s="14" t="s">
        <v>837</v>
      </c>
      <c r="G80" s="14" t="s">
        <v>838</v>
      </c>
      <c r="H80" s="14" t="s">
        <v>839</v>
      </c>
      <c r="I80" s="12" t="s">
        <v>272</v>
      </c>
      <c r="J80" s="12" t="s">
        <v>272</v>
      </c>
      <c r="K80" s="12" t="s">
        <v>272</v>
      </c>
      <c r="L80" s="12" t="s">
        <v>272</v>
      </c>
      <c r="M80" s="12" t="s">
        <v>272</v>
      </c>
      <c r="N80" s="12" t="s">
        <v>272</v>
      </c>
      <c r="O80" s="14" t="s">
        <v>735</v>
      </c>
      <c r="P80" s="12" t="s">
        <v>272</v>
      </c>
      <c r="Q80" s="12" t="s">
        <v>272</v>
      </c>
      <c r="R80" s="12" t="s">
        <v>272</v>
      </c>
      <c r="S80" s="12" t="s">
        <v>272</v>
      </c>
      <c r="T80" s="12" t="s">
        <v>272</v>
      </c>
      <c r="U80" s="14" t="s">
        <v>300</v>
      </c>
      <c r="V80" s="18"/>
      <c r="W80" s="12" t="s">
        <v>272</v>
      </c>
      <c r="X80" s="25"/>
      <c r="Y80" s="13"/>
      <c r="Z80" s="14" t="s">
        <v>271</v>
      </c>
      <c r="AA80" s="15" t="s">
        <v>354</v>
      </c>
      <c r="AB80" s="13"/>
      <c r="AC80" s="13"/>
    </row>
    <row r="81" spans="2:29" ht="10.25" customHeight="1" x14ac:dyDescent="0.55000000000000004">
      <c r="B81" s="14" t="s">
        <v>140</v>
      </c>
      <c r="C81" s="14">
        <v>72</v>
      </c>
      <c r="D81" s="15" t="s">
        <v>140</v>
      </c>
      <c r="E81" s="14" t="s">
        <v>840</v>
      </c>
      <c r="F81" s="14" t="s">
        <v>841</v>
      </c>
      <c r="G81" s="14" t="s">
        <v>842</v>
      </c>
      <c r="H81" s="14" t="s">
        <v>843</v>
      </c>
      <c r="I81" s="12" t="s">
        <v>272</v>
      </c>
      <c r="J81" s="12" t="s">
        <v>272</v>
      </c>
      <c r="K81" s="12" t="s">
        <v>272</v>
      </c>
      <c r="L81" s="12" t="s">
        <v>272</v>
      </c>
      <c r="M81" s="12" t="s">
        <v>272</v>
      </c>
      <c r="N81" s="12" t="s">
        <v>272</v>
      </c>
      <c r="O81" s="14" t="s">
        <v>743</v>
      </c>
      <c r="P81" s="12" t="s">
        <v>272</v>
      </c>
      <c r="Q81" s="12" t="s">
        <v>272</v>
      </c>
      <c r="R81" s="12" t="s">
        <v>272</v>
      </c>
      <c r="S81" s="12" t="s">
        <v>272</v>
      </c>
      <c r="T81" s="12" t="s">
        <v>272</v>
      </c>
      <c r="U81" s="14" t="s">
        <v>301</v>
      </c>
      <c r="V81" s="18"/>
      <c r="W81" s="12" t="s">
        <v>272</v>
      </c>
      <c r="X81" s="25"/>
      <c r="Y81" s="13"/>
      <c r="Z81" s="14" t="s">
        <v>271</v>
      </c>
      <c r="AA81" s="15" t="s">
        <v>354</v>
      </c>
      <c r="AB81" s="13"/>
      <c r="AC81" s="13"/>
    </row>
    <row r="82" spans="2:29" ht="10.25" customHeight="1" x14ac:dyDescent="0.55000000000000004">
      <c r="B82" s="14" t="s">
        <v>548</v>
      </c>
      <c r="C82" s="14">
        <v>73</v>
      </c>
      <c r="D82" s="19" t="s">
        <v>546</v>
      </c>
      <c r="E82" s="12" t="s">
        <v>272</v>
      </c>
      <c r="F82" s="12" t="s">
        <v>272</v>
      </c>
      <c r="G82" s="12" t="s">
        <v>272</v>
      </c>
      <c r="H82" s="12" t="s">
        <v>272</v>
      </c>
      <c r="I82" s="12" t="s">
        <v>272</v>
      </c>
      <c r="J82" s="12" t="s">
        <v>272</v>
      </c>
      <c r="K82" s="12" t="s">
        <v>272</v>
      </c>
      <c r="L82" s="12" t="s">
        <v>272</v>
      </c>
      <c r="M82" s="12" t="s">
        <v>272</v>
      </c>
      <c r="N82" s="12" t="s">
        <v>272</v>
      </c>
      <c r="O82" s="12" t="s">
        <v>272</v>
      </c>
      <c r="P82" s="12" t="s">
        <v>272</v>
      </c>
      <c r="Q82" s="12" t="s">
        <v>272</v>
      </c>
      <c r="R82" s="12" t="s">
        <v>272</v>
      </c>
      <c r="S82" s="12" t="s">
        <v>272</v>
      </c>
      <c r="T82" s="12" t="s">
        <v>272</v>
      </c>
      <c r="U82" s="14" t="s">
        <v>302</v>
      </c>
      <c r="V82" s="18"/>
      <c r="W82" s="12" t="s">
        <v>272</v>
      </c>
      <c r="X82" s="25"/>
      <c r="Y82" s="13"/>
      <c r="Z82" s="14" t="s">
        <v>271</v>
      </c>
      <c r="AA82" s="15" t="s">
        <v>354</v>
      </c>
      <c r="AB82" s="13"/>
      <c r="AC82" s="13"/>
    </row>
    <row r="83" spans="2:29" ht="10.25" customHeight="1" x14ac:dyDescent="0.55000000000000004">
      <c r="B83" s="14" t="s">
        <v>549</v>
      </c>
      <c r="C83" s="14">
        <v>74</v>
      </c>
      <c r="D83" s="19" t="s">
        <v>1160</v>
      </c>
      <c r="E83" s="12" t="s">
        <v>272</v>
      </c>
      <c r="F83" s="12" t="s">
        <v>272</v>
      </c>
      <c r="G83" s="12" t="s">
        <v>272</v>
      </c>
      <c r="H83" s="12" t="s">
        <v>272</v>
      </c>
      <c r="I83" s="12" t="s">
        <v>272</v>
      </c>
      <c r="J83" s="12" t="s">
        <v>272</v>
      </c>
      <c r="K83" s="12" t="s">
        <v>272</v>
      </c>
      <c r="L83" s="12" t="s">
        <v>272</v>
      </c>
      <c r="M83" s="12" t="s">
        <v>272</v>
      </c>
      <c r="N83" s="12" t="s">
        <v>272</v>
      </c>
      <c r="O83" s="12" t="s">
        <v>272</v>
      </c>
      <c r="P83" s="12" t="s">
        <v>272</v>
      </c>
      <c r="Q83" s="12" t="s">
        <v>272</v>
      </c>
      <c r="R83" s="12" t="s">
        <v>272</v>
      </c>
      <c r="S83" s="12" t="s">
        <v>272</v>
      </c>
      <c r="T83" s="12" t="s">
        <v>272</v>
      </c>
      <c r="U83" s="14" t="s">
        <v>303</v>
      </c>
      <c r="V83" s="18"/>
      <c r="W83" s="12" t="s">
        <v>272</v>
      </c>
      <c r="X83" s="25"/>
      <c r="Y83" s="13"/>
      <c r="Z83" s="14" t="s">
        <v>271</v>
      </c>
      <c r="AA83" s="15" t="s">
        <v>354</v>
      </c>
      <c r="AB83" s="13"/>
      <c r="AC83" s="13"/>
    </row>
    <row r="84" spans="2:29" ht="10.25" customHeight="1" x14ac:dyDescent="0.55000000000000004">
      <c r="B84" s="14" t="s">
        <v>550</v>
      </c>
      <c r="C84" s="14">
        <v>75</v>
      </c>
      <c r="D84" s="19" t="s">
        <v>1161</v>
      </c>
      <c r="E84" s="12" t="s">
        <v>272</v>
      </c>
      <c r="F84" s="12" t="s">
        <v>272</v>
      </c>
      <c r="G84" s="12" t="s">
        <v>272</v>
      </c>
      <c r="H84" s="12" t="s">
        <v>272</v>
      </c>
      <c r="I84" s="12" t="s">
        <v>272</v>
      </c>
      <c r="J84" s="12" t="s">
        <v>272</v>
      </c>
      <c r="K84" s="12" t="s">
        <v>272</v>
      </c>
      <c r="L84" s="12" t="s">
        <v>272</v>
      </c>
      <c r="M84" s="12" t="s">
        <v>272</v>
      </c>
      <c r="N84" s="12" t="s">
        <v>272</v>
      </c>
      <c r="O84" s="12" t="s">
        <v>272</v>
      </c>
      <c r="P84" s="12" t="s">
        <v>272</v>
      </c>
      <c r="Q84" s="12" t="s">
        <v>272</v>
      </c>
      <c r="R84" s="12" t="s">
        <v>272</v>
      </c>
      <c r="S84" s="12" t="s">
        <v>272</v>
      </c>
      <c r="T84" s="12" t="s">
        <v>272</v>
      </c>
      <c r="U84" s="14" t="s">
        <v>304</v>
      </c>
      <c r="V84" s="18"/>
      <c r="W84" s="12" t="s">
        <v>272</v>
      </c>
      <c r="X84" s="25"/>
      <c r="Y84" s="13"/>
      <c r="Z84" s="14" t="s">
        <v>271</v>
      </c>
      <c r="AA84" s="15" t="s">
        <v>354</v>
      </c>
      <c r="AB84" s="13"/>
      <c r="AC84" s="13"/>
    </row>
    <row r="85" spans="2:29" ht="10.25" customHeight="1" x14ac:dyDescent="0.55000000000000004">
      <c r="B85" s="20" t="s">
        <v>257</v>
      </c>
      <c r="C85" s="11">
        <v>76</v>
      </c>
      <c r="D85" s="12" t="s">
        <v>272</v>
      </c>
      <c r="E85" s="12" t="s">
        <v>272</v>
      </c>
      <c r="F85" s="12" t="s">
        <v>272</v>
      </c>
      <c r="G85" s="12" t="s">
        <v>272</v>
      </c>
      <c r="H85" s="12" t="s">
        <v>272</v>
      </c>
      <c r="I85" s="12" t="s">
        <v>272</v>
      </c>
      <c r="J85" s="12" t="s">
        <v>272</v>
      </c>
      <c r="K85" s="12" t="s">
        <v>272</v>
      </c>
      <c r="L85" s="12" t="s">
        <v>272</v>
      </c>
      <c r="M85" s="12" t="s">
        <v>272</v>
      </c>
      <c r="N85" s="12" t="s">
        <v>272</v>
      </c>
      <c r="O85" s="12" t="s">
        <v>272</v>
      </c>
      <c r="P85" s="12" t="s">
        <v>272</v>
      </c>
      <c r="Q85" s="12" t="s">
        <v>272</v>
      </c>
      <c r="R85" s="12" t="s">
        <v>272</v>
      </c>
      <c r="S85" s="12" t="s">
        <v>272</v>
      </c>
      <c r="T85" s="12" t="s">
        <v>272</v>
      </c>
      <c r="U85" s="12" t="s">
        <v>272</v>
      </c>
      <c r="V85" s="20" t="s">
        <v>257</v>
      </c>
      <c r="W85" s="12" t="s">
        <v>272</v>
      </c>
      <c r="X85" s="25"/>
      <c r="Y85" s="13" t="s">
        <v>534</v>
      </c>
      <c r="Z85" s="14" t="s">
        <v>1189</v>
      </c>
      <c r="AA85" s="15" t="s">
        <v>1189</v>
      </c>
      <c r="AB85" s="13"/>
      <c r="AC85" s="13"/>
    </row>
    <row r="86" spans="2:29" ht="10.25" customHeight="1" x14ac:dyDescent="0.55000000000000004">
      <c r="B86" s="10" t="s">
        <v>258</v>
      </c>
      <c r="C86" s="11">
        <v>77</v>
      </c>
      <c r="D86" s="12" t="s">
        <v>272</v>
      </c>
      <c r="E86" s="12" t="s">
        <v>272</v>
      </c>
      <c r="F86" s="12" t="s">
        <v>272</v>
      </c>
      <c r="G86" s="12" t="s">
        <v>272</v>
      </c>
      <c r="H86" s="12" t="s">
        <v>272</v>
      </c>
      <c r="I86" s="12" t="s">
        <v>272</v>
      </c>
      <c r="J86" s="12" t="s">
        <v>272</v>
      </c>
      <c r="K86" s="12" t="s">
        <v>272</v>
      </c>
      <c r="L86" s="12" t="s">
        <v>272</v>
      </c>
      <c r="M86" s="12" t="s">
        <v>272</v>
      </c>
      <c r="N86" s="12" t="s">
        <v>272</v>
      </c>
      <c r="O86" s="12" t="s">
        <v>272</v>
      </c>
      <c r="P86" s="12" t="s">
        <v>272</v>
      </c>
      <c r="Q86" s="12" t="s">
        <v>272</v>
      </c>
      <c r="R86" s="12" t="s">
        <v>272</v>
      </c>
      <c r="S86" s="12" t="s">
        <v>272</v>
      </c>
      <c r="T86" s="12" t="s">
        <v>272</v>
      </c>
      <c r="U86" s="12" t="s">
        <v>272</v>
      </c>
      <c r="V86" s="10" t="s">
        <v>258</v>
      </c>
      <c r="W86" s="12" t="s">
        <v>272</v>
      </c>
      <c r="X86" s="25"/>
      <c r="Y86" s="13" t="s">
        <v>536</v>
      </c>
      <c r="Z86" s="14" t="s">
        <v>1189</v>
      </c>
      <c r="AA86" s="15" t="s">
        <v>1189</v>
      </c>
      <c r="AB86" s="13"/>
      <c r="AC86" s="13"/>
    </row>
    <row r="87" spans="2:29" ht="10.25" customHeight="1" x14ac:dyDescent="0.55000000000000004">
      <c r="B87" s="17" t="s">
        <v>259</v>
      </c>
      <c r="C87" s="11">
        <v>78</v>
      </c>
      <c r="D87" s="12" t="s">
        <v>272</v>
      </c>
      <c r="E87" s="12" t="s">
        <v>272</v>
      </c>
      <c r="F87" s="12" t="s">
        <v>272</v>
      </c>
      <c r="G87" s="12" t="s">
        <v>272</v>
      </c>
      <c r="H87" s="12" t="s">
        <v>272</v>
      </c>
      <c r="I87" s="12" t="s">
        <v>272</v>
      </c>
      <c r="J87" s="12" t="s">
        <v>272</v>
      </c>
      <c r="K87" s="12" t="s">
        <v>272</v>
      </c>
      <c r="L87" s="12" t="s">
        <v>272</v>
      </c>
      <c r="M87" s="12" t="s">
        <v>272</v>
      </c>
      <c r="N87" s="12" t="s">
        <v>272</v>
      </c>
      <c r="O87" s="12" t="s">
        <v>272</v>
      </c>
      <c r="P87" s="12" t="s">
        <v>272</v>
      </c>
      <c r="Q87" s="12" t="s">
        <v>272</v>
      </c>
      <c r="R87" s="12" t="s">
        <v>272</v>
      </c>
      <c r="S87" s="12" t="s">
        <v>272</v>
      </c>
      <c r="T87" s="12" t="s">
        <v>272</v>
      </c>
      <c r="U87" s="12" t="s">
        <v>272</v>
      </c>
      <c r="V87" s="17" t="s">
        <v>259</v>
      </c>
      <c r="W87" s="12" t="s">
        <v>272</v>
      </c>
      <c r="X87" s="25"/>
      <c r="Y87" s="13" t="s">
        <v>537</v>
      </c>
      <c r="Z87" s="14" t="s">
        <v>1189</v>
      </c>
      <c r="AA87" s="15" t="s">
        <v>1189</v>
      </c>
      <c r="AB87" s="13"/>
      <c r="AC87" s="13"/>
    </row>
    <row r="88" spans="2:29" ht="10.25" customHeight="1" x14ac:dyDescent="0.55000000000000004">
      <c r="B88" s="20" t="s">
        <v>260</v>
      </c>
      <c r="C88" s="11">
        <v>79</v>
      </c>
      <c r="D88" s="12" t="s">
        <v>272</v>
      </c>
      <c r="E88" s="12" t="s">
        <v>272</v>
      </c>
      <c r="F88" s="12" t="s">
        <v>272</v>
      </c>
      <c r="G88" s="12" t="s">
        <v>272</v>
      </c>
      <c r="H88" s="12" t="s">
        <v>272</v>
      </c>
      <c r="I88" s="12" t="s">
        <v>272</v>
      </c>
      <c r="J88" s="12" t="s">
        <v>272</v>
      </c>
      <c r="K88" s="12" t="s">
        <v>272</v>
      </c>
      <c r="L88" s="12" t="s">
        <v>272</v>
      </c>
      <c r="M88" s="12" t="s">
        <v>272</v>
      </c>
      <c r="N88" s="12" t="s">
        <v>272</v>
      </c>
      <c r="O88" s="12" t="s">
        <v>272</v>
      </c>
      <c r="P88" s="12" t="s">
        <v>272</v>
      </c>
      <c r="Q88" s="12" t="s">
        <v>272</v>
      </c>
      <c r="R88" s="12" t="s">
        <v>272</v>
      </c>
      <c r="S88" s="12" t="s">
        <v>272</v>
      </c>
      <c r="T88" s="12" t="s">
        <v>272</v>
      </c>
      <c r="U88" s="12" t="s">
        <v>272</v>
      </c>
      <c r="V88" s="20" t="s">
        <v>260</v>
      </c>
      <c r="W88" s="12" t="s">
        <v>272</v>
      </c>
      <c r="X88" s="25"/>
      <c r="Y88" s="13" t="s">
        <v>535</v>
      </c>
      <c r="Z88" s="14" t="s">
        <v>1189</v>
      </c>
      <c r="AA88" s="15" t="s">
        <v>1189</v>
      </c>
      <c r="AB88" s="13"/>
      <c r="AC88" s="13"/>
    </row>
    <row r="89" spans="2:29" ht="10.25" customHeight="1" x14ac:dyDescent="0.55000000000000004">
      <c r="B89" s="14" t="s">
        <v>141</v>
      </c>
      <c r="C89" s="14">
        <v>80</v>
      </c>
      <c r="D89" s="15" t="s">
        <v>141</v>
      </c>
      <c r="E89" s="14" t="s">
        <v>844</v>
      </c>
      <c r="F89" s="14" t="s">
        <v>845</v>
      </c>
      <c r="G89" s="14" t="s">
        <v>846</v>
      </c>
      <c r="H89" s="14" t="s">
        <v>847</v>
      </c>
      <c r="I89" s="12" t="s">
        <v>272</v>
      </c>
      <c r="J89" s="12" t="s">
        <v>272</v>
      </c>
      <c r="K89" s="12" t="s">
        <v>272</v>
      </c>
      <c r="L89" s="12" t="s">
        <v>272</v>
      </c>
      <c r="M89" s="12" t="s">
        <v>272</v>
      </c>
      <c r="N89" s="14" t="s">
        <v>97</v>
      </c>
      <c r="O89" s="12" t="s">
        <v>272</v>
      </c>
      <c r="P89" s="14" t="s">
        <v>142</v>
      </c>
      <c r="Q89" s="12" t="s">
        <v>272</v>
      </c>
      <c r="R89" s="12" t="s">
        <v>272</v>
      </c>
      <c r="S89" s="12" t="s">
        <v>272</v>
      </c>
      <c r="T89" s="12" t="s">
        <v>272</v>
      </c>
      <c r="U89" s="14" t="s">
        <v>305</v>
      </c>
      <c r="V89" s="18"/>
      <c r="W89" s="21"/>
      <c r="X89" s="25"/>
      <c r="Y89" s="13"/>
      <c r="Z89" s="14" t="s">
        <v>271</v>
      </c>
      <c r="AA89" s="15" t="s">
        <v>354</v>
      </c>
      <c r="AB89" s="13"/>
      <c r="AC89" s="13"/>
    </row>
    <row r="90" spans="2:29" ht="10.25" customHeight="1" x14ac:dyDescent="0.55000000000000004">
      <c r="B90" s="14" t="s">
        <v>143</v>
      </c>
      <c r="C90" s="14">
        <v>81</v>
      </c>
      <c r="D90" s="15" t="s">
        <v>143</v>
      </c>
      <c r="E90" s="14" t="s">
        <v>848</v>
      </c>
      <c r="F90" s="14" t="s">
        <v>849</v>
      </c>
      <c r="G90" s="14" t="s">
        <v>850</v>
      </c>
      <c r="H90" s="14" t="s">
        <v>851</v>
      </c>
      <c r="I90" s="12" t="s">
        <v>272</v>
      </c>
      <c r="J90" s="12" t="s">
        <v>272</v>
      </c>
      <c r="K90" s="12" t="s">
        <v>272</v>
      </c>
      <c r="L90" s="12" t="s">
        <v>272</v>
      </c>
      <c r="M90" s="14" t="s">
        <v>144</v>
      </c>
      <c r="N90" s="14" t="s">
        <v>100</v>
      </c>
      <c r="O90" s="12" t="s">
        <v>272</v>
      </c>
      <c r="P90" s="14" t="s">
        <v>145</v>
      </c>
      <c r="Q90" s="12" t="s">
        <v>272</v>
      </c>
      <c r="R90" s="12" t="s">
        <v>272</v>
      </c>
      <c r="S90" s="12" t="s">
        <v>272</v>
      </c>
      <c r="T90" s="12" t="s">
        <v>272</v>
      </c>
      <c r="U90" s="14" t="s">
        <v>306</v>
      </c>
      <c r="V90" s="18"/>
      <c r="W90" s="21"/>
      <c r="X90" s="25"/>
      <c r="Y90" s="13"/>
      <c r="Z90" s="14" t="s">
        <v>271</v>
      </c>
      <c r="AA90" s="15" t="s">
        <v>354</v>
      </c>
      <c r="AB90" s="13"/>
      <c r="AC90" s="13"/>
    </row>
    <row r="91" spans="2:29" ht="10.25" customHeight="1" x14ac:dyDescent="0.55000000000000004">
      <c r="B91" s="14" t="s">
        <v>146</v>
      </c>
      <c r="C91" s="14">
        <v>82</v>
      </c>
      <c r="D91" s="15" t="s">
        <v>146</v>
      </c>
      <c r="E91" s="14" t="s">
        <v>852</v>
      </c>
      <c r="F91" s="14" t="s">
        <v>853</v>
      </c>
      <c r="G91" s="14" t="s">
        <v>854</v>
      </c>
      <c r="H91" s="14" t="s">
        <v>855</v>
      </c>
      <c r="I91" s="14" t="s">
        <v>147</v>
      </c>
      <c r="J91" s="12" t="s">
        <v>272</v>
      </c>
      <c r="K91" s="12" t="s">
        <v>272</v>
      </c>
      <c r="L91" s="12" t="s">
        <v>272</v>
      </c>
      <c r="M91" s="14" t="s">
        <v>148</v>
      </c>
      <c r="N91" s="12" t="s">
        <v>272</v>
      </c>
      <c r="O91" s="12" t="s">
        <v>272</v>
      </c>
      <c r="P91" s="12" t="s">
        <v>272</v>
      </c>
      <c r="Q91" s="12" t="s">
        <v>272</v>
      </c>
      <c r="R91" s="12" t="s">
        <v>272</v>
      </c>
      <c r="S91" s="12" t="s">
        <v>272</v>
      </c>
      <c r="T91" s="12" t="s">
        <v>272</v>
      </c>
      <c r="U91" s="14" t="s">
        <v>307</v>
      </c>
      <c r="V91" s="18"/>
      <c r="W91" s="21"/>
      <c r="X91" s="25"/>
      <c r="Y91" s="13"/>
      <c r="Z91" s="14" t="s">
        <v>271</v>
      </c>
      <c r="AA91" s="15" t="s">
        <v>354</v>
      </c>
      <c r="AB91" s="13"/>
      <c r="AC91" s="13"/>
    </row>
    <row r="92" spans="2:29" ht="10.25" customHeight="1" x14ac:dyDescent="0.55000000000000004">
      <c r="B92" s="14" t="s">
        <v>149</v>
      </c>
      <c r="C92" s="14">
        <v>83</v>
      </c>
      <c r="D92" s="15" t="s">
        <v>149</v>
      </c>
      <c r="E92" s="14" t="s">
        <v>856</v>
      </c>
      <c r="F92" s="14" t="s">
        <v>857</v>
      </c>
      <c r="G92" s="14" t="s">
        <v>858</v>
      </c>
      <c r="H92" s="14" t="s">
        <v>859</v>
      </c>
      <c r="I92" s="14" t="s">
        <v>150</v>
      </c>
      <c r="J92" s="12" t="s">
        <v>272</v>
      </c>
      <c r="K92" s="12" t="s">
        <v>272</v>
      </c>
      <c r="L92" s="12" t="s">
        <v>272</v>
      </c>
      <c r="M92" s="14" t="s">
        <v>151</v>
      </c>
      <c r="N92" s="12" t="s">
        <v>272</v>
      </c>
      <c r="O92" s="12" t="s">
        <v>272</v>
      </c>
      <c r="P92" s="12" t="s">
        <v>272</v>
      </c>
      <c r="Q92" s="12" t="s">
        <v>272</v>
      </c>
      <c r="R92" s="12" t="s">
        <v>272</v>
      </c>
      <c r="S92" s="12" t="s">
        <v>272</v>
      </c>
      <c r="T92" s="12" t="s">
        <v>272</v>
      </c>
      <c r="U92" s="14" t="s">
        <v>308</v>
      </c>
      <c r="V92" s="18"/>
      <c r="W92" s="21"/>
      <c r="X92" s="25"/>
      <c r="Y92" s="13"/>
      <c r="Z92" s="14" t="s">
        <v>271</v>
      </c>
      <c r="AA92" s="15" t="s">
        <v>354</v>
      </c>
      <c r="AB92" s="13"/>
      <c r="AC92" s="13"/>
    </row>
    <row r="93" spans="2:29" ht="10.25" customHeight="1" x14ac:dyDescent="0.55000000000000004">
      <c r="B93" s="14" t="s">
        <v>152</v>
      </c>
      <c r="C93" s="14">
        <v>84</v>
      </c>
      <c r="D93" s="15" t="s">
        <v>152</v>
      </c>
      <c r="E93" s="14" t="s">
        <v>860</v>
      </c>
      <c r="F93" s="14" t="s">
        <v>861</v>
      </c>
      <c r="G93" s="14" t="s">
        <v>862</v>
      </c>
      <c r="H93" s="14" t="s">
        <v>863</v>
      </c>
      <c r="I93" s="14" t="s">
        <v>153</v>
      </c>
      <c r="J93" s="12" t="s">
        <v>272</v>
      </c>
      <c r="K93" s="12" t="s">
        <v>272</v>
      </c>
      <c r="L93" s="12" t="s">
        <v>272</v>
      </c>
      <c r="M93" s="12" t="s">
        <v>272</v>
      </c>
      <c r="N93" s="12" t="s">
        <v>272</v>
      </c>
      <c r="O93" s="12" t="s">
        <v>272</v>
      </c>
      <c r="P93" s="12" t="s">
        <v>272</v>
      </c>
      <c r="Q93" s="12" t="s">
        <v>272</v>
      </c>
      <c r="R93" s="12" t="s">
        <v>272</v>
      </c>
      <c r="S93" s="12" t="s">
        <v>272</v>
      </c>
      <c r="T93" s="12" t="s">
        <v>272</v>
      </c>
      <c r="U93" s="14" t="s">
        <v>309</v>
      </c>
      <c r="V93" s="18"/>
      <c r="W93" s="21"/>
      <c r="X93" s="25"/>
      <c r="Y93" s="13"/>
      <c r="Z93" s="14" t="s">
        <v>271</v>
      </c>
      <c r="AA93" s="15" t="s">
        <v>354</v>
      </c>
      <c r="AB93" s="13"/>
      <c r="AC93" s="13"/>
    </row>
    <row r="94" spans="2:29" ht="10.25" customHeight="1" x14ac:dyDescent="0.55000000000000004">
      <c r="B94" s="14" t="s">
        <v>154</v>
      </c>
      <c r="C94" s="14">
        <v>85</v>
      </c>
      <c r="D94" s="15" t="s">
        <v>154</v>
      </c>
      <c r="E94" s="14" t="s">
        <v>864</v>
      </c>
      <c r="F94" s="14" t="s">
        <v>865</v>
      </c>
      <c r="G94" s="14" t="s">
        <v>866</v>
      </c>
      <c r="H94" s="14" t="s">
        <v>867</v>
      </c>
      <c r="I94" s="14" t="s">
        <v>155</v>
      </c>
      <c r="J94" s="12" t="s">
        <v>272</v>
      </c>
      <c r="K94" s="12" t="s">
        <v>272</v>
      </c>
      <c r="L94" s="12" t="s">
        <v>272</v>
      </c>
      <c r="M94" s="12" t="s">
        <v>272</v>
      </c>
      <c r="N94" s="12" t="s">
        <v>272</v>
      </c>
      <c r="O94" s="12" t="s">
        <v>272</v>
      </c>
      <c r="P94" s="12" t="s">
        <v>272</v>
      </c>
      <c r="Q94" s="12" t="s">
        <v>272</v>
      </c>
      <c r="R94" s="12" t="s">
        <v>272</v>
      </c>
      <c r="S94" s="12" t="s">
        <v>272</v>
      </c>
      <c r="T94" s="12" t="s">
        <v>272</v>
      </c>
      <c r="U94" s="14" t="s">
        <v>310</v>
      </c>
      <c r="V94" s="18"/>
      <c r="W94" s="21"/>
      <c r="X94" s="25"/>
      <c r="Y94" s="13"/>
      <c r="Z94" s="14" t="s">
        <v>271</v>
      </c>
      <c r="AA94" s="15" t="s">
        <v>354</v>
      </c>
      <c r="AB94" s="13"/>
      <c r="AC94" s="13"/>
    </row>
    <row r="95" spans="2:29" ht="10.25" customHeight="1" x14ac:dyDescent="0.55000000000000004">
      <c r="B95" s="14" t="s">
        <v>156</v>
      </c>
      <c r="C95" s="14">
        <v>86</v>
      </c>
      <c r="D95" s="15" t="s">
        <v>156</v>
      </c>
      <c r="E95" s="14" t="s">
        <v>868</v>
      </c>
      <c r="F95" s="14" t="s">
        <v>869</v>
      </c>
      <c r="G95" s="14" t="s">
        <v>870</v>
      </c>
      <c r="H95" s="14" t="s">
        <v>871</v>
      </c>
      <c r="I95" s="12" t="s">
        <v>272</v>
      </c>
      <c r="J95" s="12" t="s">
        <v>272</v>
      </c>
      <c r="K95" s="12" t="s">
        <v>272</v>
      </c>
      <c r="L95" s="12" t="s">
        <v>272</v>
      </c>
      <c r="M95" s="12" t="s">
        <v>272</v>
      </c>
      <c r="N95" s="12" t="s">
        <v>272</v>
      </c>
      <c r="O95" s="12" t="s">
        <v>272</v>
      </c>
      <c r="P95" s="12" t="s">
        <v>272</v>
      </c>
      <c r="Q95" s="12" t="s">
        <v>272</v>
      </c>
      <c r="R95" s="12" t="s">
        <v>272</v>
      </c>
      <c r="S95" s="12" t="s">
        <v>272</v>
      </c>
      <c r="T95" s="12" t="s">
        <v>272</v>
      </c>
      <c r="U95" s="14" t="s">
        <v>311</v>
      </c>
      <c r="V95" s="18"/>
      <c r="W95" s="21"/>
      <c r="X95" s="25"/>
      <c r="Y95" s="13"/>
      <c r="Z95" s="14" t="s">
        <v>271</v>
      </c>
      <c r="AA95" s="15" t="s">
        <v>354</v>
      </c>
      <c r="AB95" s="13"/>
      <c r="AC95" s="13"/>
    </row>
    <row r="96" spans="2:29" ht="10.25" customHeight="1" x14ac:dyDescent="0.55000000000000004">
      <c r="B96" s="14" t="s">
        <v>157</v>
      </c>
      <c r="C96" s="14">
        <v>87</v>
      </c>
      <c r="D96" s="15" t="s">
        <v>157</v>
      </c>
      <c r="E96" s="14" t="s">
        <v>872</v>
      </c>
      <c r="F96" s="14" t="s">
        <v>873</v>
      </c>
      <c r="G96" s="14" t="s">
        <v>874</v>
      </c>
      <c r="H96" s="14" t="s">
        <v>875</v>
      </c>
      <c r="I96" s="12" t="s">
        <v>272</v>
      </c>
      <c r="J96" s="12" t="s">
        <v>272</v>
      </c>
      <c r="K96" s="12" t="s">
        <v>272</v>
      </c>
      <c r="L96" s="12" t="s">
        <v>272</v>
      </c>
      <c r="M96" s="12" t="s">
        <v>272</v>
      </c>
      <c r="N96" s="12" t="s">
        <v>272</v>
      </c>
      <c r="O96" s="12" t="s">
        <v>272</v>
      </c>
      <c r="P96" s="12" t="s">
        <v>272</v>
      </c>
      <c r="Q96" s="12" t="s">
        <v>272</v>
      </c>
      <c r="R96" s="12" t="s">
        <v>272</v>
      </c>
      <c r="S96" s="12" t="s">
        <v>272</v>
      </c>
      <c r="T96" s="12" t="s">
        <v>272</v>
      </c>
      <c r="U96" s="14" t="s">
        <v>312</v>
      </c>
      <c r="V96" s="18"/>
      <c r="W96" s="21"/>
      <c r="X96" s="25"/>
      <c r="Y96" s="13"/>
      <c r="Z96" s="14" t="s">
        <v>271</v>
      </c>
      <c r="AA96" s="15" t="s">
        <v>354</v>
      </c>
      <c r="AB96" s="13"/>
      <c r="AC96" s="13"/>
    </row>
    <row r="97" spans="2:29" ht="10.25" customHeight="1" x14ac:dyDescent="0.55000000000000004">
      <c r="B97" s="17" t="s">
        <v>354</v>
      </c>
      <c r="C97" s="11">
        <v>88</v>
      </c>
      <c r="D97" s="12" t="s">
        <v>272</v>
      </c>
      <c r="E97" s="12" t="s">
        <v>272</v>
      </c>
      <c r="F97" s="12" t="s">
        <v>272</v>
      </c>
      <c r="G97" s="12" t="s">
        <v>272</v>
      </c>
      <c r="H97" s="12" t="s">
        <v>272</v>
      </c>
      <c r="I97" s="12" t="s">
        <v>272</v>
      </c>
      <c r="J97" s="12" t="s">
        <v>272</v>
      </c>
      <c r="K97" s="12" t="s">
        <v>272</v>
      </c>
      <c r="L97" s="12" t="s">
        <v>272</v>
      </c>
      <c r="M97" s="12" t="s">
        <v>272</v>
      </c>
      <c r="N97" s="12" t="s">
        <v>272</v>
      </c>
      <c r="O97" s="12" t="s">
        <v>272</v>
      </c>
      <c r="P97" s="12" t="s">
        <v>272</v>
      </c>
      <c r="Q97" s="12" t="s">
        <v>272</v>
      </c>
      <c r="R97" s="12" t="s">
        <v>272</v>
      </c>
      <c r="S97" s="12" t="s">
        <v>272</v>
      </c>
      <c r="T97" s="12" t="s">
        <v>272</v>
      </c>
      <c r="U97" s="12" t="s">
        <v>272</v>
      </c>
      <c r="V97" s="17" t="s">
        <v>354</v>
      </c>
      <c r="W97" s="12" t="s">
        <v>272</v>
      </c>
      <c r="X97" s="25"/>
      <c r="Y97" s="13" t="s">
        <v>532</v>
      </c>
      <c r="Z97" s="14" t="s">
        <v>1189</v>
      </c>
      <c r="AA97" s="15" t="s">
        <v>1189</v>
      </c>
      <c r="AB97" s="13"/>
      <c r="AC97" s="13"/>
    </row>
    <row r="98" spans="2:29" ht="10.25" customHeight="1" x14ac:dyDescent="0.55000000000000004">
      <c r="B98" s="10" t="s">
        <v>253</v>
      </c>
      <c r="C98" s="11">
        <v>89</v>
      </c>
      <c r="D98" s="12" t="s">
        <v>272</v>
      </c>
      <c r="E98" s="12" t="s">
        <v>272</v>
      </c>
      <c r="F98" s="12" t="s">
        <v>272</v>
      </c>
      <c r="G98" s="12" t="s">
        <v>272</v>
      </c>
      <c r="H98" s="12" t="s">
        <v>272</v>
      </c>
      <c r="I98" s="12" t="s">
        <v>272</v>
      </c>
      <c r="J98" s="12" t="s">
        <v>272</v>
      </c>
      <c r="K98" s="12" t="s">
        <v>272</v>
      </c>
      <c r="L98" s="12" t="s">
        <v>272</v>
      </c>
      <c r="M98" s="12" t="s">
        <v>272</v>
      </c>
      <c r="N98" s="12" t="s">
        <v>272</v>
      </c>
      <c r="O98" s="12" t="s">
        <v>272</v>
      </c>
      <c r="P98" s="12" t="s">
        <v>272</v>
      </c>
      <c r="Q98" s="12" t="s">
        <v>272</v>
      </c>
      <c r="R98" s="12" t="s">
        <v>272</v>
      </c>
      <c r="S98" s="12" t="s">
        <v>272</v>
      </c>
      <c r="T98" s="12" t="s">
        <v>272</v>
      </c>
      <c r="U98" s="12" t="s">
        <v>272</v>
      </c>
      <c r="V98" s="10" t="s">
        <v>253</v>
      </c>
      <c r="W98" s="12" t="s">
        <v>272</v>
      </c>
      <c r="X98" s="25"/>
      <c r="Y98" s="13" t="s">
        <v>531</v>
      </c>
      <c r="Z98" s="14" t="s">
        <v>1189</v>
      </c>
      <c r="AA98" s="15" t="s">
        <v>1189</v>
      </c>
      <c r="AB98" s="13"/>
      <c r="AC98" s="13"/>
    </row>
    <row r="99" spans="2:29" ht="10.25" customHeight="1" x14ac:dyDescent="0.55000000000000004">
      <c r="B99" s="14" t="s">
        <v>158</v>
      </c>
      <c r="C99" s="14">
        <v>90</v>
      </c>
      <c r="D99" s="15" t="s">
        <v>158</v>
      </c>
      <c r="E99" s="14" t="s">
        <v>876</v>
      </c>
      <c r="F99" s="14" t="s">
        <v>877</v>
      </c>
      <c r="G99" s="14" t="s">
        <v>878</v>
      </c>
      <c r="H99" s="14" t="s">
        <v>879</v>
      </c>
      <c r="I99" s="14" t="s">
        <v>159</v>
      </c>
      <c r="J99" s="14" t="s">
        <v>880</v>
      </c>
      <c r="K99" s="12" t="s">
        <v>272</v>
      </c>
      <c r="L99" s="14" t="s">
        <v>881</v>
      </c>
      <c r="M99" s="14" t="s">
        <v>92</v>
      </c>
      <c r="N99" s="12" t="s">
        <v>272</v>
      </c>
      <c r="O99" s="14" t="s">
        <v>882</v>
      </c>
      <c r="P99" s="12" t="s">
        <v>272</v>
      </c>
      <c r="Q99" s="12" t="s">
        <v>272</v>
      </c>
      <c r="R99" s="12" t="s">
        <v>272</v>
      </c>
      <c r="S99" s="12" t="s">
        <v>272</v>
      </c>
      <c r="T99" s="12" t="s">
        <v>272</v>
      </c>
      <c r="U99" s="14" t="s">
        <v>313</v>
      </c>
      <c r="V99" s="18"/>
      <c r="W99" s="21"/>
      <c r="X99" s="25" t="str">
        <f>_xlfn.IFS(AND(COUNTIF(V99,"SCB*")=1, 'PCH176'!G60&gt;=2), "See the Notice *2", TRUE, "")</f>
        <v/>
      </c>
      <c r="Y99" s="13"/>
      <c r="Z99" s="14" t="s">
        <v>271</v>
      </c>
      <c r="AA99" s="15" t="s">
        <v>354</v>
      </c>
      <c r="AB99" s="13"/>
      <c r="AC99" s="13"/>
    </row>
    <row r="100" spans="2:29" ht="10.25" customHeight="1" x14ac:dyDescent="0.55000000000000004">
      <c r="B100" s="14" t="s">
        <v>160</v>
      </c>
      <c r="C100" s="14">
        <v>91</v>
      </c>
      <c r="D100" s="15" t="s">
        <v>160</v>
      </c>
      <c r="E100" s="14" t="s">
        <v>883</v>
      </c>
      <c r="F100" s="14" t="s">
        <v>884</v>
      </c>
      <c r="G100" s="14" t="s">
        <v>885</v>
      </c>
      <c r="H100" s="14" t="s">
        <v>886</v>
      </c>
      <c r="I100" s="14" t="s">
        <v>161</v>
      </c>
      <c r="J100" s="14" t="s">
        <v>887</v>
      </c>
      <c r="K100" s="14" t="s">
        <v>888</v>
      </c>
      <c r="L100" s="14" t="s">
        <v>889</v>
      </c>
      <c r="M100" s="14" t="s">
        <v>94</v>
      </c>
      <c r="N100" s="12" t="s">
        <v>272</v>
      </c>
      <c r="O100" s="14" t="s">
        <v>890</v>
      </c>
      <c r="P100" s="12" t="s">
        <v>272</v>
      </c>
      <c r="Q100" s="12" t="s">
        <v>272</v>
      </c>
      <c r="R100" s="12" t="s">
        <v>272</v>
      </c>
      <c r="S100" s="12" t="s">
        <v>272</v>
      </c>
      <c r="T100" s="12" t="s">
        <v>272</v>
      </c>
      <c r="U100" s="14" t="s">
        <v>314</v>
      </c>
      <c r="V100" s="16"/>
      <c r="W100" s="21"/>
      <c r="X100" s="25" t="str">
        <f>_xlfn.IFS(AND(COUNTIF(V100,"SCB*")=1, 'PCH176'!G60&gt;=2), "See the Notice *2", TRUE, "")</f>
        <v/>
      </c>
      <c r="Y100" s="13"/>
      <c r="Z100" s="14" t="s">
        <v>271</v>
      </c>
      <c r="AA100" s="15" t="s">
        <v>354</v>
      </c>
      <c r="AB100" s="13"/>
      <c r="AC100" s="13"/>
    </row>
    <row r="101" spans="2:29" ht="10.25" customHeight="1" x14ac:dyDescent="0.55000000000000004">
      <c r="B101" s="14" t="s">
        <v>162</v>
      </c>
      <c r="C101" s="14">
        <v>92</v>
      </c>
      <c r="D101" s="15" t="s">
        <v>162</v>
      </c>
      <c r="E101" s="14" t="s">
        <v>891</v>
      </c>
      <c r="F101" s="14" t="s">
        <v>892</v>
      </c>
      <c r="G101" s="14" t="s">
        <v>893</v>
      </c>
      <c r="H101" s="14" t="s">
        <v>894</v>
      </c>
      <c r="I101" s="14" t="s">
        <v>163</v>
      </c>
      <c r="J101" s="14" t="s">
        <v>895</v>
      </c>
      <c r="K101" s="14" t="s">
        <v>896</v>
      </c>
      <c r="L101" s="14" t="s">
        <v>897</v>
      </c>
      <c r="M101" s="14" t="s">
        <v>96</v>
      </c>
      <c r="N101" s="12" t="s">
        <v>272</v>
      </c>
      <c r="O101" s="14" t="s">
        <v>898</v>
      </c>
      <c r="P101" s="12" t="s">
        <v>272</v>
      </c>
      <c r="Q101" s="12" t="s">
        <v>272</v>
      </c>
      <c r="R101" s="12" t="s">
        <v>272</v>
      </c>
      <c r="S101" s="12" t="s">
        <v>272</v>
      </c>
      <c r="T101" s="12" t="s">
        <v>272</v>
      </c>
      <c r="U101" s="14" t="s">
        <v>315</v>
      </c>
      <c r="V101" s="18"/>
      <c r="W101" s="21"/>
      <c r="X101" s="25" t="str">
        <f>_xlfn.IFS(AND(COUNTIF(V101,"SCB*")=1, 'PCH176'!G60&gt;=2), "See the Notice *2", TRUE, "")</f>
        <v/>
      </c>
      <c r="Y101" s="13"/>
      <c r="Z101" s="14" t="s">
        <v>271</v>
      </c>
      <c r="AA101" s="15" t="s">
        <v>354</v>
      </c>
      <c r="AB101" s="13"/>
      <c r="AC101" s="13"/>
    </row>
    <row r="102" spans="2:29" ht="10.25" customHeight="1" x14ac:dyDescent="0.55000000000000004">
      <c r="B102" s="14" t="s">
        <v>164</v>
      </c>
      <c r="C102" s="14">
        <v>93</v>
      </c>
      <c r="D102" s="15" t="s">
        <v>164</v>
      </c>
      <c r="E102" s="14" t="s">
        <v>899</v>
      </c>
      <c r="F102" s="14" t="s">
        <v>900</v>
      </c>
      <c r="G102" s="14" t="s">
        <v>901</v>
      </c>
      <c r="H102" s="14" t="s">
        <v>902</v>
      </c>
      <c r="I102" s="14" t="s">
        <v>165</v>
      </c>
      <c r="J102" s="14" t="s">
        <v>903</v>
      </c>
      <c r="K102" s="12" t="s">
        <v>272</v>
      </c>
      <c r="L102" s="14" t="s">
        <v>904</v>
      </c>
      <c r="M102" s="12" t="s">
        <v>272</v>
      </c>
      <c r="N102" s="12" t="s">
        <v>272</v>
      </c>
      <c r="O102" s="12" t="s">
        <v>272</v>
      </c>
      <c r="P102" s="12" t="s">
        <v>272</v>
      </c>
      <c r="Q102" s="12" t="s">
        <v>272</v>
      </c>
      <c r="R102" s="12" t="s">
        <v>272</v>
      </c>
      <c r="S102" s="12" t="s">
        <v>272</v>
      </c>
      <c r="T102" s="12" t="s">
        <v>272</v>
      </c>
      <c r="U102" s="14" t="s">
        <v>316</v>
      </c>
      <c r="V102" s="18"/>
      <c r="W102" s="21"/>
      <c r="X102" s="25" t="str">
        <f>_xlfn.IFS(AND(COUNTIF(V102,"SCB*")=1, 'PCH176'!G60&gt;=2), "See the Notice *2", TRUE, "")</f>
        <v/>
      </c>
      <c r="Y102" s="13"/>
      <c r="Z102" s="14" t="s">
        <v>271</v>
      </c>
      <c r="AA102" s="15" t="s">
        <v>354</v>
      </c>
      <c r="AB102" s="13"/>
      <c r="AC102" s="13"/>
    </row>
    <row r="103" spans="2:29" ht="10.25" customHeight="1" x14ac:dyDescent="0.55000000000000004">
      <c r="B103" s="14" t="s">
        <v>166</v>
      </c>
      <c r="C103" s="14">
        <v>94</v>
      </c>
      <c r="D103" s="15" t="s">
        <v>166</v>
      </c>
      <c r="E103" s="14" t="s">
        <v>905</v>
      </c>
      <c r="F103" s="14" t="s">
        <v>906</v>
      </c>
      <c r="G103" s="14" t="s">
        <v>907</v>
      </c>
      <c r="H103" s="14" t="s">
        <v>908</v>
      </c>
      <c r="I103" s="14" t="s">
        <v>590</v>
      </c>
      <c r="J103" s="12" t="s">
        <v>272</v>
      </c>
      <c r="K103" s="12" t="s">
        <v>272</v>
      </c>
      <c r="L103" s="14" t="s">
        <v>909</v>
      </c>
      <c r="M103" s="14" t="s">
        <v>817</v>
      </c>
      <c r="N103" s="12" t="s">
        <v>272</v>
      </c>
      <c r="O103" s="12" t="s">
        <v>272</v>
      </c>
      <c r="P103" s="12" t="s">
        <v>272</v>
      </c>
      <c r="Q103" s="12" t="s">
        <v>272</v>
      </c>
      <c r="R103" s="12" t="s">
        <v>272</v>
      </c>
      <c r="S103" s="12" t="s">
        <v>272</v>
      </c>
      <c r="T103" s="12" t="s">
        <v>272</v>
      </c>
      <c r="U103" s="14" t="s">
        <v>317</v>
      </c>
      <c r="V103" s="18"/>
      <c r="W103" s="21"/>
      <c r="X103" s="25" t="str">
        <f>_xlfn.IFS(AND(COUNTIF(V103,"SCB*")=1, 'PCH176'!G60&gt;=2), "See the Notice *2", TRUE, "")</f>
        <v/>
      </c>
      <c r="Y103" s="13"/>
      <c r="Z103" s="14" t="s">
        <v>271</v>
      </c>
      <c r="AA103" s="15" t="s">
        <v>354</v>
      </c>
      <c r="AB103" s="13"/>
      <c r="AC103" s="13"/>
    </row>
    <row r="104" spans="2:29" ht="10.25" customHeight="1" x14ac:dyDescent="0.55000000000000004">
      <c r="B104" s="14" t="s">
        <v>167</v>
      </c>
      <c r="C104" s="14">
        <v>95</v>
      </c>
      <c r="D104" s="15" t="s">
        <v>167</v>
      </c>
      <c r="E104" s="14" t="s">
        <v>910</v>
      </c>
      <c r="F104" s="14" t="s">
        <v>911</v>
      </c>
      <c r="G104" s="14" t="s">
        <v>912</v>
      </c>
      <c r="H104" s="14" t="s">
        <v>913</v>
      </c>
      <c r="I104" s="14" t="s">
        <v>640</v>
      </c>
      <c r="J104" s="12" t="s">
        <v>272</v>
      </c>
      <c r="K104" s="12" t="s">
        <v>272</v>
      </c>
      <c r="L104" s="14" t="s">
        <v>914</v>
      </c>
      <c r="M104" s="14" t="s">
        <v>824</v>
      </c>
      <c r="N104" s="12" t="s">
        <v>272</v>
      </c>
      <c r="O104" s="14" t="s">
        <v>915</v>
      </c>
      <c r="P104" s="12" t="s">
        <v>272</v>
      </c>
      <c r="Q104" s="12" t="s">
        <v>272</v>
      </c>
      <c r="R104" s="12" t="s">
        <v>272</v>
      </c>
      <c r="S104" s="12" t="s">
        <v>272</v>
      </c>
      <c r="T104" s="12" t="s">
        <v>272</v>
      </c>
      <c r="U104" s="14" t="s">
        <v>318</v>
      </c>
      <c r="V104" s="18"/>
      <c r="W104" s="21"/>
      <c r="X104" s="25" t="str">
        <f>_xlfn.IFS(AND(COUNTIF(V104,"SCB*")=1, 'PCH176'!G60&gt;=2), "See the Notice *2", TRUE, "")</f>
        <v/>
      </c>
      <c r="Y104" s="13"/>
      <c r="Z104" s="14" t="s">
        <v>271</v>
      </c>
      <c r="AA104" s="15" t="s">
        <v>354</v>
      </c>
      <c r="AB104" s="13"/>
      <c r="AC104" s="13"/>
    </row>
    <row r="105" spans="2:29" ht="10.25" customHeight="1" x14ac:dyDescent="0.55000000000000004">
      <c r="B105" s="14" t="s">
        <v>168</v>
      </c>
      <c r="C105" s="14">
        <v>96</v>
      </c>
      <c r="D105" s="15" t="s">
        <v>168</v>
      </c>
      <c r="E105" s="14" t="s">
        <v>916</v>
      </c>
      <c r="F105" s="14" t="s">
        <v>917</v>
      </c>
      <c r="G105" s="14" t="s">
        <v>918</v>
      </c>
      <c r="H105" s="14" t="s">
        <v>919</v>
      </c>
      <c r="I105" s="14" t="s">
        <v>595</v>
      </c>
      <c r="J105" s="12" t="s">
        <v>272</v>
      </c>
      <c r="K105" s="12" t="s">
        <v>272</v>
      </c>
      <c r="L105" s="14" t="s">
        <v>920</v>
      </c>
      <c r="M105" s="14" t="s">
        <v>830</v>
      </c>
      <c r="N105" s="12" t="s">
        <v>272</v>
      </c>
      <c r="O105" s="14" t="s">
        <v>921</v>
      </c>
      <c r="P105" s="14" t="s">
        <v>169</v>
      </c>
      <c r="Q105" s="12" t="s">
        <v>272</v>
      </c>
      <c r="R105" s="12" t="s">
        <v>272</v>
      </c>
      <c r="S105" s="12" t="s">
        <v>272</v>
      </c>
      <c r="T105" s="12" t="s">
        <v>272</v>
      </c>
      <c r="U105" s="14" t="s">
        <v>319</v>
      </c>
      <c r="V105" s="18"/>
      <c r="W105" s="21"/>
      <c r="X105" s="25" t="str">
        <f>_xlfn.IFS(AND(COUNTIF(V105,"SCB*")=1, 'PCH176'!G60&gt;=2), "See the Notice *2", TRUE, "")</f>
        <v/>
      </c>
      <c r="Y105" s="13"/>
      <c r="Z105" s="14" t="s">
        <v>271</v>
      </c>
      <c r="AA105" s="15" t="s">
        <v>354</v>
      </c>
      <c r="AB105" s="13"/>
      <c r="AC105" s="13"/>
    </row>
    <row r="106" spans="2:29" ht="10.25" customHeight="1" x14ac:dyDescent="0.55000000000000004">
      <c r="B106" s="14" t="s">
        <v>170</v>
      </c>
      <c r="C106" s="14">
        <v>97</v>
      </c>
      <c r="D106" s="15" t="s">
        <v>170</v>
      </c>
      <c r="E106" s="14" t="s">
        <v>922</v>
      </c>
      <c r="F106" s="14" t="s">
        <v>923</v>
      </c>
      <c r="G106" s="14" t="s">
        <v>924</v>
      </c>
      <c r="H106" s="14" t="s">
        <v>925</v>
      </c>
      <c r="I106" s="14" t="s">
        <v>646</v>
      </c>
      <c r="J106" s="12" t="s">
        <v>272</v>
      </c>
      <c r="K106" s="12" t="s">
        <v>272</v>
      </c>
      <c r="L106" s="12" t="s">
        <v>272</v>
      </c>
      <c r="M106" s="12" t="s">
        <v>272</v>
      </c>
      <c r="N106" s="12" t="s">
        <v>272</v>
      </c>
      <c r="O106" s="14" t="s">
        <v>926</v>
      </c>
      <c r="P106" s="14" t="s">
        <v>171</v>
      </c>
      <c r="Q106" s="12" t="s">
        <v>272</v>
      </c>
      <c r="R106" s="12" t="s">
        <v>272</v>
      </c>
      <c r="S106" s="12" t="s">
        <v>272</v>
      </c>
      <c r="T106" s="12" t="s">
        <v>272</v>
      </c>
      <c r="U106" s="14" t="s">
        <v>320</v>
      </c>
      <c r="V106" s="18"/>
      <c r="W106" s="21"/>
      <c r="X106" s="25"/>
      <c r="Y106" s="13"/>
      <c r="Z106" s="14" t="s">
        <v>271</v>
      </c>
      <c r="AA106" s="15" t="s">
        <v>354</v>
      </c>
      <c r="AB106" s="13"/>
      <c r="AC106" s="13"/>
    </row>
    <row r="107" spans="2:29" ht="10.25" customHeight="1" x14ac:dyDescent="0.55000000000000004">
      <c r="B107" s="14" t="s">
        <v>172</v>
      </c>
      <c r="C107" s="14">
        <v>98</v>
      </c>
      <c r="D107" s="15" t="s">
        <v>172</v>
      </c>
      <c r="E107" s="14" t="s">
        <v>927</v>
      </c>
      <c r="F107" s="14" t="s">
        <v>928</v>
      </c>
      <c r="G107" s="14" t="s">
        <v>929</v>
      </c>
      <c r="H107" s="14" t="s">
        <v>930</v>
      </c>
      <c r="I107" s="14" t="s">
        <v>600</v>
      </c>
      <c r="J107" s="14" t="s">
        <v>931</v>
      </c>
      <c r="K107" s="12" t="s">
        <v>272</v>
      </c>
      <c r="L107" s="14" t="s">
        <v>932</v>
      </c>
      <c r="M107" s="12" t="s">
        <v>272</v>
      </c>
      <c r="N107" s="14" t="s">
        <v>173</v>
      </c>
      <c r="O107" s="12" t="s">
        <v>272</v>
      </c>
      <c r="P107" s="12" t="s">
        <v>272</v>
      </c>
      <c r="Q107" s="12" t="s">
        <v>272</v>
      </c>
      <c r="R107" s="12" t="s">
        <v>272</v>
      </c>
      <c r="S107" s="12" t="s">
        <v>272</v>
      </c>
      <c r="T107" s="12" t="s">
        <v>272</v>
      </c>
      <c r="U107" s="14" t="s">
        <v>321</v>
      </c>
      <c r="V107" s="18"/>
      <c r="W107" s="21"/>
      <c r="X107" s="25" t="str">
        <f>_xlfn.IFS(AND(COUNTIF(V107,"SCB*")=1, 'PCH176'!F60&gt;=2), "See the Notice *2", TRUE, "")</f>
        <v/>
      </c>
      <c r="Y107" s="13"/>
      <c r="Z107" s="14" t="s">
        <v>271</v>
      </c>
      <c r="AA107" s="15" t="s">
        <v>354</v>
      </c>
      <c r="AB107" s="13"/>
      <c r="AC107" s="13"/>
    </row>
    <row r="108" spans="2:29" ht="10.25" customHeight="1" x14ac:dyDescent="0.55000000000000004">
      <c r="B108" s="14" t="s">
        <v>174</v>
      </c>
      <c r="C108" s="14">
        <v>99</v>
      </c>
      <c r="D108" s="15" t="s">
        <v>174</v>
      </c>
      <c r="E108" s="14" t="s">
        <v>933</v>
      </c>
      <c r="F108" s="14" t="s">
        <v>934</v>
      </c>
      <c r="G108" s="14" t="s">
        <v>935</v>
      </c>
      <c r="H108" s="14" t="s">
        <v>936</v>
      </c>
      <c r="I108" s="14" t="s">
        <v>652</v>
      </c>
      <c r="J108" s="14" t="s">
        <v>937</v>
      </c>
      <c r="K108" s="14" t="s">
        <v>938</v>
      </c>
      <c r="L108" s="14" t="s">
        <v>939</v>
      </c>
      <c r="M108" s="12" t="s">
        <v>272</v>
      </c>
      <c r="N108" s="14" t="s">
        <v>175</v>
      </c>
      <c r="O108" s="12" t="s">
        <v>272</v>
      </c>
      <c r="P108" s="12" t="s">
        <v>272</v>
      </c>
      <c r="Q108" s="12" t="s">
        <v>272</v>
      </c>
      <c r="R108" s="12" t="s">
        <v>272</v>
      </c>
      <c r="S108" s="12" t="s">
        <v>272</v>
      </c>
      <c r="T108" s="12" t="s">
        <v>272</v>
      </c>
      <c r="U108" s="14" t="s">
        <v>322</v>
      </c>
      <c r="V108" s="18"/>
      <c r="W108" s="21"/>
      <c r="X108" s="25" t="str">
        <f>_xlfn.IFS(AND(COUNTIF(V108,"SCB*")=1, 'PCH176'!F60&gt;=2), "See the Notice *2", TRUE, "")</f>
        <v/>
      </c>
      <c r="Y108" s="13"/>
      <c r="Z108" s="14" t="s">
        <v>271</v>
      </c>
      <c r="AA108" s="15" t="s">
        <v>354</v>
      </c>
      <c r="AB108" s="13"/>
      <c r="AC108" s="13"/>
    </row>
    <row r="109" spans="2:29" ht="10.25" customHeight="1" x14ac:dyDescent="0.55000000000000004">
      <c r="B109" s="14" t="s">
        <v>176</v>
      </c>
      <c r="C109" s="14">
        <v>100</v>
      </c>
      <c r="D109" s="15" t="s">
        <v>176</v>
      </c>
      <c r="E109" s="14" t="s">
        <v>940</v>
      </c>
      <c r="F109" s="14" t="s">
        <v>941</v>
      </c>
      <c r="G109" s="14" t="s">
        <v>942</v>
      </c>
      <c r="H109" s="14" t="s">
        <v>943</v>
      </c>
      <c r="I109" s="14" t="s">
        <v>605</v>
      </c>
      <c r="J109" s="14" t="s">
        <v>944</v>
      </c>
      <c r="K109" s="14" t="s">
        <v>945</v>
      </c>
      <c r="L109" s="14" t="s">
        <v>946</v>
      </c>
      <c r="M109" s="14" t="s">
        <v>148</v>
      </c>
      <c r="N109" s="12" t="s">
        <v>272</v>
      </c>
      <c r="O109" s="12" t="s">
        <v>272</v>
      </c>
      <c r="P109" s="12" t="s">
        <v>272</v>
      </c>
      <c r="Q109" s="12" t="s">
        <v>272</v>
      </c>
      <c r="R109" s="12" t="s">
        <v>272</v>
      </c>
      <c r="S109" s="12" t="s">
        <v>272</v>
      </c>
      <c r="T109" s="12" t="s">
        <v>272</v>
      </c>
      <c r="U109" s="14" t="s">
        <v>323</v>
      </c>
      <c r="V109" s="18"/>
      <c r="W109" s="21"/>
      <c r="X109" s="25" t="str">
        <f>_xlfn.IFS(AND(COUNTIF(V109,"SCB*")=1, 'PCH176'!F60&gt;=2), "See the Notice *2", TRUE, "")</f>
        <v/>
      </c>
      <c r="Y109" s="13"/>
      <c r="Z109" s="14" t="s">
        <v>271</v>
      </c>
      <c r="AA109" s="15" t="s">
        <v>354</v>
      </c>
      <c r="AB109" s="13"/>
      <c r="AC109" s="13"/>
    </row>
    <row r="110" spans="2:29" ht="10.25" customHeight="1" x14ac:dyDescent="0.55000000000000004">
      <c r="B110" s="14" t="s">
        <v>177</v>
      </c>
      <c r="C110" s="14">
        <v>101</v>
      </c>
      <c r="D110" s="15" t="s">
        <v>177</v>
      </c>
      <c r="E110" s="14" t="s">
        <v>947</v>
      </c>
      <c r="F110" s="14" t="s">
        <v>948</v>
      </c>
      <c r="G110" s="14" t="s">
        <v>949</v>
      </c>
      <c r="H110" s="14" t="s">
        <v>950</v>
      </c>
      <c r="I110" s="14" t="s">
        <v>660</v>
      </c>
      <c r="J110" s="14" t="s">
        <v>951</v>
      </c>
      <c r="K110" s="12" t="s">
        <v>272</v>
      </c>
      <c r="L110" s="14" t="s">
        <v>952</v>
      </c>
      <c r="M110" s="14" t="s">
        <v>151</v>
      </c>
      <c r="N110" s="12" t="s">
        <v>272</v>
      </c>
      <c r="O110" s="12" t="s">
        <v>272</v>
      </c>
      <c r="P110" s="12" t="s">
        <v>272</v>
      </c>
      <c r="Q110" s="12" t="s">
        <v>272</v>
      </c>
      <c r="R110" s="12" t="s">
        <v>272</v>
      </c>
      <c r="S110" s="12" t="s">
        <v>272</v>
      </c>
      <c r="T110" s="12" t="s">
        <v>272</v>
      </c>
      <c r="U110" s="14" t="s">
        <v>324</v>
      </c>
      <c r="V110" s="18"/>
      <c r="W110" s="21"/>
      <c r="X110" s="25" t="str">
        <f>_xlfn.IFS(AND(COUNTIF(V110,"SCB*")=1, 'PCH176'!F60&gt;=2), "See the Notice *2", TRUE, "")</f>
        <v/>
      </c>
      <c r="Y110" s="13"/>
      <c r="Z110" s="14" t="s">
        <v>271</v>
      </c>
      <c r="AA110" s="15" t="s">
        <v>354</v>
      </c>
      <c r="AB110" s="13"/>
      <c r="AC110" s="13"/>
    </row>
    <row r="111" spans="2:29" ht="10.25" customHeight="1" x14ac:dyDescent="0.55000000000000004">
      <c r="B111" s="14" t="s">
        <v>178</v>
      </c>
      <c r="C111" s="14">
        <v>102</v>
      </c>
      <c r="D111" s="15" t="s">
        <v>178</v>
      </c>
      <c r="E111" s="14" t="s">
        <v>953</v>
      </c>
      <c r="F111" s="14" t="s">
        <v>954</v>
      </c>
      <c r="G111" s="14" t="s">
        <v>955</v>
      </c>
      <c r="H111" s="14" t="s">
        <v>956</v>
      </c>
      <c r="I111" s="14" t="s">
        <v>610</v>
      </c>
      <c r="J111" s="12" t="s">
        <v>272</v>
      </c>
      <c r="K111" s="12" t="s">
        <v>272</v>
      </c>
      <c r="L111" s="14" t="s">
        <v>957</v>
      </c>
      <c r="M111" s="14" t="s">
        <v>144</v>
      </c>
      <c r="N111" s="12" t="s">
        <v>272</v>
      </c>
      <c r="O111" s="12" t="s">
        <v>272</v>
      </c>
      <c r="P111" s="12" t="s">
        <v>272</v>
      </c>
      <c r="Q111" s="12" t="s">
        <v>272</v>
      </c>
      <c r="R111" s="12" t="s">
        <v>272</v>
      </c>
      <c r="S111" s="12" t="s">
        <v>272</v>
      </c>
      <c r="T111" s="12" t="s">
        <v>272</v>
      </c>
      <c r="U111" s="14" t="s">
        <v>325</v>
      </c>
      <c r="V111" s="18"/>
      <c r="W111" s="21"/>
      <c r="X111" s="25" t="str">
        <f>_xlfn.IFS(AND(COUNTIF(V111,"SCB*")=1, 'PCH176'!F60&gt;=2), "See the Notice *2", TRUE, "")</f>
        <v/>
      </c>
      <c r="Y111" s="13"/>
      <c r="Z111" s="14" t="s">
        <v>271</v>
      </c>
      <c r="AA111" s="15" t="s">
        <v>354</v>
      </c>
      <c r="AB111" s="13"/>
      <c r="AC111" s="13"/>
    </row>
    <row r="112" spans="2:29" ht="10.25" customHeight="1" x14ac:dyDescent="0.55000000000000004">
      <c r="B112" s="14" t="s">
        <v>179</v>
      </c>
      <c r="C112" s="14">
        <v>103</v>
      </c>
      <c r="D112" s="15" t="s">
        <v>179</v>
      </c>
      <c r="E112" s="14" t="s">
        <v>958</v>
      </c>
      <c r="F112" s="14" t="s">
        <v>959</v>
      </c>
      <c r="G112" s="14" t="s">
        <v>960</v>
      </c>
      <c r="H112" s="14" t="s">
        <v>961</v>
      </c>
      <c r="I112" s="14" t="s">
        <v>669</v>
      </c>
      <c r="J112" s="12" t="s">
        <v>272</v>
      </c>
      <c r="K112" s="12" t="s">
        <v>272</v>
      </c>
      <c r="L112" s="14" t="s">
        <v>962</v>
      </c>
      <c r="M112" s="12" t="s">
        <v>272</v>
      </c>
      <c r="N112" s="12" t="s">
        <v>272</v>
      </c>
      <c r="O112" s="14" t="s">
        <v>915</v>
      </c>
      <c r="P112" s="12" t="s">
        <v>272</v>
      </c>
      <c r="Q112" s="12" t="s">
        <v>272</v>
      </c>
      <c r="R112" s="12" t="s">
        <v>272</v>
      </c>
      <c r="S112" s="12" t="s">
        <v>272</v>
      </c>
      <c r="T112" s="12" t="s">
        <v>272</v>
      </c>
      <c r="U112" s="14" t="s">
        <v>326</v>
      </c>
      <c r="V112" s="16"/>
      <c r="W112" s="21"/>
      <c r="X112" s="25" t="str">
        <f>_xlfn.IFS(AND(COUNTIF(V112,"SCB*")=1, 'PCH176'!F60&gt;=2), "See the Notice *2", TRUE, "")</f>
        <v/>
      </c>
      <c r="Y112" s="13"/>
      <c r="Z112" s="14" t="s">
        <v>271</v>
      </c>
      <c r="AA112" s="15" t="s">
        <v>354</v>
      </c>
      <c r="AB112" s="13"/>
      <c r="AC112" s="13"/>
    </row>
    <row r="113" spans="2:29" ht="10.25" customHeight="1" x14ac:dyDescent="0.55000000000000004">
      <c r="B113" s="14" t="s">
        <v>180</v>
      </c>
      <c r="C113" s="14">
        <v>104</v>
      </c>
      <c r="D113" s="15" t="s">
        <v>180</v>
      </c>
      <c r="E113" s="14" t="s">
        <v>963</v>
      </c>
      <c r="F113" s="14" t="s">
        <v>964</v>
      </c>
      <c r="G113" s="14" t="s">
        <v>965</v>
      </c>
      <c r="H113" s="14" t="s">
        <v>966</v>
      </c>
      <c r="I113" s="14" t="s">
        <v>617</v>
      </c>
      <c r="J113" s="12" t="s">
        <v>272</v>
      </c>
      <c r="K113" s="12" t="s">
        <v>272</v>
      </c>
      <c r="L113" s="12" t="s">
        <v>272</v>
      </c>
      <c r="M113" s="12" t="s">
        <v>272</v>
      </c>
      <c r="N113" s="12" t="s">
        <v>272</v>
      </c>
      <c r="O113" s="14" t="s">
        <v>921</v>
      </c>
      <c r="P113" s="14" t="s">
        <v>181</v>
      </c>
      <c r="Q113" s="12" t="s">
        <v>272</v>
      </c>
      <c r="R113" s="12" t="s">
        <v>272</v>
      </c>
      <c r="S113" s="12" t="s">
        <v>272</v>
      </c>
      <c r="T113" s="12" t="s">
        <v>272</v>
      </c>
      <c r="U113" s="14" t="s">
        <v>327</v>
      </c>
      <c r="V113" s="16"/>
      <c r="W113" s="21"/>
      <c r="X113" s="25"/>
      <c r="Y113" s="13"/>
      <c r="Z113" s="14" t="s">
        <v>271</v>
      </c>
      <c r="AA113" s="15" t="s">
        <v>354</v>
      </c>
      <c r="AB113" s="13"/>
      <c r="AC113" s="13"/>
    </row>
    <row r="114" spans="2:29" ht="10.25" customHeight="1" x14ac:dyDescent="0.55000000000000004">
      <c r="B114" s="14" t="s">
        <v>182</v>
      </c>
      <c r="C114" s="14">
        <v>105</v>
      </c>
      <c r="D114" s="15" t="s">
        <v>182</v>
      </c>
      <c r="E114" s="14" t="s">
        <v>967</v>
      </c>
      <c r="F114" s="14" t="s">
        <v>968</v>
      </c>
      <c r="G114" s="14" t="s">
        <v>969</v>
      </c>
      <c r="H114" s="14" t="s">
        <v>970</v>
      </c>
      <c r="I114" s="14" t="s">
        <v>677</v>
      </c>
      <c r="J114" s="12" t="s">
        <v>272</v>
      </c>
      <c r="K114" s="12" t="s">
        <v>272</v>
      </c>
      <c r="L114" s="12" t="s">
        <v>272</v>
      </c>
      <c r="M114" s="12" t="s">
        <v>272</v>
      </c>
      <c r="N114" s="12" t="s">
        <v>272</v>
      </c>
      <c r="O114" s="14" t="s">
        <v>926</v>
      </c>
      <c r="P114" s="14" t="s">
        <v>183</v>
      </c>
      <c r="Q114" s="12" t="s">
        <v>272</v>
      </c>
      <c r="R114" s="12" t="s">
        <v>272</v>
      </c>
      <c r="S114" s="12" t="s">
        <v>272</v>
      </c>
      <c r="T114" s="12" t="s">
        <v>272</v>
      </c>
      <c r="U114" s="14" t="s">
        <v>328</v>
      </c>
      <c r="V114" s="16"/>
      <c r="W114" s="21"/>
      <c r="X114" s="25"/>
      <c r="Y114" s="13"/>
      <c r="Z114" s="14" t="s">
        <v>271</v>
      </c>
      <c r="AA114" s="15" t="s">
        <v>354</v>
      </c>
      <c r="AB114" s="13"/>
      <c r="AC114" s="13"/>
    </row>
    <row r="115" spans="2:29" ht="10.25" customHeight="1" x14ac:dyDescent="0.55000000000000004">
      <c r="B115" s="14" t="s">
        <v>184</v>
      </c>
      <c r="C115" s="14">
        <v>106</v>
      </c>
      <c r="D115" s="15" t="s">
        <v>184</v>
      </c>
      <c r="E115" s="14" t="s">
        <v>971</v>
      </c>
      <c r="F115" s="14" t="s">
        <v>972</v>
      </c>
      <c r="G115" s="14" t="s">
        <v>973</v>
      </c>
      <c r="H115" s="14" t="s">
        <v>974</v>
      </c>
      <c r="I115" s="14" t="s">
        <v>625</v>
      </c>
      <c r="J115" s="12" t="s">
        <v>272</v>
      </c>
      <c r="K115" s="12" t="s">
        <v>272</v>
      </c>
      <c r="L115" s="12" t="s">
        <v>272</v>
      </c>
      <c r="M115" s="12" t="s">
        <v>272</v>
      </c>
      <c r="N115" s="14" t="s">
        <v>975</v>
      </c>
      <c r="O115" s="14" t="s">
        <v>882</v>
      </c>
      <c r="P115" s="12" t="s">
        <v>272</v>
      </c>
      <c r="Q115" s="12" t="s">
        <v>272</v>
      </c>
      <c r="R115" s="12" t="s">
        <v>272</v>
      </c>
      <c r="S115" s="12" t="s">
        <v>272</v>
      </c>
      <c r="T115" s="12" t="s">
        <v>272</v>
      </c>
      <c r="U115" s="14" t="s">
        <v>329</v>
      </c>
      <c r="V115" s="16"/>
      <c r="W115" s="21"/>
      <c r="X115" s="25"/>
      <c r="Y115" s="13"/>
      <c r="Z115" s="14" t="s">
        <v>271</v>
      </c>
      <c r="AA115" s="15" t="s">
        <v>354</v>
      </c>
      <c r="AB115" s="13"/>
      <c r="AC115" s="13"/>
    </row>
    <row r="116" spans="2:29" ht="10.25" customHeight="1" x14ac:dyDescent="0.55000000000000004">
      <c r="B116" s="14" t="s">
        <v>185</v>
      </c>
      <c r="C116" s="14">
        <v>107</v>
      </c>
      <c r="D116" s="15" t="s">
        <v>185</v>
      </c>
      <c r="E116" s="14" t="s">
        <v>976</v>
      </c>
      <c r="F116" s="14" t="s">
        <v>977</v>
      </c>
      <c r="G116" s="14" t="s">
        <v>978</v>
      </c>
      <c r="H116" s="14" t="s">
        <v>979</v>
      </c>
      <c r="I116" s="14" t="s">
        <v>684</v>
      </c>
      <c r="J116" s="12" t="s">
        <v>272</v>
      </c>
      <c r="K116" s="12" t="s">
        <v>272</v>
      </c>
      <c r="L116" s="12" t="s">
        <v>272</v>
      </c>
      <c r="M116" s="12" t="s">
        <v>272</v>
      </c>
      <c r="N116" s="14" t="s">
        <v>980</v>
      </c>
      <c r="O116" s="14" t="s">
        <v>890</v>
      </c>
      <c r="P116" s="12" t="s">
        <v>272</v>
      </c>
      <c r="Q116" s="12" t="s">
        <v>272</v>
      </c>
      <c r="R116" s="12" t="s">
        <v>272</v>
      </c>
      <c r="S116" s="12" t="s">
        <v>272</v>
      </c>
      <c r="T116" s="12" t="s">
        <v>272</v>
      </c>
      <c r="U116" s="14" t="s">
        <v>330</v>
      </c>
      <c r="V116" s="16"/>
      <c r="W116" s="21"/>
      <c r="X116" s="25"/>
      <c r="Y116" s="13"/>
      <c r="Z116" s="14" t="s">
        <v>271</v>
      </c>
      <c r="AA116" s="15" t="s">
        <v>354</v>
      </c>
      <c r="AB116" s="13"/>
      <c r="AC116" s="13"/>
    </row>
    <row r="117" spans="2:29" ht="10.25" customHeight="1" x14ac:dyDescent="0.55000000000000004">
      <c r="B117" s="14" t="s">
        <v>186</v>
      </c>
      <c r="C117" s="14">
        <v>108</v>
      </c>
      <c r="D117" s="15" t="s">
        <v>186</v>
      </c>
      <c r="E117" s="14" t="s">
        <v>981</v>
      </c>
      <c r="F117" s="14" t="s">
        <v>982</v>
      </c>
      <c r="G117" s="14" t="s">
        <v>983</v>
      </c>
      <c r="H117" s="14" t="s">
        <v>984</v>
      </c>
      <c r="I117" s="14" t="s">
        <v>633</v>
      </c>
      <c r="J117" s="12" t="s">
        <v>272</v>
      </c>
      <c r="K117" s="12" t="s">
        <v>272</v>
      </c>
      <c r="L117" s="12" t="s">
        <v>272</v>
      </c>
      <c r="M117" s="12" t="s">
        <v>272</v>
      </c>
      <c r="N117" s="12" t="s">
        <v>272</v>
      </c>
      <c r="O117" s="14" t="s">
        <v>898</v>
      </c>
      <c r="P117" s="12" t="s">
        <v>272</v>
      </c>
      <c r="Q117" s="12" t="s">
        <v>272</v>
      </c>
      <c r="R117" s="12" t="s">
        <v>272</v>
      </c>
      <c r="S117" s="12" t="s">
        <v>272</v>
      </c>
      <c r="T117" s="12" t="s">
        <v>272</v>
      </c>
      <c r="U117" s="14" t="s">
        <v>331</v>
      </c>
      <c r="V117" s="18"/>
      <c r="W117" s="21"/>
      <c r="X117" s="25"/>
      <c r="Y117" s="13"/>
      <c r="Z117" s="14" t="s">
        <v>271</v>
      </c>
      <c r="AA117" s="15" t="s">
        <v>354</v>
      </c>
      <c r="AB117" s="13"/>
      <c r="AC117" s="13"/>
    </row>
    <row r="118" spans="2:29" ht="10.25" customHeight="1" x14ac:dyDescent="0.55000000000000004">
      <c r="B118" s="14" t="s">
        <v>187</v>
      </c>
      <c r="C118" s="14">
        <v>109</v>
      </c>
      <c r="D118" s="15" t="s">
        <v>187</v>
      </c>
      <c r="E118" s="14" t="s">
        <v>985</v>
      </c>
      <c r="F118" s="14" t="s">
        <v>986</v>
      </c>
      <c r="G118" s="14" t="s">
        <v>987</v>
      </c>
      <c r="H118" s="14" t="s">
        <v>988</v>
      </c>
      <c r="I118" s="14" t="s">
        <v>690</v>
      </c>
      <c r="J118" s="12" t="s">
        <v>272</v>
      </c>
      <c r="K118" s="12" t="s">
        <v>272</v>
      </c>
      <c r="L118" s="12" t="s">
        <v>272</v>
      </c>
      <c r="M118" s="12" t="s">
        <v>272</v>
      </c>
      <c r="N118" s="12" t="s">
        <v>272</v>
      </c>
      <c r="O118" s="12" t="s">
        <v>272</v>
      </c>
      <c r="P118" s="12" t="s">
        <v>272</v>
      </c>
      <c r="Q118" s="12" t="s">
        <v>272</v>
      </c>
      <c r="R118" s="12" t="s">
        <v>272</v>
      </c>
      <c r="S118" s="12" t="s">
        <v>272</v>
      </c>
      <c r="T118" s="12" t="s">
        <v>272</v>
      </c>
      <c r="U118" s="14" t="s">
        <v>332</v>
      </c>
      <c r="V118" s="18"/>
      <c r="W118" s="21"/>
      <c r="X118" s="25"/>
      <c r="Y118" s="13"/>
      <c r="Z118" s="14" t="s">
        <v>271</v>
      </c>
      <c r="AA118" s="15" t="s">
        <v>354</v>
      </c>
      <c r="AB118" s="13"/>
      <c r="AC118" s="13"/>
    </row>
    <row r="119" spans="2:29" ht="10.25" customHeight="1" x14ac:dyDescent="0.55000000000000004">
      <c r="B119" s="17" t="s">
        <v>254</v>
      </c>
      <c r="C119" s="11">
        <v>110</v>
      </c>
      <c r="D119" s="12" t="s">
        <v>272</v>
      </c>
      <c r="E119" s="12" t="s">
        <v>272</v>
      </c>
      <c r="F119" s="12" t="s">
        <v>272</v>
      </c>
      <c r="G119" s="12" t="s">
        <v>272</v>
      </c>
      <c r="H119" s="12" t="s">
        <v>272</v>
      </c>
      <c r="I119" s="12" t="s">
        <v>272</v>
      </c>
      <c r="J119" s="12" t="s">
        <v>272</v>
      </c>
      <c r="K119" s="12" t="s">
        <v>272</v>
      </c>
      <c r="L119" s="12" t="s">
        <v>272</v>
      </c>
      <c r="M119" s="12" t="s">
        <v>272</v>
      </c>
      <c r="N119" s="12" t="s">
        <v>272</v>
      </c>
      <c r="O119" s="12" t="s">
        <v>272</v>
      </c>
      <c r="P119" s="12" t="s">
        <v>272</v>
      </c>
      <c r="Q119" s="12" t="s">
        <v>272</v>
      </c>
      <c r="R119" s="12" t="s">
        <v>272</v>
      </c>
      <c r="S119" s="12" t="s">
        <v>272</v>
      </c>
      <c r="T119" s="12" t="s">
        <v>272</v>
      </c>
      <c r="U119" s="12" t="s">
        <v>272</v>
      </c>
      <c r="V119" s="17" t="s">
        <v>254</v>
      </c>
      <c r="W119" s="12" t="s">
        <v>272</v>
      </c>
      <c r="X119" s="25"/>
      <c r="Y119" s="13" t="s">
        <v>530</v>
      </c>
      <c r="Z119" s="14" t="s">
        <v>1189</v>
      </c>
      <c r="AA119" s="15" t="s">
        <v>1189</v>
      </c>
      <c r="AB119" s="13"/>
      <c r="AC119" s="13"/>
    </row>
    <row r="120" spans="2:29" ht="10.25" customHeight="1" x14ac:dyDescent="0.55000000000000004">
      <c r="B120" s="10" t="s">
        <v>253</v>
      </c>
      <c r="C120" s="11">
        <v>111</v>
      </c>
      <c r="D120" s="12" t="s">
        <v>272</v>
      </c>
      <c r="E120" s="12" t="s">
        <v>272</v>
      </c>
      <c r="F120" s="12" t="s">
        <v>272</v>
      </c>
      <c r="G120" s="12" t="s">
        <v>272</v>
      </c>
      <c r="H120" s="12" t="s">
        <v>272</v>
      </c>
      <c r="I120" s="12" t="s">
        <v>272</v>
      </c>
      <c r="J120" s="12" t="s">
        <v>272</v>
      </c>
      <c r="K120" s="12" t="s">
        <v>272</v>
      </c>
      <c r="L120" s="12" t="s">
        <v>272</v>
      </c>
      <c r="M120" s="12" t="s">
        <v>272</v>
      </c>
      <c r="N120" s="12" t="s">
        <v>272</v>
      </c>
      <c r="O120" s="12" t="s">
        <v>272</v>
      </c>
      <c r="P120" s="12" t="s">
        <v>272</v>
      </c>
      <c r="Q120" s="12" t="s">
        <v>272</v>
      </c>
      <c r="R120" s="12" t="s">
        <v>272</v>
      </c>
      <c r="S120" s="12" t="s">
        <v>272</v>
      </c>
      <c r="T120" s="12" t="s">
        <v>272</v>
      </c>
      <c r="U120" s="12" t="s">
        <v>272</v>
      </c>
      <c r="V120" s="10" t="s">
        <v>253</v>
      </c>
      <c r="W120" s="12" t="s">
        <v>272</v>
      </c>
      <c r="X120" s="25"/>
      <c r="Y120" s="13" t="s">
        <v>531</v>
      </c>
      <c r="Z120" s="14" t="s">
        <v>1189</v>
      </c>
      <c r="AA120" s="15" t="s">
        <v>1189</v>
      </c>
      <c r="AB120" s="13"/>
      <c r="AC120" s="13"/>
    </row>
    <row r="121" spans="2:29" ht="10.25" customHeight="1" x14ac:dyDescent="0.55000000000000004">
      <c r="B121" s="14" t="s">
        <v>188</v>
      </c>
      <c r="C121" s="14">
        <v>112</v>
      </c>
      <c r="D121" s="15" t="s">
        <v>188</v>
      </c>
      <c r="E121" s="14" t="s">
        <v>989</v>
      </c>
      <c r="F121" s="14" t="s">
        <v>990</v>
      </c>
      <c r="G121" s="14" t="s">
        <v>991</v>
      </c>
      <c r="H121" s="14" t="s">
        <v>992</v>
      </c>
      <c r="I121" s="14" t="s">
        <v>993</v>
      </c>
      <c r="J121" s="12" t="s">
        <v>272</v>
      </c>
      <c r="K121" s="12" t="s">
        <v>272</v>
      </c>
      <c r="L121" s="12" t="s">
        <v>272</v>
      </c>
      <c r="M121" s="14" t="s">
        <v>994</v>
      </c>
      <c r="N121" s="12" t="s">
        <v>272</v>
      </c>
      <c r="O121" s="12" t="s">
        <v>272</v>
      </c>
      <c r="P121" s="12" t="s">
        <v>272</v>
      </c>
      <c r="Q121" s="12" t="s">
        <v>272</v>
      </c>
      <c r="R121" s="12" t="s">
        <v>272</v>
      </c>
      <c r="S121" s="12" t="s">
        <v>272</v>
      </c>
      <c r="T121" s="12" t="s">
        <v>272</v>
      </c>
      <c r="U121" s="12" t="s">
        <v>272</v>
      </c>
      <c r="V121" s="18"/>
      <c r="W121" s="12" t="s">
        <v>272</v>
      </c>
      <c r="X121" s="25"/>
      <c r="Y121" s="13"/>
      <c r="Z121" s="14" t="s">
        <v>271</v>
      </c>
      <c r="AA121" s="15" t="s">
        <v>254</v>
      </c>
      <c r="AB121" s="13"/>
      <c r="AC121" s="13"/>
    </row>
    <row r="122" spans="2:29" ht="10.25" customHeight="1" x14ac:dyDescent="0.55000000000000004">
      <c r="B122" s="14" t="s">
        <v>189</v>
      </c>
      <c r="C122" s="14">
        <v>113</v>
      </c>
      <c r="D122" s="15" t="s">
        <v>189</v>
      </c>
      <c r="E122" s="14" t="s">
        <v>995</v>
      </c>
      <c r="F122" s="14" t="s">
        <v>996</v>
      </c>
      <c r="G122" s="14" t="s">
        <v>997</v>
      </c>
      <c r="H122" s="14" t="s">
        <v>998</v>
      </c>
      <c r="I122" s="14" t="s">
        <v>999</v>
      </c>
      <c r="J122" s="12" t="s">
        <v>272</v>
      </c>
      <c r="K122" s="12" t="s">
        <v>272</v>
      </c>
      <c r="L122" s="12" t="s">
        <v>272</v>
      </c>
      <c r="M122" s="14" t="s">
        <v>1000</v>
      </c>
      <c r="N122" s="12" t="s">
        <v>272</v>
      </c>
      <c r="O122" s="12" t="s">
        <v>272</v>
      </c>
      <c r="P122" s="12" t="s">
        <v>272</v>
      </c>
      <c r="Q122" s="12" t="s">
        <v>272</v>
      </c>
      <c r="R122" s="12" t="s">
        <v>272</v>
      </c>
      <c r="S122" s="12" t="s">
        <v>272</v>
      </c>
      <c r="T122" s="12" t="s">
        <v>272</v>
      </c>
      <c r="U122" s="12" t="s">
        <v>272</v>
      </c>
      <c r="V122" s="18"/>
      <c r="W122" s="12" t="s">
        <v>272</v>
      </c>
      <c r="X122" s="25"/>
      <c r="Y122" s="13"/>
      <c r="Z122" s="14" t="s">
        <v>271</v>
      </c>
      <c r="AA122" s="15" t="s">
        <v>254</v>
      </c>
      <c r="AB122" s="13"/>
      <c r="AC122" s="13"/>
    </row>
    <row r="123" spans="2:29" ht="10.25" customHeight="1" x14ac:dyDescent="0.55000000000000004">
      <c r="B123" s="14" t="s">
        <v>190</v>
      </c>
      <c r="C123" s="14">
        <v>114</v>
      </c>
      <c r="D123" s="15" t="s">
        <v>190</v>
      </c>
      <c r="E123" s="14" t="s">
        <v>1001</v>
      </c>
      <c r="F123" s="14" t="s">
        <v>1002</v>
      </c>
      <c r="G123" s="14" t="s">
        <v>1003</v>
      </c>
      <c r="H123" s="14" t="s">
        <v>1004</v>
      </c>
      <c r="I123" s="14" t="s">
        <v>1005</v>
      </c>
      <c r="J123" s="12" t="s">
        <v>272</v>
      </c>
      <c r="K123" s="12" t="s">
        <v>272</v>
      </c>
      <c r="L123" s="12" t="s">
        <v>272</v>
      </c>
      <c r="M123" s="14" t="s">
        <v>1006</v>
      </c>
      <c r="N123" s="12" t="s">
        <v>272</v>
      </c>
      <c r="O123" s="12" t="s">
        <v>272</v>
      </c>
      <c r="P123" s="12" t="s">
        <v>272</v>
      </c>
      <c r="Q123" s="12" t="s">
        <v>272</v>
      </c>
      <c r="R123" s="12" t="s">
        <v>272</v>
      </c>
      <c r="S123" s="12" t="s">
        <v>272</v>
      </c>
      <c r="T123" s="12" t="s">
        <v>272</v>
      </c>
      <c r="U123" s="12" t="s">
        <v>272</v>
      </c>
      <c r="V123" s="18"/>
      <c r="W123" s="12" t="s">
        <v>272</v>
      </c>
      <c r="X123" s="25"/>
      <c r="Y123" s="13"/>
      <c r="Z123" s="14" t="s">
        <v>271</v>
      </c>
      <c r="AA123" s="15" t="s">
        <v>254</v>
      </c>
      <c r="AB123" s="13"/>
      <c r="AC123" s="13"/>
    </row>
    <row r="124" spans="2:29" ht="10.25" customHeight="1" x14ac:dyDescent="0.55000000000000004">
      <c r="B124" s="14" t="s">
        <v>191</v>
      </c>
      <c r="C124" s="14">
        <v>115</v>
      </c>
      <c r="D124" s="15" t="s">
        <v>191</v>
      </c>
      <c r="E124" s="14" t="s">
        <v>1001</v>
      </c>
      <c r="F124" s="14" t="s">
        <v>1007</v>
      </c>
      <c r="G124" s="14" t="s">
        <v>1003</v>
      </c>
      <c r="H124" s="14" t="s">
        <v>1008</v>
      </c>
      <c r="I124" s="14" t="s">
        <v>1009</v>
      </c>
      <c r="J124" s="12" t="s">
        <v>272</v>
      </c>
      <c r="K124" s="12" t="s">
        <v>272</v>
      </c>
      <c r="L124" s="12" t="s">
        <v>272</v>
      </c>
      <c r="M124" s="12" t="s">
        <v>272</v>
      </c>
      <c r="N124" s="12" t="s">
        <v>272</v>
      </c>
      <c r="O124" s="12" t="s">
        <v>272</v>
      </c>
      <c r="P124" s="12" t="s">
        <v>272</v>
      </c>
      <c r="Q124" s="12" t="s">
        <v>272</v>
      </c>
      <c r="R124" s="12" t="s">
        <v>272</v>
      </c>
      <c r="S124" s="12" t="s">
        <v>272</v>
      </c>
      <c r="T124" s="12" t="s">
        <v>272</v>
      </c>
      <c r="U124" s="12" t="s">
        <v>272</v>
      </c>
      <c r="V124" s="18"/>
      <c r="W124" s="12" t="s">
        <v>272</v>
      </c>
      <c r="X124" s="25"/>
      <c r="Y124" s="13"/>
      <c r="Z124" s="14" t="s">
        <v>271</v>
      </c>
      <c r="AA124" s="15" t="s">
        <v>254</v>
      </c>
      <c r="AB124" s="13"/>
      <c r="AC124" s="13"/>
    </row>
    <row r="125" spans="2:29" ht="10.25" customHeight="1" x14ac:dyDescent="0.55000000000000004">
      <c r="B125" s="14" t="s">
        <v>192</v>
      </c>
      <c r="C125" s="14">
        <v>116</v>
      </c>
      <c r="D125" s="15" t="s">
        <v>192</v>
      </c>
      <c r="E125" s="14" t="s">
        <v>995</v>
      </c>
      <c r="F125" s="14" t="s">
        <v>1007</v>
      </c>
      <c r="G125" s="14" t="s">
        <v>997</v>
      </c>
      <c r="H125" s="14" t="s">
        <v>1008</v>
      </c>
      <c r="I125" s="12" t="s">
        <v>272</v>
      </c>
      <c r="J125" s="12" t="s">
        <v>272</v>
      </c>
      <c r="K125" s="12" t="s">
        <v>272</v>
      </c>
      <c r="L125" s="12" t="s">
        <v>272</v>
      </c>
      <c r="M125" s="12" t="s">
        <v>272</v>
      </c>
      <c r="N125" s="14" t="s">
        <v>193</v>
      </c>
      <c r="O125" s="12" t="s">
        <v>272</v>
      </c>
      <c r="P125" s="12" t="s">
        <v>272</v>
      </c>
      <c r="Q125" s="12" t="s">
        <v>272</v>
      </c>
      <c r="R125" s="12" t="s">
        <v>272</v>
      </c>
      <c r="S125" s="12" t="s">
        <v>272</v>
      </c>
      <c r="T125" s="12" t="s">
        <v>272</v>
      </c>
      <c r="U125" s="12" t="s">
        <v>272</v>
      </c>
      <c r="V125" s="16"/>
      <c r="W125" s="21"/>
      <c r="X125" s="25"/>
      <c r="Y125" s="13"/>
      <c r="Z125" s="14" t="s">
        <v>271</v>
      </c>
      <c r="AA125" s="15" t="s">
        <v>254</v>
      </c>
      <c r="AB125" s="13"/>
      <c r="AC125" s="13"/>
    </row>
    <row r="126" spans="2:29" ht="10.25" customHeight="1" x14ac:dyDescent="0.55000000000000004">
      <c r="B126" s="14" t="s">
        <v>194</v>
      </c>
      <c r="C126" s="14">
        <v>117</v>
      </c>
      <c r="D126" s="15" t="s">
        <v>194</v>
      </c>
      <c r="E126" s="14" t="s">
        <v>989</v>
      </c>
      <c r="F126" s="14" t="s">
        <v>1002</v>
      </c>
      <c r="G126" s="14" t="s">
        <v>991</v>
      </c>
      <c r="H126" s="14" t="s">
        <v>1004</v>
      </c>
      <c r="I126" s="14" t="s">
        <v>1010</v>
      </c>
      <c r="J126" s="14" t="s">
        <v>1011</v>
      </c>
      <c r="K126" s="12" t="s">
        <v>272</v>
      </c>
      <c r="L126" s="14" t="s">
        <v>1012</v>
      </c>
      <c r="M126" s="12" t="s">
        <v>272</v>
      </c>
      <c r="N126" s="14" t="s">
        <v>195</v>
      </c>
      <c r="O126" s="12" t="s">
        <v>272</v>
      </c>
      <c r="P126" s="12" t="s">
        <v>272</v>
      </c>
      <c r="Q126" s="12" t="s">
        <v>272</v>
      </c>
      <c r="R126" s="12" t="s">
        <v>272</v>
      </c>
      <c r="S126" s="12" t="s">
        <v>272</v>
      </c>
      <c r="T126" s="12" t="s">
        <v>272</v>
      </c>
      <c r="U126" s="12" t="s">
        <v>272</v>
      </c>
      <c r="V126" s="16"/>
      <c r="W126" s="21"/>
      <c r="X126" s="25" t="str">
        <f>_xlfn.IFS(AND(COUNTIF(V126,"SCB*")=1, 'PCH176'!G60&gt;=2), "See the Notice *2", TRUE, "")</f>
        <v/>
      </c>
      <c r="Y126" s="13"/>
      <c r="Z126" s="14" t="s">
        <v>271</v>
      </c>
      <c r="AA126" s="15" t="s">
        <v>254</v>
      </c>
      <c r="AB126" s="13"/>
      <c r="AC126" s="13"/>
    </row>
    <row r="127" spans="2:29" ht="10.25" customHeight="1" x14ac:dyDescent="0.55000000000000004">
      <c r="B127" s="14" t="s">
        <v>196</v>
      </c>
      <c r="C127" s="14">
        <v>118</v>
      </c>
      <c r="D127" s="15" t="s">
        <v>196</v>
      </c>
      <c r="E127" s="14" t="s">
        <v>985</v>
      </c>
      <c r="F127" s="14" t="s">
        <v>996</v>
      </c>
      <c r="G127" s="14" t="s">
        <v>987</v>
      </c>
      <c r="H127" s="14" t="s">
        <v>998</v>
      </c>
      <c r="I127" s="14" t="s">
        <v>1013</v>
      </c>
      <c r="J127" s="14" t="s">
        <v>1014</v>
      </c>
      <c r="K127" s="14" t="s">
        <v>1015</v>
      </c>
      <c r="L127" s="14" t="s">
        <v>1016</v>
      </c>
      <c r="M127" s="12" t="s">
        <v>272</v>
      </c>
      <c r="N127" s="12" t="s">
        <v>272</v>
      </c>
      <c r="O127" s="12" t="s">
        <v>272</v>
      </c>
      <c r="P127" s="12" t="s">
        <v>272</v>
      </c>
      <c r="Q127" s="12" t="s">
        <v>272</v>
      </c>
      <c r="R127" s="12" t="s">
        <v>272</v>
      </c>
      <c r="S127" s="12" t="s">
        <v>272</v>
      </c>
      <c r="T127" s="12" t="s">
        <v>272</v>
      </c>
      <c r="U127" s="12" t="s">
        <v>272</v>
      </c>
      <c r="V127" s="18"/>
      <c r="W127" s="21"/>
      <c r="X127" s="25" t="str">
        <f>_xlfn.IFS(AND(COUNTIF(V127,"SCB*")=1, 'PCH176'!G60&gt;=2), "See the Notice *2", TRUE, "")</f>
        <v/>
      </c>
      <c r="Y127" s="13"/>
      <c r="Z127" s="14" t="s">
        <v>271</v>
      </c>
      <c r="AA127" s="15" t="s">
        <v>254</v>
      </c>
      <c r="AB127" s="13"/>
      <c r="AC127" s="13"/>
    </row>
    <row r="128" spans="2:29" ht="10.25" customHeight="1" x14ac:dyDescent="0.55000000000000004">
      <c r="B128" s="14" t="s">
        <v>197</v>
      </c>
      <c r="C128" s="14">
        <v>119</v>
      </c>
      <c r="D128" s="15" t="s">
        <v>197</v>
      </c>
      <c r="E128" s="14" t="s">
        <v>981</v>
      </c>
      <c r="F128" s="14" t="s">
        <v>990</v>
      </c>
      <c r="G128" s="14" t="s">
        <v>983</v>
      </c>
      <c r="H128" s="14" t="s">
        <v>992</v>
      </c>
      <c r="I128" s="14" t="s">
        <v>1017</v>
      </c>
      <c r="J128" s="14" t="s">
        <v>1018</v>
      </c>
      <c r="K128" s="14" t="s">
        <v>1019</v>
      </c>
      <c r="L128" s="14" t="s">
        <v>1020</v>
      </c>
      <c r="M128" s="12" t="s">
        <v>272</v>
      </c>
      <c r="N128" s="12" t="s">
        <v>272</v>
      </c>
      <c r="O128" s="12" t="s">
        <v>272</v>
      </c>
      <c r="P128" s="14" t="s">
        <v>198</v>
      </c>
      <c r="Q128" s="12" t="s">
        <v>272</v>
      </c>
      <c r="R128" s="12" t="s">
        <v>272</v>
      </c>
      <c r="S128" s="12" t="s">
        <v>272</v>
      </c>
      <c r="T128" s="12" t="s">
        <v>272</v>
      </c>
      <c r="U128" s="12" t="s">
        <v>272</v>
      </c>
      <c r="V128" s="18"/>
      <c r="W128" s="21"/>
      <c r="X128" s="25" t="str">
        <f>_xlfn.IFS(AND(COUNTIF(V128,"SCB*")=1, 'PCH176'!G60&gt;=2), "See the Notice *2", TRUE, "")</f>
        <v/>
      </c>
      <c r="Y128" s="13"/>
      <c r="Z128" s="14" t="s">
        <v>271</v>
      </c>
      <c r="AA128" s="15" t="s">
        <v>254</v>
      </c>
      <c r="AB128" s="13"/>
      <c r="AC128" s="13"/>
    </row>
    <row r="129" spans="2:29" ht="10.25" customHeight="1" x14ac:dyDescent="0.55000000000000004">
      <c r="B129" s="14" t="s">
        <v>199</v>
      </c>
      <c r="C129" s="14">
        <v>120</v>
      </c>
      <c r="D129" s="15" t="s">
        <v>199</v>
      </c>
      <c r="E129" s="14" t="s">
        <v>976</v>
      </c>
      <c r="F129" s="14" t="s">
        <v>986</v>
      </c>
      <c r="G129" s="14" t="s">
        <v>978</v>
      </c>
      <c r="H129" s="14" t="s">
        <v>988</v>
      </c>
      <c r="I129" s="14" t="s">
        <v>1021</v>
      </c>
      <c r="J129" s="14" t="s">
        <v>1022</v>
      </c>
      <c r="K129" s="14"/>
      <c r="L129" s="14" t="s">
        <v>1023</v>
      </c>
      <c r="M129" s="12" t="s">
        <v>272</v>
      </c>
      <c r="N129" s="12" t="s">
        <v>272</v>
      </c>
      <c r="O129" s="12" t="s">
        <v>272</v>
      </c>
      <c r="P129" s="14" t="s">
        <v>200</v>
      </c>
      <c r="Q129" s="12" t="s">
        <v>272</v>
      </c>
      <c r="R129" s="12" t="s">
        <v>272</v>
      </c>
      <c r="S129" s="12" t="s">
        <v>272</v>
      </c>
      <c r="T129" s="12" t="s">
        <v>272</v>
      </c>
      <c r="U129" s="12" t="s">
        <v>272</v>
      </c>
      <c r="V129" s="16"/>
      <c r="W129" s="21"/>
      <c r="X129" s="25" t="str">
        <f>_xlfn.IFS(AND(COUNTIF(V129,"SCB*")=1, 'PCH176'!G60&gt;=2), "See the Notice *2", TRUE, "")</f>
        <v/>
      </c>
      <c r="Y129" s="13"/>
      <c r="Z129" s="14" t="s">
        <v>271</v>
      </c>
      <c r="AA129" s="15" t="s">
        <v>254</v>
      </c>
      <c r="AB129" s="13"/>
      <c r="AC129" s="13"/>
    </row>
    <row r="130" spans="2:29" ht="10.25" customHeight="1" x14ac:dyDescent="0.55000000000000004">
      <c r="B130" s="14" t="s">
        <v>201</v>
      </c>
      <c r="C130" s="14">
        <v>121</v>
      </c>
      <c r="D130" s="15" t="s">
        <v>201</v>
      </c>
      <c r="E130" s="14" t="s">
        <v>971</v>
      </c>
      <c r="F130" s="14" t="s">
        <v>982</v>
      </c>
      <c r="G130" s="14" t="s">
        <v>973</v>
      </c>
      <c r="H130" s="14" t="s">
        <v>984</v>
      </c>
      <c r="I130" s="12" t="s">
        <v>272</v>
      </c>
      <c r="J130" s="12" t="s">
        <v>272</v>
      </c>
      <c r="K130" s="12" t="s">
        <v>272</v>
      </c>
      <c r="L130" s="14" t="s">
        <v>1024</v>
      </c>
      <c r="M130" s="12" t="s">
        <v>272</v>
      </c>
      <c r="N130" s="12" t="s">
        <v>272</v>
      </c>
      <c r="O130" s="12" t="s">
        <v>272</v>
      </c>
      <c r="P130" s="12" t="s">
        <v>272</v>
      </c>
      <c r="Q130" s="12" t="s">
        <v>272</v>
      </c>
      <c r="R130" s="12" t="s">
        <v>272</v>
      </c>
      <c r="S130" s="12" t="s">
        <v>272</v>
      </c>
      <c r="T130" s="12" t="s">
        <v>272</v>
      </c>
      <c r="U130" s="12" t="s">
        <v>272</v>
      </c>
      <c r="V130" s="16"/>
      <c r="W130" s="21"/>
      <c r="X130" s="25" t="str">
        <f>_xlfn.IFS(AND(COUNTIF(V130,"SCB*")=1, 'PCH176'!G60&gt;=2), "See the Notice *2", TRUE, "")</f>
        <v/>
      </c>
      <c r="Y130" s="13"/>
      <c r="Z130" s="14" t="s">
        <v>271</v>
      </c>
      <c r="AA130" s="15" t="s">
        <v>254</v>
      </c>
      <c r="AB130" s="13"/>
      <c r="AC130" s="13"/>
    </row>
    <row r="131" spans="2:29" ht="10.25" customHeight="1" x14ac:dyDescent="0.55000000000000004">
      <c r="B131" s="14" t="s">
        <v>202</v>
      </c>
      <c r="C131" s="14">
        <v>122</v>
      </c>
      <c r="D131" s="15" t="s">
        <v>202</v>
      </c>
      <c r="E131" s="14" t="s">
        <v>723</v>
      </c>
      <c r="F131" s="14" t="s">
        <v>977</v>
      </c>
      <c r="G131" s="14" t="s">
        <v>724</v>
      </c>
      <c r="H131" s="14" t="s">
        <v>979</v>
      </c>
      <c r="I131" s="12" t="s">
        <v>272</v>
      </c>
      <c r="J131" s="12" t="s">
        <v>272</v>
      </c>
      <c r="K131" s="12" t="s">
        <v>272</v>
      </c>
      <c r="L131" s="14" t="s">
        <v>1025</v>
      </c>
      <c r="M131" s="12" t="s">
        <v>272</v>
      </c>
      <c r="N131" s="12" t="s">
        <v>272</v>
      </c>
      <c r="O131" s="12" t="s">
        <v>272</v>
      </c>
      <c r="P131" s="12" t="s">
        <v>272</v>
      </c>
      <c r="Q131" s="12" t="s">
        <v>272</v>
      </c>
      <c r="R131" s="12" t="s">
        <v>272</v>
      </c>
      <c r="S131" s="12" t="s">
        <v>272</v>
      </c>
      <c r="T131" s="12" t="s">
        <v>272</v>
      </c>
      <c r="U131" s="12" t="s">
        <v>272</v>
      </c>
      <c r="V131" s="16"/>
      <c r="W131" s="21"/>
      <c r="X131" s="25" t="str">
        <f>_xlfn.IFS(AND(COUNTIF(V131,"SCB*")=1, 'PCH176'!G60&gt;=2), "See the Notice *2", TRUE, "")</f>
        <v/>
      </c>
      <c r="Y131" s="13"/>
      <c r="Z131" s="14" t="s">
        <v>271</v>
      </c>
      <c r="AA131" s="15" t="s">
        <v>254</v>
      </c>
      <c r="AB131" s="13"/>
      <c r="AC131" s="13"/>
    </row>
    <row r="132" spans="2:29" ht="10.25" customHeight="1" x14ac:dyDescent="0.55000000000000004">
      <c r="B132" s="14" t="s">
        <v>203</v>
      </c>
      <c r="C132" s="14">
        <v>123</v>
      </c>
      <c r="D132" s="15" t="s">
        <v>203</v>
      </c>
      <c r="E132" s="14" t="s">
        <v>736</v>
      </c>
      <c r="F132" s="14" t="s">
        <v>729</v>
      </c>
      <c r="G132" s="14" t="s">
        <v>738</v>
      </c>
      <c r="H132" s="14" t="s">
        <v>731</v>
      </c>
      <c r="I132" s="12" t="s">
        <v>272</v>
      </c>
      <c r="J132" s="12" t="s">
        <v>272</v>
      </c>
      <c r="K132" s="12" t="s">
        <v>272</v>
      </c>
      <c r="L132" s="12" t="s">
        <v>272</v>
      </c>
      <c r="M132" s="12" t="s">
        <v>272</v>
      </c>
      <c r="N132" s="12" t="s">
        <v>272</v>
      </c>
      <c r="O132" s="12" t="s">
        <v>272</v>
      </c>
      <c r="P132" s="12" t="s">
        <v>272</v>
      </c>
      <c r="Q132" s="12" t="s">
        <v>272</v>
      </c>
      <c r="R132" s="12" t="s">
        <v>272</v>
      </c>
      <c r="S132" s="12" t="s">
        <v>272</v>
      </c>
      <c r="T132" s="12" t="s">
        <v>272</v>
      </c>
      <c r="U132" s="12" t="s">
        <v>272</v>
      </c>
      <c r="V132" s="16"/>
      <c r="W132" s="21"/>
      <c r="X132" s="25"/>
      <c r="Y132" s="13"/>
      <c r="Z132" s="14" t="s">
        <v>271</v>
      </c>
      <c r="AA132" s="15" t="s">
        <v>254</v>
      </c>
      <c r="AB132" s="13"/>
      <c r="AC132" s="13"/>
    </row>
    <row r="133" spans="2:29" ht="10.25" customHeight="1" x14ac:dyDescent="0.55000000000000004">
      <c r="B133" s="14" t="s">
        <v>204</v>
      </c>
      <c r="C133" s="14">
        <v>124</v>
      </c>
      <c r="D133" s="15" t="s">
        <v>204</v>
      </c>
      <c r="E133" s="14" t="s">
        <v>750</v>
      </c>
      <c r="F133" s="14" t="s">
        <v>745</v>
      </c>
      <c r="G133" s="14" t="s">
        <v>752</v>
      </c>
      <c r="H133" s="14" t="s">
        <v>747</v>
      </c>
      <c r="I133" s="14" t="s">
        <v>993</v>
      </c>
      <c r="J133" s="14" t="s">
        <v>1026</v>
      </c>
      <c r="K133" s="12" t="s">
        <v>272</v>
      </c>
      <c r="L133" s="14" t="s">
        <v>1027</v>
      </c>
      <c r="M133" s="12" t="s">
        <v>272</v>
      </c>
      <c r="N133" s="12" t="s">
        <v>272</v>
      </c>
      <c r="O133" s="12" t="s">
        <v>272</v>
      </c>
      <c r="P133" s="12" t="s">
        <v>272</v>
      </c>
      <c r="Q133" s="14" t="s">
        <v>205</v>
      </c>
      <c r="R133" s="12" t="s">
        <v>272</v>
      </c>
      <c r="S133" s="12" t="s">
        <v>272</v>
      </c>
      <c r="T133" s="12" t="s">
        <v>272</v>
      </c>
      <c r="U133" s="14" t="s">
        <v>333</v>
      </c>
      <c r="V133" s="16"/>
      <c r="W133" s="12" t="s">
        <v>272</v>
      </c>
      <c r="X133" s="25" t="str">
        <f>_xlfn.IFS(AND(COUNTIF(V133,"SCB*")=1, 'PCH176'!E60&gt;=2), "See the Notice *2", TRUE, "")</f>
        <v/>
      </c>
      <c r="Y133" s="13"/>
      <c r="Z133" s="14" t="s">
        <v>271</v>
      </c>
      <c r="AA133" s="15" t="s">
        <v>254</v>
      </c>
      <c r="AB133" s="13"/>
      <c r="AC133" s="13"/>
    </row>
    <row r="134" spans="2:29" ht="10.25" customHeight="1" x14ac:dyDescent="0.55000000000000004">
      <c r="B134" s="14" t="s">
        <v>206</v>
      </c>
      <c r="C134" s="14">
        <v>125</v>
      </c>
      <c r="D134" s="15" t="s">
        <v>206</v>
      </c>
      <c r="E134" s="14" t="s">
        <v>759</v>
      </c>
      <c r="F134" s="14" t="s">
        <v>755</v>
      </c>
      <c r="G134" s="14" t="s">
        <v>760</v>
      </c>
      <c r="H134" s="14" t="s">
        <v>756</v>
      </c>
      <c r="I134" s="14" t="s">
        <v>999</v>
      </c>
      <c r="J134" s="14" t="s">
        <v>1028</v>
      </c>
      <c r="K134" s="14" t="s">
        <v>1029</v>
      </c>
      <c r="L134" s="14" t="s">
        <v>1030</v>
      </c>
      <c r="M134" s="12" t="s">
        <v>272</v>
      </c>
      <c r="N134" s="12" t="s">
        <v>272</v>
      </c>
      <c r="O134" s="12" t="s">
        <v>272</v>
      </c>
      <c r="P134" s="12" t="s">
        <v>272</v>
      </c>
      <c r="Q134" s="14" t="s">
        <v>207</v>
      </c>
      <c r="R134" s="12" t="s">
        <v>272</v>
      </c>
      <c r="S134" s="12" t="s">
        <v>272</v>
      </c>
      <c r="T134" s="12" t="s">
        <v>272</v>
      </c>
      <c r="U134" s="14" t="s">
        <v>334</v>
      </c>
      <c r="V134" s="16"/>
      <c r="W134" s="12" t="s">
        <v>272</v>
      </c>
      <c r="X134" s="25" t="str">
        <f>_xlfn.IFS(AND(COUNTIF(V134,"SCB*")=1, 'PCH176'!E60&gt;=2), "See the Notice *2", TRUE, "")</f>
        <v/>
      </c>
      <c r="Y134" s="13"/>
      <c r="Z134" s="14" t="s">
        <v>271</v>
      </c>
      <c r="AA134" s="15" t="s">
        <v>254</v>
      </c>
      <c r="AB134" s="13"/>
      <c r="AC134" s="13"/>
    </row>
    <row r="135" spans="2:29" ht="10.25" customHeight="1" x14ac:dyDescent="0.55000000000000004">
      <c r="B135" s="14" t="s">
        <v>208</v>
      </c>
      <c r="C135" s="14">
        <v>126</v>
      </c>
      <c r="D135" s="15" t="s">
        <v>208</v>
      </c>
      <c r="E135" s="14" t="s">
        <v>967</v>
      </c>
      <c r="F135" s="14" t="s">
        <v>762</v>
      </c>
      <c r="G135" s="14" t="s">
        <v>969</v>
      </c>
      <c r="H135" s="14" t="s">
        <v>763</v>
      </c>
      <c r="I135" s="14" t="s">
        <v>1005</v>
      </c>
      <c r="J135" s="14" t="s">
        <v>1031</v>
      </c>
      <c r="K135" s="14" t="s">
        <v>1032</v>
      </c>
      <c r="L135" s="14" t="s">
        <v>1033</v>
      </c>
      <c r="M135" s="12" t="s">
        <v>272</v>
      </c>
      <c r="N135" s="12" t="s">
        <v>272</v>
      </c>
      <c r="O135" s="12" t="s">
        <v>272</v>
      </c>
      <c r="P135" s="12" t="s">
        <v>272</v>
      </c>
      <c r="Q135" s="12" t="s">
        <v>272</v>
      </c>
      <c r="R135" s="12" t="s">
        <v>272</v>
      </c>
      <c r="S135" s="12" t="s">
        <v>272</v>
      </c>
      <c r="T135" s="12" t="s">
        <v>272</v>
      </c>
      <c r="U135" s="14" t="s">
        <v>335</v>
      </c>
      <c r="V135" s="16"/>
      <c r="W135" s="12" t="s">
        <v>272</v>
      </c>
      <c r="X135" s="25" t="str">
        <f>_xlfn.IFS(AND(COUNTIF(V135,"SCB*")=1, 'PCH176'!E60&gt;=2), "See the Notice *2", TRUE, "")</f>
        <v/>
      </c>
      <c r="Y135" s="13"/>
      <c r="Z135" s="14" t="s">
        <v>271</v>
      </c>
      <c r="AA135" s="15" t="s">
        <v>254</v>
      </c>
      <c r="AB135" s="13"/>
      <c r="AC135" s="13"/>
    </row>
    <row r="136" spans="2:29" ht="10.25" customHeight="1" x14ac:dyDescent="0.55000000000000004">
      <c r="B136" s="14" t="s">
        <v>209</v>
      </c>
      <c r="C136" s="14">
        <v>127</v>
      </c>
      <c r="D136" s="15" t="s">
        <v>209</v>
      </c>
      <c r="E136" s="14" t="s">
        <v>963</v>
      </c>
      <c r="F136" s="14" t="s">
        <v>972</v>
      </c>
      <c r="G136" s="14" t="s">
        <v>965</v>
      </c>
      <c r="H136" s="14" t="s">
        <v>974</v>
      </c>
      <c r="I136" s="14" t="s">
        <v>1009</v>
      </c>
      <c r="J136" s="14" t="s">
        <v>1034</v>
      </c>
      <c r="K136" s="12" t="s">
        <v>272</v>
      </c>
      <c r="L136" s="14" t="s">
        <v>1035</v>
      </c>
      <c r="M136" s="12" t="s">
        <v>272</v>
      </c>
      <c r="N136" s="12" t="s">
        <v>272</v>
      </c>
      <c r="O136" s="12" t="s">
        <v>272</v>
      </c>
      <c r="P136" s="12" t="s">
        <v>272</v>
      </c>
      <c r="Q136" s="14" t="s">
        <v>1036</v>
      </c>
      <c r="R136" s="12" t="s">
        <v>272</v>
      </c>
      <c r="S136" s="12" t="s">
        <v>272</v>
      </c>
      <c r="T136" s="12" t="s">
        <v>272</v>
      </c>
      <c r="U136" s="14" t="s">
        <v>336</v>
      </c>
      <c r="V136" s="16"/>
      <c r="W136" s="12" t="s">
        <v>272</v>
      </c>
      <c r="X136" s="25" t="str">
        <f>_xlfn.IFS(AND(COUNTIF(V136,"SCB*")=1, 'PCH176'!E60&gt;=2), "See the Notice *2", TRUE, "")</f>
        <v/>
      </c>
      <c r="Y136" s="13"/>
      <c r="Z136" s="14" t="s">
        <v>271</v>
      </c>
      <c r="AA136" s="15" t="s">
        <v>254</v>
      </c>
      <c r="AB136" s="13"/>
      <c r="AC136" s="13"/>
    </row>
    <row r="137" spans="2:29" ht="10.25" customHeight="1" x14ac:dyDescent="0.55000000000000004">
      <c r="B137" s="14" t="s">
        <v>210</v>
      </c>
      <c r="C137" s="14">
        <v>128</v>
      </c>
      <c r="D137" s="15" t="s">
        <v>210</v>
      </c>
      <c r="E137" s="14" t="s">
        <v>958</v>
      </c>
      <c r="F137" s="14" t="s">
        <v>968</v>
      </c>
      <c r="G137" s="14" t="s">
        <v>960</v>
      </c>
      <c r="H137" s="14" t="s">
        <v>970</v>
      </c>
      <c r="I137" s="14" t="s">
        <v>1010</v>
      </c>
      <c r="J137" s="12" t="s">
        <v>272</v>
      </c>
      <c r="K137" s="12" t="s">
        <v>272</v>
      </c>
      <c r="L137" s="14" t="s">
        <v>1037</v>
      </c>
      <c r="M137" s="12" t="s">
        <v>272</v>
      </c>
      <c r="N137" s="12" t="s">
        <v>272</v>
      </c>
      <c r="O137" s="12" t="s">
        <v>272</v>
      </c>
      <c r="P137" s="12" t="s">
        <v>272</v>
      </c>
      <c r="Q137" s="14" t="s">
        <v>1038</v>
      </c>
      <c r="R137" s="12" t="s">
        <v>272</v>
      </c>
      <c r="S137" s="12" t="s">
        <v>272</v>
      </c>
      <c r="T137" s="12" t="s">
        <v>272</v>
      </c>
      <c r="U137" s="14" t="s">
        <v>337</v>
      </c>
      <c r="V137" s="16"/>
      <c r="W137" s="12" t="s">
        <v>272</v>
      </c>
      <c r="X137" s="25" t="str">
        <f>_xlfn.IFS(AND(COUNTIF(V137,"SCB*")=1, 'PCH176'!E60&gt;=2), "See the Notice *2", TRUE, "")</f>
        <v/>
      </c>
      <c r="Y137" s="13"/>
      <c r="Z137" s="14" t="s">
        <v>271</v>
      </c>
      <c r="AA137" s="15" t="s">
        <v>254</v>
      </c>
      <c r="AB137" s="13"/>
      <c r="AC137" s="13"/>
    </row>
    <row r="138" spans="2:29" ht="10.25" customHeight="1" x14ac:dyDescent="0.55000000000000004">
      <c r="B138" s="14" t="s">
        <v>211</v>
      </c>
      <c r="C138" s="14">
        <v>129</v>
      </c>
      <c r="D138" s="15" t="s">
        <v>211</v>
      </c>
      <c r="E138" s="14" t="s">
        <v>953</v>
      </c>
      <c r="F138" s="14" t="s">
        <v>964</v>
      </c>
      <c r="G138" s="14" t="s">
        <v>955</v>
      </c>
      <c r="H138" s="14" t="s">
        <v>966</v>
      </c>
      <c r="I138" s="14" t="s">
        <v>1013</v>
      </c>
      <c r="J138" s="12" t="s">
        <v>272</v>
      </c>
      <c r="K138" s="12" t="s">
        <v>272</v>
      </c>
      <c r="L138" s="14" t="s">
        <v>1039</v>
      </c>
      <c r="M138" s="12" t="s">
        <v>272</v>
      </c>
      <c r="N138" s="12" t="s">
        <v>272</v>
      </c>
      <c r="O138" s="12" t="s">
        <v>272</v>
      </c>
      <c r="P138" s="12" t="s">
        <v>272</v>
      </c>
      <c r="Q138" s="14" t="s">
        <v>1040</v>
      </c>
      <c r="R138" s="12" t="s">
        <v>272</v>
      </c>
      <c r="S138" s="12" t="s">
        <v>272</v>
      </c>
      <c r="T138" s="12" t="s">
        <v>272</v>
      </c>
      <c r="U138" s="14" t="s">
        <v>338</v>
      </c>
      <c r="V138" s="16"/>
      <c r="W138" s="12" t="s">
        <v>272</v>
      </c>
      <c r="X138" s="25" t="str">
        <f>_xlfn.IFS(AND(COUNTIF(V138,"SCB*")=1, 'PCH176'!E60&gt;=2), "See the Notice *2", TRUE, "")</f>
        <v/>
      </c>
      <c r="Y138" s="13"/>
      <c r="Z138" s="14" t="s">
        <v>271</v>
      </c>
      <c r="AA138" s="15" t="s">
        <v>254</v>
      </c>
      <c r="AB138" s="13"/>
      <c r="AC138" s="13"/>
    </row>
    <row r="139" spans="2:29" ht="10.25" customHeight="1" x14ac:dyDescent="0.55000000000000004">
      <c r="B139" s="14" t="s">
        <v>212</v>
      </c>
      <c r="C139" s="14">
        <v>130</v>
      </c>
      <c r="D139" s="15" t="s">
        <v>212</v>
      </c>
      <c r="E139" s="14" t="s">
        <v>947</v>
      </c>
      <c r="F139" s="14" t="s">
        <v>959</v>
      </c>
      <c r="G139" s="14" t="s">
        <v>949</v>
      </c>
      <c r="H139" s="14" t="s">
        <v>961</v>
      </c>
      <c r="I139" s="14" t="s">
        <v>1017</v>
      </c>
      <c r="J139" s="12" t="s">
        <v>272</v>
      </c>
      <c r="K139" s="12" t="s">
        <v>272</v>
      </c>
      <c r="L139" s="14" t="s">
        <v>1041</v>
      </c>
      <c r="M139" s="12" t="s">
        <v>272</v>
      </c>
      <c r="N139" s="14" t="s">
        <v>213</v>
      </c>
      <c r="O139" s="12" t="s">
        <v>272</v>
      </c>
      <c r="P139" s="12" t="s">
        <v>272</v>
      </c>
      <c r="Q139" s="14" t="s">
        <v>1042</v>
      </c>
      <c r="R139" s="12" t="s">
        <v>272</v>
      </c>
      <c r="S139" s="12" t="s">
        <v>272</v>
      </c>
      <c r="T139" s="12" t="s">
        <v>272</v>
      </c>
      <c r="U139" s="14" t="s">
        <v>339</v>
      </c>
      <c r="V139" s="16"/>
      <c r="W139" s="12" t="s">
        <v>272</v>
      </c>
      <c r="X139" s="25" t="str">
        <f>_xlfn.IFS(AND(COUNTIF(V139,"SCB*")=1, 'PCH176'!E60&gt;=2), "See the Notice *2", TRUE, "")</f>
        <v/>
      </c>
      <c r="Y139" s="13"/>
      <c r="Z139" s="14" t="s">
        <v>271</v>
      </c>
      <c r="AA139" s="15" t="s">
        <v>254</v>
      </c>
      <c r="AB139" s="13"/>
      <c r="AC139" s="13"/>
    </row>
    <row r="140" spans="2:29" ht="10.25" customHeight="1" x14ac:dyDescent="0.55000000000000004">
      <c r="B140" s="14" t="s">
        <v>214</v>
      </c>
      <c r="C140" s="14">
        <v>131</v>
      </c>
      <c r="D140" s="15" t="s">
        <v>214</v>
      </c>
      <c r="E140" s="14" t="s">
        <v>940</v>
      </c>
      <c r="F140" s="14" t="s">
        <v>954</v>
      </c>
      <c r="G140" s="14" t="s">
        <v>942</v>
      </c>
      <c r="H140" s="14" t="s">
        <v>956</v>
      </c>
      <c r="I140" s="14" t="s">
        <v>1021</v>
      </c>
      <c r="J140" s="12" t="s">
        <v>272</v>
      </c>
      <c r="K140" s="12" t="s">
        <v>272</v>
      </c>
      <c r="L140" s="12" t="s">
        <v>272</v>
      </c>
      <c r="M140" s="12" t="s">
        <v>272</v>
      </c>
      <c r="N140" s="14" t="s">
        <v>215</v>
      </c>
      <c r="O140" s="12" t="s">
        <v>272</v>
      </c>
      <c r="P140" s="12" t="s">
        <v>272</v>
      </c>
      <c r="Q140" s="14" t="s">
        <v>1043</v>
      </c>
      <c r="R140" s="12" t="s">
        <v>272</v>
      </c>
      <c r="S140" s="12" t="s">
        <v>272</v>
      </c>
      <c r="T140" s="12" t="s">
        <v>272</v>
      </c>
      <c r="U140" s="14" t="s">
        <v>340</v>
      </c>
      <c r="V140" s="16"/>
      <c r="W140" s="12" t="s">
        <v>272</v>
      </c>
      <c r="X140" s="25"/>
      <c r="Y140" s="13"/>
      <c r="Z140" s="14" t="s">
        <v>271</v>
      </c>
      <c r="AA140" s="15" t="s">
        <v>254</v>
      </c>
      <c r="AB140" s="13"/>
      <c r="AC140" s="13"/>
    </row>
    <row r="141" spans="2:29" ht="10.25" customHeight="1" x14ac:dyDescent="0.55000000000000004">
      <c r="B141" s="17" t="s">
        <v>254</v>
      </c>
      <c r="C141" s="11">
        <v>132</v>
      </c>
      <c r="D141" s="12" t="s">
        <v>272</v>
      </c>
      <c r="E141" s="12" t="s">
        <v>272</v>
      </c>
      <c r="F141" s="12" t="s">
        <v>272</v>
      </c>
      <c r="G141" s="12" t="s">
        <v>272</v>
      </c>
      <c r="H141" s="12" t="s">
        <v>272</v>
      </c>
      <c r="I141" s="12" t="s">
        <v>272</v>
      </c>
      <c r="J141" s="12" t="s">
        <v>272</v>
      </c>
      <c r="K141" s="12" t="s">
        <v>272</v>
      </c>
      <c r="L141" s="12" t="s">
        <v>272</v>
      </c>
      <c r="M141" s="12" t="s">
        <v>272</v>
      </c>
      <c r="N141" s="12" t="s">
        <v>272</v>
      </c>
      <c r="O141" s="12" t="s">
        <v>272</v>
      </c>
      <c r="P141" s="12" t="s">
        <v>272</v>
      </c>
      <c r="Q141" s="12" t="s">
        <v>272</v>
      </c>
      <c r="R141" s="12" t="s">
        <v>272</v>
      </c>
      <c r="S141" s="12" t="s">
        <v>272</v>
      </c>
      <c r="T141" s="12" t="s">
        <v>272</v>
      </c>
      <c r="U141" s="12" t="s">
        <v>272</v>
      </c>
      <c r="V141" s="17" t="s">
        <v>254</v>
      </c>
      <c r="W141" s="12" t="s">
        <v>272</v>
      </c>
      <c r="X141" s="25"/>
      <c r="Y141" s="13" t="s">
        <v>530</v>
      </c>
      <c r="Z141" s="14" t="s">
        <v>1189</v>
      </c>
      <c r="AA141" s="15" t="s">
        <v>1189</v>
      </c>
      <c r="AB141" s="13"/>
      <c r="AC141" s="13"/>
    </row>
    <row r="142" spans="2:29" ht="10.25" customHeight="1" x14ac:dyDescent="0.55000000000000004">
      <c r="B142" s="10" t="s">
        <v>253</v>
      </c>
      <c r="C142" s="11">
        <v>133</v>
      </c>
      <c r="D142" s="12" t="s">
        <v>272</v>
      </c>
      <c r="E142" s="12" t="s">
        <v>272</v>
      </c>
      <c r="F142" s="12" t="s">
        <v>272</v>
      </c>
      <c r="G142" s="12" t="s">
        <v>272</v>
      </c>
      <c r="H142" s="12" t="s">
        <v>272</v>
      </c>
      <c r="I142" s="12" t="s">
        <v>272</v>
      </c>
      <c r="J142" s="12" t="s">
        <v>272</v>
      </c>
      <c r="K142" s="12" t="s">
        <v>272</v>
      </c>
      <c r="L142" s="12" t="s">
        <v>272</v>
      </c>
      <c r="M142" s="12" t="s">
        <v>272</v>
      </c>
      <c r="N142" s="12" t="s">
        <v>272</v>
      </c>
      <c r="O142" s="12" t="s">
        <v>272</v>
      </c>
      <c r="P142" s="12" t="s">
        <v>272</v>
      </c>
      <c r="Q142" s="12" t="s">
        <v>272</v>
      </c>
      <c r="R142" s="12" t="s">
        <v>272</v>
      </c>
      <c r="S142" s="12" t="s">
        <v>272</v>
      </c>
      <c r="T142" s="12" t="s">
        <v>272</v>
      </c>
      <c r="U142" s="12" t="s">
        <v>272</v>
      </c>
      <c r="V142" s="10" t="s">
        <v>253</v>
      </c>
      <c r="W142" s="12" t="s">
        <v>272</v>
      </c>
      <c r="X142" s="25"/>
      <c r="Y142" s="13" t="s">
        <v>531</v>
      </c>
      <c r="Z142" s="14" t="s">
        <v>1189</v>
      </c>
      <c r="AA142" s="15" t="s">
        <v>1189</v>
      </c>
      <c r="AB142" s="13"/>
      <c r="AC142" s="13"/>
    </row>
    <row r="143" spans="2:29" ht="10.25" customHeight="1" x14ac:dyDescent="0.55000000000000004">
      <c r="B143" s="14" t="s">
        <v>216</v>
      </c>
      <c r="C143" s="14">
        <v>134</v>
      </c>
      <c r="D143" s="15" t="s">
        <v>216</v>
      </c>
      <c r="E143" s="14" t="s">
        <v>665</v>
      </c>
      <c r="F143" s="14" t="s">
        <v>948</v>
      </c>
      <c r="G143" s="14" t="s">
        <v>667</v>
      </c>
      <c r="H143" s="14" t="s">
        <v>950</v>
      </c>
      <c r="I143" s="14" t="s">
        <v>1044</v>
      </c>
      <c r="J143" s="14" t="s">
        <v>1045</v>
      </c>
      <c r="K143" s="12" t="s">
        <v>272</v>
      </c>
      <c r="L143" s="14" t="s">
        <v>1046</v>
      </c>
      <c r="M143" s="12" t="s">
        <v>272</v>
      </c>
      <c r="N143" s="14" t="s">
        <v>975</v>
      </c>
      <c r="O143" s="12" t="s">
        <v>272</v>
      </c>
      <c r="P143" s="12" t="s">
        <v>272</v>
      </c>
      <c r="Q143" s="14" t="s">
        <v>217</v>
      </c>
      <c r="R143" s="12" t="s">
        <v>272</v>
      </c>
      <c r="S143" s="12" t="s">
        <v>272</v>
      </c>
      <c r="T143" s="12" t="s">
        <v>272</v>
      </c>
      <c r="U143" s="12" t="s">
        <v>272</v>
      </c>
      <c r="V143" s="16"/>
      <c r="W143" s="12" t="s">
        <v>272</v>
      </c>
      <c r="X143" s="25" t="str">
        <f>_xlfn.IFS(AND(COUNTIF(V143,"SCB*")=1, 'PCH176'!F60&gt;=2), "See the Notice *2", TRUE, "")</f>
        <v/>
      </c>
      <c r="Y143" s="13"/>
      <c r="Z143" s="14" t="s">
        <v>271</v>
      </c>
      <c r="AA143" s="15" t="s">
        <v>254</v>
      </c>
      <c r="AB143" s="13"/>
      <c r="AC143" s="13"/>
    </row>
    <row r="144" spans="2:29" ht="10.25" customHeight="1" x14ac:dyDescent="0.55000000000000004">
      <c r="B144" s="14" t="s">
        <v>218</v>
      </c>
      <c r="C144" s="14">
        <v>135</v>
      </c>
      <c r="D144" s="15" t="s">
        <v>218</v>
      </c>
      <c r="E144" s="14" t="s">
        <v>789</v>
      </c>
      <c r="F144" s="14" t="s">
        <v>674</v>
      </c>
      <c r="G144" s="14" t="s">
        <v>791</v>
      </c>
      <c r="H144" s="14" t="s">
        <v>676</v>
      </c>
      <c r="I144" s="14" t="s">
        <v>1047</v>
      </c>
      <c r="J144" s="14" t="s">
        <v>1048</v>
      </c>
      <c r="K144" s="14" t="s">
        <v>1049</v>
      </c>
      <c r="L144" s="14" t="s">
        <v>1050</v>
      </c>
      <c r="M144" s="12" t="s">
        <v>272</v>
      </c>
      <c r="N144" s="14" t="s">
        <v>980</v>
      </c>
      <c r="O144" s="14" t="s">
        <v>1051</v>
      </c>
      <c r="P144" s="12" t="s">
        <v>272</v>
      </c>
      <c r="Q144" s="14" t="s">
        <v>219</v>
      </c>
      <c r="R144" s="12" t="s">
        <v>272</v>
      </c>
      <c r="S144" s="12" t="s">
        <v>272</v>
      </c>
      <c r="T144" s="12" t="s">
        <v>272</v>
      </c>
      <c r="U144" s="12" t="s">
        <v>272</v>
      </c>
      <c r="V144" s="16"/>
      <c r="W144" s="12" t="s">
        <v>272</v>
      </c>
      <c r="X144" s="25" t="str">
        <f>_xlfn.IFS(AND(COUNTIF(V144,"SCB*")=1, 'PCH176'!F60&gt;=2), "See the Notice *2", TRUE, "")</f>
        <v/>
      </c>
      <c r="Y144" s="13"/>
      <c r="Z144" s="14" t="s">
        <v>271</v>
      </c>
      <c r="AA144" s="15" t="s">
        <v>254</v>
      </c>
      <c r="AB144" s="13"/>
      <c r="AC144" s="13"/>
    </row>
    <row r="145" spans="2:29" ht="10.25" customHeight="1" x14ac:dyDescent="0.55000000000000004">
      <c r="B145" s="14" t="s">
        <v>220</v>
      </c>
      <c r="C145" s="14">
        <v>136</v>
      </c>
      <c r="D145" s="15" t="s">
        <v>220</v>
      </c>
      <c r="E145" s="14" t="s">
        <v>793</v>
      </c>
      <c r="F145" s="14" t="s">
        <v>794</v>
      </c>
      <c r="G145" s="14" t="s">
        <v>795</v>
      </c>
      <c r="H145" s="14" t="s">
        <v>796</v>
      </c>
      <c r="I145" s="14" t="s">
        <v>1052</v>
      </c>
      <c r="J145" s="14" t="s">
        <v>1053</v>
      </c>
      <c r="K145" s="14" t="s">
        <v>1054</v>
      </c>
      <c r="L145" s="14" t="s">
        <v>1055</v>
      </c>
      <c r="M145" s="12" t="s">
        <v>272</v>
      </c>
      <c r="N145" s="12" t="s">
        <v>272</v>
      </c>
      <c r="O145" s="14" t="s">
        <v>1056</v>
      </c>
      <c r="P145" s="14" t="s">
        <v>221</v>
      </c>
      <c r="Q145" s="12" t="s">
        <v>272</v>
      </c>
      <c r="R145" s="12" t="s">
        <v>272</v>
      </c>
      <c r="S145" s="12" t="s">
        <v>272</v>
      </c>
      <c r="T145" s="12" t="s">
        <v>272</v>
      </c>
      <c r="U145" s="12" t="s">
        <v>272</v>
      </c>
      <c r="V145" s="16"/>
      <c r="W145" s="12" t="s">
        <v>272</v>
      </c>
      <c r="X145" s="25" t="str">
        <f>_xlfn.IFS(AND(COUNTIF(V145,"SCB*")=1, 'PCH176'!F60&gt;=2), "See the Notice *2", TRUE, "")</f>
        <v/>
      </c>
      <c r="Y145" s="13"/>
      <c r="Z145" s="14" t="s">
        <v>271</v>
      </c>
      <c r="AA145" s="15" t="s">
        <v>254</v>
      </c>
      <c r="AB145" s="13"/>
      <c r="AC145" s="13"/>
    </row>
    <row r="146" spans="2:29" ht="10.25" customHeight="1" x14ac:dyDescent="0.55000000000000004">
      <c r="B146" s="14" t="s">
        <v>222</v>
      </c>
      <c r="C146" s="14">
        <v>137</v>
      </c>
      <c r="D146" s="15" t="s">
        <v>222</v>
      </c>
      <c r="E146" s="14" t="s">
        <v>797</v>
      </c>
      <c r="F146" s="14" t="s">
        <v>798</v>
      </c>
      <c r="G146" s="14" t="s">
        <v>799</v>
      </c>
      <c r="H146" s="14" t="s">
        <v>800</v>
      </c>
      <c r="I146" s="14" t="s">
        <v>1057</v>
      </c>
      <c r="J146" s="14" t="s">
        <v>1058</v>
      </c>
      <c r="K146" s="12" t="s">
        <v>272</v>
      </c>
      <c r="L146" s="14" t="s">
        <v>1059</v>
      </c>
      <c r="M146" s="12" t="s">
        <v>272</v>
      </c>
      <c r="N146" s="12" t="s">
        <v>272</v>
      </c>
      <c r="O146" s="14" t="s">
        <v>1060</v>
      </c>
      <c r="P146" s="14" t="s">
        <v>223</v>
      </c>
      <c r="Q146" s="12" t="s">
        <v>272</v>
      </c>
      <c r="R146" s="12" t="s">
        <v>272</v>
      </c>
      <c r="S146" s="12" t="s">
        <v>272</v>
      </c>
      <c r="T146" s="12" t="s">
        <v>272</v>
      </c>
      <c r="U146" s="12" t="s">
        <v>272</v>
      </c>
      <c r="V146" s="16"/>
      <c r="W146" s="12" t="s">
        <v>272</v>
      </c>
      <c r="X146" s="25" t="str">
        <f>_xlfn.IFS(AND(COUNTIF(V146,"SCB*")=1, 'PCH176'!F60&gt;=2), "See the Notice *2", TRUE, "")</f>
        <v/>
      </c>
      <c r="Y146" s="13"/>
      <c r="Z146" s="14" t="s">
        <v>271</v>
      </c>
      <c r="AA146" s="15" t="s">
        <v>254</v>
      </c>
      <c r="AB146" s="13"/>
      <c r="AC146" s="13"/>
    </row>
    <row r="147" spans="2:29" ht="10.25" customHeight="1" x14ac:dyDescent="0.55000000000000004">
      <c r="B147" s="14" t="s">
        <v>224</v>
      </c>
      <c r="C147" s="14">
        <v>138</v>
      </c>
      <c r="D147" s="15" t="s">
        <v>224</v>
      </c>
      <c r="E147" s="14" t="s">
        <v>803</v>
      </c>
      <c r="F147" s="14" t="s">
        <v>804</v>
      </c>
      <c r="G147" s="14" t="s">
        <v>805</v>
      </c>
      <c r="H147" s="14" t="s">
        <v>806</v>
      </c>
      <c r="I147" s="14" t="s">
        <v>1061</v>
      </c>
      <c r="J147" s="12" t="s">
        <v>272</v>
      </c>
      <c r="K147" s="12" t="s">
        <v>272</v>
      </c>
      <c r="L147" s="14" t="s">
        <v>1062</v>
      </c>
      <c r="M147" s="12" t="s">
        <v>272</v>
      </c>
      <c r="N147" s="12" t="s">
        <v>272</v>
      </c>
      <c r="O147" s="12" t="s">
        <v>272</v>
      </c>
      <c r="P147" s="12" t="s">
        <v>272</v>
      </c>
      <c r="Q147" s="12" t="s">
        <v>272</v>
      </c>
      <c r="R147" s="12" t="s">
        <v>272</v>
      </c>
      <c r="S147" s="12" t="s">
        <v>272</v>
      </c>
      <c r="T147" s="12" t="s">
        <v>272</v>
      </c>
      <c r="U147" s="12" t="s">
        <v>272</v>
      </c>
      <c r="V147" s="16"/>
      <c r="W147" s="12" t="s">
        <v>272</v>
      </c>
      <c r="X147" s="25" t="str">
        <f>_xlfn.IFS(AND(COUNTIF(V147,"SCB*")=1, 'PCH176'!F60&gt;=2), "See the Notice *2", TRUE, "")</f>
        <v/>
      </c>
      <c r="Y147" s="13"/>
      <c r="Z147" s="14" t="s">
        <v>271</v>
      </c>
      <c r="AA147" s="15" t="s">
        <v>254</v>
      </c>
      <c r="AB147" s="13"/>
      <c r="AC147" s="13"/>
    </row>
    <row r="148" spans="2:29" ht="10.25" customHeight="1" x14ac:dyDescent="0.55000000000000004">
      <c r="B148" s="14" t="s">
        <v>225</v>
      </c>
      <c r="C148" s="14">
        <v>139</v>
      </c>
      <c r="D148" s="15" t="s">
        <v>225</v>
      </c>
      <c r="E148" s="14" t="s">
        <v>810</v>
      </c>
      <c r="F148" s="14" t="s">
        <v>811</v>
      </c>
      <c r="G148" s="14" t="s">
        <v>812</v>
      </c>
      <c r="H148" s="14" t="s">
        <v>813</v>
      </c>
      <c r="I148" s="14" t="s">
        <v>1063</v>
      </c>
      <c r="J148" s="12" t="s">
        <v>272</v>
      </c>
      <c r="K148" s="12" t="s">
        <v>272</v>
      </c>
      <c r="L148" s="14" t="s">
        <v>1064</v>
      </c>
      <c r="M148" s="14" t="s">
        <v>50</v>
      </c>
      <c r="N148" s="12" t="s">
        <v>272</v>
      </c>
      <c r="O148" s="12" t="s">
        <v>272</v>
      </c>
      <c r="P148" s="12" t="s">
        <v>272</v>
      </c>
      <c r="Q148" s="12" t="s">
        <v>272</v>
      </c>
      <c r="R148" s="12" t="s">
        <v>272</v>
      </c>
      <c r="S148" s="12" t="s">
        <v>272</v>
      </c>
      <c r="T148" s="12" t="s">
        <v>272</v>
      </c>
      <c r="U148" s="12" t="s">
        <v>272</v>
      </c>
      <c r="V148" s="16"/>
      <c r="W148" s="12" t="s">
        <v>272</v>
      </c>
      <c r="X148" s="25" t="str">
        <f>_xlfn.IFS(AND(COUNTIF(V148,"SCB*")=1, 'PCH176'!F60&gt;=2), "See the Notice *2", TRUE, "")</f>
        <v/>
      </c>
      <c r="Y148" s="13"/>
      <c r="Z148" s="14" t="s">
        <v>271</v>
      </c>
      <c r="AA148" s="15" t="s">
        <v>254</v>
      </c>
      <c r="AB148" s="13"/>
      <c r="AC148" s="13"/>
    </row>
    <row r="149" spans="2:29" ht="10.25" customHeight="1" x14ac:dyDescent="0.55000000000000004">
      <c r="B149" s="14" t="s">
        <v>226</v>
      </c>
      <c r="C149" s="14">
        <v>140</v>
      </c>
      <c r="D149" s="15" t="s">
        <v>226</v>
      </c>
      <c r="E149" s="14" t="s">
        <v>933</v>
      </c>
      <c r="F149" s="14" t="s">
        <v>819</v>
      </c>
      <c r="G149" s="14" t="s">
        <v>935</v>
      </c>
      <c r="H149" s="14" t="s">
        <v>821</v>
      </c>
      <c r="I149" s="14" t="s">
        <v>1065</v>
      </c>
      <c r="J149" s="12" t="s">
        <v>272</v>
      </c>
      <c r="K149" s="12" t="s">
        <v>272</v>
      </c>
      <c r="L149" s="12" t="s">
        <v>272</v>
      </c>
      <c r="M149" s="14" t="s">
        <v>53</v>
      </c>
      <c r="N149" s="12" t="s">
        <v>272</v>
      </c>
      <c r="O149" s="12" t="s">
        <v>272</v>
      </c>
      <c r="P149" s="12" t="s">
        <v>272</v>
      </c>
      <c r="Q149" s="12" t="s">
        <v>272</v>
      </c>
      <c r="R149" s="12" t="s">
        <v>272</v>
      </c>
      <c r="S149" s="12" t="s">
        <v>272</v>
      </c>
      <c r="T149" s="12" t="s">
        <v>272</v>
      </c>
      <c r="U149" s="12" t="s">
        <v>272</v>
      </c>
      <c r="V149" s="16"/>
      <c r="W149" s="12" t="s">
        <v>272</v>
      </c>
      <c r="X149" s="25"/>
      <c r="Y149" s="13"/>
      <c r="Z149" s="14" t="s">
        <v>271</v>
      </c>
      <c r="AA149" s="15" t="s">
        <v>254</v>
      </c>
      <c r="AB149" s="13"/>
      <c r="AC149" s="13"/>
    </row>
    <row r="150" spans="2:29" ht="10.25" customHeight="1" x14ac:dyDescent="0.55000000000000004">
      <c r="B150" s="14" t="s">
        <v>227</v>
      </c>
      <c r="C150" s="14">
        <v>141</v>
      </c>
      <c r="D150" s="15" t="s">
        <v>227</v>
      </c>
      <c r="E150" s="14" t="s">
        <v>927</v>
      </c>
      <c r="F150" s="14" t="s">
        <v>941</v>
      </c>
      <c r="G150" s="14" t="s">
        <v>929</v>
      </c>
      <c r="H150" s="14" t="s">
        <v>943</v>
      </c>
      <c r="I150" s="14" t="s">
        <v>1066</v>
      </c>
      <c r="J150" s="12" t="s">
        <v>272</v>
      </c>
      <c r="K150" s="12" t="s">
        <v>272</v>
      </c>
      <c r="L150" s="12" t="s">
        <v>272</v>
      </c>
      <c r="M150" s="14" t="s">
        <v>56</v>
      </c>
      <c r="N150" s="12" t="s">
        <v>272</v>
      </c>
      <c r="O150" s="12" t="s">
        <v>272</v>
      </c>
      <c r="P150" s="12" t="s">
        <v>272</v>
      </c>
      <c r="Q150" s="12" t="s">
        <v>272</v>
      </c>
      <c r="R150" s="12" t="s">
        <v>272</v>
      </c>
      <c r="S150" s="12" t="s">
        <v>272</v>
      </c>
      <c r="T150" s="12" t="s">
        <v>272</v>
      </c>
      <c r="U150" s="12" t="s">
        <v>272</v>
      </c>
      <c r="V150" s="16"/>
      <c r="W150" s="12" t="s">
        <v>272</v>
      </c>
      <c r="X150" s="25"/>
      <c r="Y150" s="13"/>
      <c r="Z150" s="14" t="s">
        <v>271</v>
      </c>
      <c r="AA150" s="15" t="s">
        <v>254</v>
      </c>
      <c r="AB150" s="13"/>
      <c r="AC150" s="13"/>
    </row>
    <row r="151" spans="2:29" ht="10.25" customHeight="1" x14ac:dyDescent="0.55000000000000004">
      <c r="B151" s="14" t="s">
        <v>228</v>
      </c>
      <c r="C151" s="14">
        <v>142</v>
      </c>
      <c r="D151" s="15" t="s">
        <v>228</v>
      </c>
      <c r="E151" s="14" t="s">
        <v>922</v>
      </c>
      <c r="F151" s="14" t="s">
        <v>934</v>
      </c>
      <c r="G151" s="14" t="s">
        <v>924</v>
      </c>
      <c r="H151" s="14" t="s">
        <v>936</v>
      </c>
      <c r="I151" s="12" t="s">
        <v>272</v>
      </c>
      <c r="J151" s="14" t="s">
        <v>1067</v>
      </c>
      <c r="K151" s="12" t="s">
        <v>272</v>
      </c>
      <c r="L151" s="14" t="s">
        <v>1068</v>
      </c>
      <c r="M151" s="12" t="s">
        <v>272</v>
      </c>
      <c r="N151" s="14" t="s">
        <v>213</v>
      </c>
      <c r="O151" s="12" t="s">
        <v>272</v>
      </c>
      <c r="P151" s="12" t="s">
        <v>272</v>
      </c>
      <c r="Q151" s="12" t="s">
        <v>272</v>
      </c>
      <c r="R151" s="12" t="s">
        <v>272</v>
      </c>
      <c r="S151" s="12" t="s">
        <v>272</v>
      </c>
      <c r="T151" s="12" t="s">
        <v>272</v>
      </c>
      <c r="U151" s="12" t="s">
        <v>272</v>
      </c>
      <c r="V151" s="16"/>
      <c r="W151" s="12" t="s">
        <v>272</v>
      </c>
      <c r="X151" s="25" t="str">
        <f>_xlfn.IFS(AND(COUNTIF(V151,"SCB*")=1, 'PCH176'!E60&gt;=2), "See the Notice *2", TRUE, "")</f>
        <v/>
      </c>
      <c r="Y151" s="13"/>
      <c r="Z151" s="14" t="s">
        <v>271</v>
      </c>
      <c r="AA151" s="15" t="s">
        <v>254</v>
      </c>
      <c r="AB151" s="13"/>
      <c r="AC151" s="13"/>
    </row>
    <row r="152" spans="2:29" ht="10.25" customHeight="1" x14ac:dyDescent="0.55000000000000004">
      <c r="B152" s="14" t="s">
        <v>229</v>
      </c>
      <c r="C152" s="14">
        <v>143</v>
      </c>
      <c r="D152" s="15" t="s">
        <v>229</v>
      </c>
      <c r="E152" s="14" t="s">
        <v>910</v>
      </c>
      <c r="F152" s="14" t="s">
        <v>928</v>
      </c>
      <c r="G152" s="14" t="s">
        <v>912</v>
      </c>
      <c r="H152" s="14" t="s">
        <v>930</v>
      </c>
      <c r="I152" s="12" t="s">
        <v>272</v>
      </c>
      <c r="J152" s="14" t="s">
        <v>1069</v>
      </c>
      <c r="K152" s="14" t="s">
        <v>1070</v>
      </c>
      <c r="L152" s="14" t="s">
        <v>1071</v>
      </c>
      <c r="M152" s="12" t="s">
        <v>272</v>
      </c>
      <c r="N152" s="14" t="s">
        <v>215</v>
      </c>
      <c r="O152" s="12" t="s">
        <v>272</v>
      </c>
      <c r="P152" s="12" t="s">
        <v>272</v>
      </c>
      <c r="Q152" s="12" t="s">
        <v>272</v>
      </c>
      <c r="R152" s="12" t="s">
        <v>272</v>
      </c>
      <c r="S152" s="12" t="s">
        <v>272</v>
      </c>
      <c r="T152" s="12" t="s">
        <v>272</v>
      </c>
      <c r="U152" s="12" t="s">
        <v>272</v>
      </c>
      <c r="V152" s="16"/>
      <c r="W152" s="12" t="s">
        <v>272</v>
      </c>
      <c r="X152" s="25" t="str">
        <f>_xlfn.IFS(AND(COUNTIF(V152,"SCB*")=1, 'PCH176'!E60&gt;=2), "See the Notice *2", TRUE, "")</f>
        <v/>
      </c>
      <c r="Y152" s="13"/>
      <c r="Z152" s="14" t="s">
        <v>271</v>
      </c>
      <c r="AA152" s="15" t="s">
        <v>254</v>
      </c>
      <c r="AB152" s="13"/>
      <c r="AC152" s="13"/>
    </row>
    <row r="153" spans="2:29" ht="10.25" customHeight="1" x14ac:dyDescent="0.55000000000000004">
      <c r="B153" s="14" t="s">
        <v>230</v>
      </c>
      <c r="C153" s="14">
        <v>144</v>
      </c>
      <c r="D153" s="15" t="s">
        <v>230</v>
      </c>
      <c r="E153" s="14" t="s">
        <v>899</v>
      </c>
      <c r="F153" s="14" t="s">
        <v>917</v>
      </c>
      <c r="G153" s="14" t="s">
        <v>901</v>
      </c>
      <c r="H153" s="14" t="s">
        <v>919</v>
      </c>
      <c r="I153" s="12" t="s">
        <v>272</v>
      </c>
      <c r="J153" s="14" t="s">
        <v>1072</v>
      </c>
      <c r="K153" s="14" t="s">
        <v>1073</v>
      </c>
      <c r="L153" s="14" t="s">
        <v>1074</v>
      </c>
      <c r="M153" s="12" t="s">
        <v>272</v>
      </c>
      <c r="N153" s="12" t="s">
        <v>272</v>
      </c>
      <c r="O153" s="14" t="s">
        <v>1051</v>
      </c>
      <c r="P153" s="12" t="s">
        <v>272</v>
      </c>
      <c r="Q153" s="12" t="s">
        <v>272</v>
      </c>
      <c r="R153" s="12" t="s">
        <v>272</v>
      </c>
      <c r="S153" s="12" t="s">
        <v>272</v>
      </c>
      <c r="T153" s="12" t="s">
        <v>272</v>
      </c>
      <c r="U153" s="12" t="s">
        <v>272</v>
      </c>
      <c r="V153" s="16"/>
      <c r="W153" s="12" t="s">
        <v>272</v>
      </c>
      <c r="X153" s="25" t="str">
        <f>_xlfn.IFS(AND(COUNTIF(V153,"SCB*")=1, 'PCH176'!E60&gt;=2), "See the Notice *2", TRUE, "")</f>
        <v/>
      </c>
      <c r="Y153" s="13"/>
      <c r="Z153" s="14" t="s">
        <v>271</v>
      </c>
      <c r="AA153" s="15" t="s">
        <v>254</v>
      </c>
      <c r="AB153" s="13"/>
      <c r="AC153" s="13"/>
    </row>
    <row r="154" spans="2:29" ht="10.25" customHeight="1" x14ac:dyDescent="0.55000000000000004">
      <c r="B154" s="14" t="s">
        <v>231</v>
      </c>
      <c r="C154" s="14">
        <v>145</v>
      </c>
      <c r="D154" s="15" t="s">
        <v>231</v>
      </c>
      <c r="E154" s="14" t="s">
        <v>883</v>
      </c>
      <c r="F154" s="14" t="s">
        <v>906</v>
      </c>
      <c r="G154" s="14" t="s">
        <v>885</v>
      </c>
      <c r="H154" s="14" t="s">
        <v>908</v>
      </c>
      <c r="I154" s="12" t="s">
        <v>272</v>
      </c>
      <c r="J154" s="14" t="s">
        <v>1075</v>
      </c>
      <c r="K154" s="12" t="s">
        <v>272</v>
      </c>
      <c r="L154" s="14" t="s">
        <v>1076</v>
      </c>
      <c r="M154" s="12" t="s">
        <v>272</v>
      </c>
      <c r="N154" s="12" t="s">
        <v>272</v>
      </c>
      <c r="O154" s="14" t="s">
        <v>1056</v>
      </c>
      <c r="P154" s="12" t="s">
        <v>272</v>
      </c>
      <c r="Q154" s="12" t="s">
        <v>272</v>
      </c>
      <c r="R154" s="12" t="s">
        <v>272</v>
      </c>
      <c r="S154" s="12" t="s">
        <v>272</v>
      </c>
      <c r="T154" s="12" t="s">
        <v>272</v>
      </c>
      <c r="U154" s="12" t="s">
        <v>272</v>
      </c>
      <c r="V154" s="16"/>
      <c r="W154" s="12" t="s">
        <v>272</v>
      </c>
      <c r="X154" s="25" t="str">
        <f>_xlfn.IFS(AND(COUNTIF(V154,"SCB*")=1, 'PCH176'!E60&gt;=2), "See the Notice *2", TRUE, "")</f>
        <v/>
      </c>
      <c r="Y154" s="13"/>
      <c r="Z154" s="14" t="s">
        <v>271</v>
      </c>
      <c r="AA154" s="15" t="s">
        <v>254</v>
      </c>
      <c r="AB154" s="13"/>
      <c r="AC154" s="13"/>
    </row>
    <row r="155" spans="2:29" ht="10.25" customHeight="1" x14ac:dyDescent="0.55000000000000004">
      <c r="B155" s="14" t="s">
        <v>232</v>
      </c>
      <c r="C155" s="14">
        <v>146</v>
      </c>
      <c r="D155" s="15" t="s">
        <v>232</v>
      </c>
      <c r="E155" s="14" t="s">
        <v>872</v>
      </c>
      <c r="F155" s="14" t="s">
        <v>892</v>
      </c>
      <c r="G155" s="14" t="s">
        <v>874</v>
      </c>
      <c r="H155" s="14" t="s">
        <v>894</v>
      </c>
      <c r="I155" s="12" t="s">
        <v>272</v>
      </c>
      <c r="J155" s="12" t="s">
        <v>272</v>
      </c>
      <c r="K155" s="12" t="s">
        <v>272</v>
      </c>
      <c r="L155" s="14" t="s">
        <v>1077</v>
      </c>
      <c r="M155" s="12" t="s">
        <v>272</v>
      </c>
      <c r="N155" s="12" t="s">
        <v>272</v>
      </c>
      <c r="O155" s="14" t="s">
        <v>1060</v>
      </c>
      <c r="P155" s="12" t="s">
        <v>272</v>
      </c>
      <c r="Q155" s="12" t="s">
        <v>272</v>
      </c>
      <c r="R155" s="12" t="s">
        <v>272</v>
      </c>
      <c r="S155" s="12" t="s">
        <v>272</v>
      </c>
      <c r="T155" s="12" t="s">
        <v>272</v>
      </c>
      <c r="U155" s="12" t="s">
        <v>272</v>
      </c>
      <c r="V155" s="16"/>
      <c r="W155" s="12" t="s">
        <v>272</v>
      </c>
      <c r="X155" s="25" t="str">
        <f>_xlfn.IFS(AND(COUNTIF(V155,"SCB*")=1, 'PCH176'!E60&gt;=2), "See the Notice *2", TRUE, "")</f>
        <v/>
      </c>
      <c r="Y155" s="13"/>
      <c r="Z155" s="14" t="s">
        <v>271</v>
      </c>
      <c r="AA155" s="15" t="s">
        <v>254</v>
      </c>
      <c r="AB155" s="13"/>
      <c r="AC155" s="13"/>
    </row>
    <row r="156" spans="2:29" ht="10.25" customHeight="1" x14ac:dyDescent="0.55000000000000004">
      <c r="B156" s="14" t="s">
        <v>551</v>
      </c>
      <c r="C156" s="14">
        <v>147</v>
      </c>
      <c r="D156" s="15" t="s">
        <v>1169</v>
      </c>
      <c r="E156" s="14" t="s">
        <v>868</v>
      </c>
      <c r="F156" s="14" t="s">
        <v>877</v>
      </c>
      <c r="G156" s="14" t="s">
        <v>870</v>
      </c>
      <c r="H156" s="14" t="s">
        <v>879</v>
      </c>
      <c r="I156" s="12" t="s">
        <v>272</v>
      </c>
      <c r="J156" s="12" t="s">
        <v>272</v>
      </c>
      <c r="K156" s="12" t="s">
        <v>272</v>
      </c>
      <c r="L156" s="14" t="s">
        <v>1078</v>
      </c>
      <c r="M156" s="12" t="s">
        <v>272</v>
      </c>
      <c r="N156" s="12" t="s">
        <v>272</v>
      </c>
      <c r="O156" s="12" t="s">
        <v>272</v>
      </c>
      <c r="P156" s="12" t="s">
        <v>272</v>
      </c>
      <c r="Q156" s="12" t="s">
        <v>272</v>
      </c>
      <c r="R156" s="12" t="s">
        <v>272</v>
      </c>
      <c r="S156" s="12" t="s">
        <v>272</v>
      </c>
      <c r="T156" s="12" t="s">
        <v>272</v>
      </c>
      <c r="U156" s="14" t="s">
        <v>350</v>
      </c>
      <c r="V156" s="16"/>
      <c r="W156" s="12" t="s">
        <v>272</v>
      </c>
      <c r="X156" s="25" t="str">
        <f>_xlfn.IFS(AND(COUNTIF(V156,"SCB*")=1, 'PCH176'!E60&gt;=2), "See the Notice *2", TRUE, "")</f>
        <v/>
      </c>
      <c r="Y156" s="13"/>
      <c r="Z156" s="14" t="s">
        <v>271</v>
      </c>
      <c r="AA156" s="15" t="s">
        <v>254</v>
      </c>
      <c r="AB156" s="13"/>
      <c r="AC156" s="13"/>
    </row>
    <row r="157" spans="2:29" ht="10.25" customHeight="1" x14ac:dyDescent="0.55000000000000004">
      <c r="B157" s="14" t="s">
        <v>552</v>
      </c>
      <c r="C157" s="14">
        <v>148</v>
      </c>
      <c r="D157" s="15" t="s">
        <v>1168</v>
      </c>
      <c r="E157" s="14" t="s">
        <v>864</v>
      </c>
      <c r="F157" s="14" t="s">
        <v>873</v>
      </c>
      <c r="G157" s="14" t="s">
        <v>866</v>
      </c>
      <c r="H157" s="14" t="s">
        <v>875</v>
      </c>
      <c r="I157" s="12" t="s">
        <v>272</v>
      </c>
      <c r="J157" s="12" t="s">
        <v>272</v>
      </c>
      <c r="K157" s="12" t="s">
        <v>272</v>
      </c>
      <c r="L157" s="12" t="s">
        <v>272</v>
      </c>
      <c r="M157" s="12" t="s">
        <v>272</v>
      </c>
      <c r="N157" s="12" t="s">
        <v>272</v>
      </c>
      <c r="O157" s="12" t="s">
        <v>272</v>
      </c>
      <c r="P157" s="12" t="s">
        <v>272</v>
      </c>
      <c r="Q157" s="12" t="s">
        <v>272</v>
      </c>
      <c r="R157" s="12" t="s">
        <v>272</v>
      </c>
      <c r="S157" s="12" t="s">
        <v>272</v>
      </c>
      <c r="T157" s="12" t="s">
        <v>272</v>
      </c>
      <c r="U157" s="14" t="s">
        <v>351</v>
      </c>
      <c r="V157" s="16"/>
      <c r="W157" s="12" t="s">
        <v>272</v>
      </c>
      <c r="X157" s="25"/>
      <c r="Y157" s="13"/>
      <c r="Z157" s="14" t="s">
        <v>271</v>
      </c>
      <c r="AA157" s="15" t="s">
        <v>254</v>
      </c>
      <c r="AB157" s="13"/>
      <c r="AC157" s="13"/>
    </row>
    <row r="158" spans="2:29" ht="10.25" customHeight="1" x14ac:dyDescent="0.55000000000000004">
      <c r="B158" s="14" t="s">
        <v>553</v>
      </c>
      <c r="C158" s="14">
        <v>149</v>
      </c>
      <c r="D158" s="15" t="s">
        <v>1167</v>
      </c>
      <c r="E158" s="14" t="s">
        <v>860</v>
      </c>
      <c r="F158" s="14" t="s">
        <v>869</v>
      </c>
      <c r="G158" s="14" t="s">
        <v>862</v>
      </c>
      <c r="H158" s="14" t="s">
        <v>871</v>
      </c>
      <c r="I158" s="12" t="s">
        <v>272</v>
      </c>
      <c r="J158" s="12" t="s">
        <v>272</v>
      </c>
      <c r="K158" s="12" t="s">
        <v>272</v>
      </c>
      <c r="L158" s="12" t="s">
        <v>272</v>
      </c>
      <c r="M158" s="12" t="s">
        <v>272</v>
      </c>
      <c r="N158" s="12" t="s">
        <v>272</v>
      </c>
      <c r="O158" s="12" t="s">
        <v>272</v>
      </c>
      <c r="P158" s="14" t="s">
        <v>233</v>
      </c>
      <c r="Q158" s="14" t="s">
        <v>61</v>
      </c>
      <c r="R158" s="12" t="s">
        <v>272</v>
      </c>
      <c r="S158" s="12" t="s">
        <v>272</v>
      </c>
      <c r="T158" s="12" t="s">
        <v>272</v>
      </c>
      <c r="U158" s="14" t="s">
        <v>352</v>
      </c>
      <c r="V158" s="16"/>
      <c r="W158" s="12" t="s">
        <v>272</v>
      </c>
      <c r="X158" s="25"/>
      <c r="Y158" s="13"/>
      <c r="Z158" s="14" t="s">
        <v>271</v>
      </c>
      <c r="AA158" s="15" t="s">
        <v>254</v>
      </c>
      <c r="AB158" s="13"/>
      <c r="AC158" s="13"/>
    </row>
    <row r="159" spans="2:29" ht="10.25" customHeight="1" x14ac:dyDescent="0.55000000000000004">
      <c r="B159" s="14" t="s">
        <v>554</v>
      </c>
      <c r="C159" s="14">
        <v>150</v>
      </c>
      <c r="D159" s="15" t="s">
        <v>1166</v>
      </c>
      <c r="E159" s="14" t="s">
        <v>856</v>
      </c>
      <c r="F159" s="14" t="s">
        <v>865</v>
      </c>
      <c r="G159" s="14" t="s">
        <v>858</v>
      </c>
      <c r="H159" s="14" t="s">
        <v>867</v>
      </c>
      <c r="I159" s="12" t="s">
        <v>272</v>
      </c>
      <c r="J159" s="12" t="s">
        <v>272</v>
      </c>
      <c r="K159" s="12" t="s">
        <v>272</v>
      </c>
      <c r="L159" s="12" t="s">
        <v>272</v>
      </c>
      <c r="M159" s="12" t="s">
        <v>272</v>
      </c>
      <c r="N159" s="12" t="s">
        <v>272</v>
      </c>
      <c r="O159" s="12" t="s">
        <v>272</v>
      </c>
      <c r="P159" s="12" t="s">
        <v>272</v>
      </c>
      <c r="Q159" s="12" t="s">
        <v>272</v>
      </c>
      <c r="R159" s="12" t="s">
        <v>272</v>
      </c>
      <c r="S159" s="12" t="s">
        <v>272</v>
      </c>
      <c r="T159" s="12" t="s">
        <v>272</v>
      </c>
      <c r="U159" s="14" t="s">
        <v>353</v>
      </c>
      <c r="V159" s="16"/>
      <c r="W159" s="12" t="s">
        <v>272</v>
      </c>
      <c r="X159" s="25"/>
      <c r="Y159" s="13"/>
      <c r="Z159" s="14" t="s">
        <v>271</v>
      </c>
      <c r="AA159" s="15" t="s">
        <v>254</v>
      </c>
      <c r="AB159" s="13"/>
      <c r="AC159" s="13"/>
    </row>
    <row r="160" spans="2:29" ht="10.25" customHeight="1" x14ac:dyDescent="0.55000000000000004">
      <c r="B160" s="14" t="s">
        <v>555</v>
      </c>
      <c r="C160" s="14">
        <v>151</v>
      </c>
      <c r="D160" s="15" t="s">
        <v>1165</v>
      </c>
      <c r="E160" s="14" t="s">
        <v>852</v>
      </c>
      <c r="F160" s="14" t="s">
        <v>861</v>
      </c>
      <c r="G160" s="14" t="s">
        <v>854</v>
      </c>
      <c r="H160" s="14" t="s">
        <v>863</v>
      </c>
      <c r="I160" s="12" t="s">
        <v>272</v>
      </c>
      <c r="J160" s="12" t="s">
        <v>272</v>
      </c>
      <c r="K160" s="12" t="s">
        <v>272</v>
      </c>
      <c r="L160" s="12" t="s">
        <v>272</v>
      </c>
      <c r="M160" s="12" t="s">
        <v>272</v>
      </c>
      <c r="N160" s="12" t="s">
        <v>272</v>
      </c>
      <c r="O160" s="12" t="s">
        <v>272</v>
      </c>
      <c r="P160" s="12" t="s">
        <v>272</v>
      </c>
      <c r="Q160" s="12" t="s">
        <v>272</v>
      </c>
      <c r="R160" s="12" t="s">
        <v>272</v>
      </c>
      <c r="S160" s="12" t="s">
        <v>272</v>
      </c>
      <c r="T160" s="12" t="s">
        <v>272</v>
      </c>
      <c r="U160" s="14" t="s">
        <v>540</v>
      </c>
      <c r="V160" s="16"/>
      <c r="W160" s="12" t="s">
        <v>272</v>
      </c>
      <c r="X160" s="25"/>
      <c r="Y160" s="13"/>
      <c r="Z160" s="14" t="s">
        <v>271</v>
      </c>
      <c r="AA160" s="15" t="s">
        <v>254</v>
      </c>
      <c r="AB160" s="13"/>
      <c r="AC160" s="13"/>
    </row>
    <row r="161" spans="2:29" ht="10.25" customHeight="1" x14ac:dyDescent="0.55000000000000004">
      <c r="B161" s="22" t="s">
        <v>261</v>
      </c>
      <c r="C161" s="11">
        <v>152</v>
      </c>
      <c r="D161" s="22" t="s">
        <v>261</v>
      </c>
      <c r="E161" s="12" t="s">
        <v>272</v>
      </c>
      <c r="F161" s="12" t="s">
        <v>272</v>
      </c>
      <c r="G161" s="12" t="s">
        <v>272</v>
      </c>
      <c r="H161" s="12" t="s">
        <v>272</v>
      </c>
      <c r="I161" s="12" t="s">
        <v>272</v>
      </c>
      <c r="J161" s="12" t="s">
        <v>272</v>
      </c>
      <c r="K161" s="12" t="s">
        <v>272</v>
      </c>
      <c r="L161" s="12" t="s">
        <v>272</v>
      </c>
      <c r="M161" s="12" t="s">
        <v>272</v>
      </c>
      <c r="N161" s="12" t="s">
        <v>272</v>
      </c>
      <c r="O161" s="12" t="s">
        <v>272</v>
      </c>
      <c r="P161" s="12" t="s">
        <v>272</v>
      </c>
      <c r="Q161" s="12" t="s">
        <v>272</v>
      </c>
      <c r="R161" s="12" t="s">
        <v>272</v>
      </c>
      <c r="S161" s="12" t="s">
        <v>272</v>
      </c>
      <c r="T161" s="12" t="s">
        <v>272</v>
      </c>
      <c r="U161" s="12" t="s">
        <v>272</v>
      </c>
      <c r="V161" s="22" t="s">
        <v>261</v>
      </c>
      <c r="W161" s="12" t="s">
        <v>272</v>
      </c>
      <c r="X161" s="25"/>
      <c r="Y161" s="13" t="s">
        <v>538</v>
      </c>
      <c r="Z161" s="14" t="s">
        <v>1189</v>
      </c>
      <c r="AA161" s="15" t="s">
        <v>1189</v>
      </c>
      <c r="AB161" s="13"/>
      <c r="AC161" s="13"/>
    </row>
    <row r="162" spans="2:29" ht="10.25" customHeight="1" x14ac:dyDescent="0.55000000000000004">
      <c r="B162" s="17" t="s">
        <v>254</v>
      </c>
      <c r="C162" s="11">
        <v>153</v>
      </c>
      <c r="D162" s="12" t="s">
        <v>272</v>
      </c>
      <c r="E162" s="12" t="s">
        <v>272</v>
      </c>
      <c r="F162" s="12" t="s">
        <v>272</v>
      </c>
      <c r="G162" s="12" t="s">
        <v>272</v>
      </c>
      <c r="H162" s="12" t="s">
        <v>272</v>
      </c>
      <c r="I162" s="12" t="s">
        <v>272</v>
      </c>
      <c r="J162" s="12" t="s">
        <v>272</v>
      </c>
      <c r="K162" s="12" t="s">
        <v>272</v>
      </c>
      <c r="L162" s="12" t="s">
        <v>272</v>
      </c>
      <c r="M162" s="12" t="s">
        <v>272</v>
      </c>
      <c r="N162" s="12" t="s">
        <v>272</v>
      </c>
      <c r="O162" s="12" t="s">
        <v>272</v>
      </c>
      <c r="P162" s="12" t="s">
        <v>272</v>
      </c>
      <c r="Q162" s="12" t="s">
        <v>272</v>
      </c>
      <c r="R162" s="12" t="s">
        <v>272</v>
      </c>
      <c r="S162" s="12" t="s">
        <v>272</v>
      </c>
      <c r="T162" s="12" t="s">
        <v>272</v>
      </c>
      <c r="U162" s="12" t="s">
        <v>272</v>
      </c>
      <c r="V162" s="17" t="s">
        <v>254</v>
      </c>
      <c r="W162" s="12" t="s">
        <v>272</v>
      </c>
      <c r="X162" s="25"/>
      <c r="Y162" s="13" t="s">
        <v>530</v>
      </c>
      <c r="Z162" s="14" t="s">
        <v>1189</v>
      </c>
      <c r="AA162" s="15" t="s">
        <v>1189</v>
      </c>
      <c r="AB162" s="13"/>
      <c r="AC162" s="13"/>
    </row>
    <row r="163" spans="2:29" ht="10.25" customHeight="1" x14ac:dyDescent="0.55000000000000004">
      <c r="B163" s="10" t="s">
        <v>253</v>
      </c>
      <c r="C163" s="11">
        <v>154</v>
      </c>
      <c r="D163" s="12" t="s">
        <v>272</v>
      </c>
      <c r="E163" s="12" t="s">
        <v>272</v>
      </c>
      <c r="F163" s="12" t="s">
        <v>272</v>
      </c>
      <c r="G163" s="12" t="s">
        <v>272</v>
      </c>
      <c r="H163" s="12" t="s">
        <v>272</v>
      </c>
      <c r="I163" s="12" t="s">
        <v>272</v>
      </c>
      <c r="J163" s="12" t="s">
        <v>272</v>
      </c>
      <c r="K163" s="12" t="s">
        <v>272</v>
      </c>
      <c r="L163" s="12" t="s">
        <v>272</v>
      </c>
      <c r="M163" s="12" t="s">
        <v>272</v>
      </c>
      <c r="N163" s="12" t="s">
        <v>272</v>
      </c>
      <c r="O163" s="12" t="s">
        <v>272</v>
      </c>
      <c r="P163" s="12" t="s">
        <v>272</v>
      </c>
      <c r="Q163" s="12" t="s">
        <v>272</v>
      </c>
      <c r="R163" s="12" t="s">
        <v>272</v>
      </c>
      <c r="S163" s="12" t="s">
        <v>272</v>
      </c>
      <c r="T163" s="12" t="s">
        <v>272</v>
      </c>
      <c r="U163" s="12" t="s">
        <v>272</v>
      </c>
      <c r="V163" s="10" t="s">
        <v>253</v>
      </c>
      <c r="W163" s="12" t="s">
        <v>272</v>
      </c>
      <c r="X163" s="25"/>
      <c r="Y163" s="13" t="s">
        <v>531</v>
      </c>
      <c r="Z163" s="14" t="s">
        <v>1189</v>
      </c>
      <c r="AA163" s="15" t="s">
        <v>1189</v>
      </c>
      <c r="AB163" s="13"/>
      <c r="AC163" s="13"/>
    </row>
    <row r="164" spans="2:29" ht="10.25" customHeight="1" x14ac:dyDescent="0.55000000000000004">
      <c r="B164" s="10" t="s">
        <v>253</v>
      </c>
      <c r="C164" s="11">
        <v>155</v>
      </c>
      <c r="D164" s="12" t="s">
        <v>272</v>
      </c>
      <c r="E164" s="12" t="s">
        <v>272</v>
      </c>
      <c r="F164" s="12" t="s">
        <v>272</v>
      </c>
      <c r="G164" s="12" t="s">
        <v>272</v>
      </c>
      <c r="H164" s="12" t="s">
        <v>272</v>
      </c>
      <c r="I164" s="12" t="s">
        <v>272</v>
      </c>
      <c r="J164" s="12" t="s">
        <v>272</v>
      </c>
      <c r="K164" s="12" t="s">
        <v>272</v>
      </c>
      <c r="L164" s="12" t="s">
        <v>272</v>
      </c>
      <c r="M164" s="12" t="s">
        <v>272</v>
      </c>
      <c r="N164" s="12" t="s">
        <v>272</v>
      </c>
      <c r="O164" s="12" t="s">
        <v>272</v>
      </c>
      <c r="P164" s="12" t="s">
        <v>272</v>
      </c>
      <c r="Q164" s="12" t="s">
        <v>272</v>
      </c>
      <c r="R164" s="12" t="s">
        <v>272</v>
      </c>
      <c r="S164" s="12" t="s">
        <v>272</v>
      </c>
      <c r="T164" s="12" t="s">
        <v>272</v>
      </c>
      <c r="U164" s="12" t="s">
        <v>272</v>
      </c>
      <c r="V164" s="10" t="s">
        <v>253</v>
      </c>
      <c r="W164" s="12" t="s">
        <v>272</v>
      </c>
      <c r="X164" s="25"/>
      <c r="Y164" s="13" t="s">
        <v>531</v>
      </c>
      <c r="Z164" s="14" t="s">
        <v>1189</v>
      </c>
      <c r="AA164" s="15" t="s">
        <v>1189</v>
      </c>
      <c r="AB164" s="13"/>
      <c r="AC164" s="13"/>
    </row>
    <row r="165" spans="2:29" ht="10.25" customHeight="1" x14ac:dyDescent="0.55000000000000004">
      <c r="B165" s="17" t="s">
        <v>256</v>
      </c>
      <c r="C165" s="11">
        <v>156</v>
      </c>
      <c r="D165" s="12" t="s">
        <v>272</v>
      </c>
      <c r="E165" s="12" t="s">
        <v>272</v>
      </c>
      <c r="F165" s="12" t="s">
        <v>272</v>
      </c>
      <c r="G165" s="12" t="s">
        <v>272</v>
      </c>
      <c r="H165" s="12" t="s">
        <v>272</v>
      </c>
      <c r="I165" s="12" t="s">
        <v>272</v>
      </c>
      <c r="J165" s="12" t="s">
        <v>272</v>
      </c>
      <c r="K165" s="12" t="s">
        <v>272</v>
      </c>
      <c r="L165" s="12" t="s">
        <v>272</v>
      </c>
      <c r="M165" s="12" t="s">
        <v>272</v>
      </c>
      <c r="N165" s="12" t="s">
        <v>272</v>
      </c>
      <c r="O165" s="12" t="s">
        <v>272</v>
      </c>
      <c r="P165" s="12" t="s">
        <v>272</v>
      </c>
      <c r="Q165" s="12" t="s">
        <v>272</v>
      </c>
      <c r="R165" s="12" t="s">
        <v>272</v>
      </c>
      <c r="S165" s="12" t="s">
        <v>272</v>
      </c>
      <c r="T165" s="12" t="s">
        <v>272</v>
      </c>
      <c r="U165" s="12" t="s">
        <v>272</v>
      </c>
      <c r="V165" s="17" t="s">
        <v>256</v>
      </c>
      <c r="W165" s="12" t="s">
        <v>272</v>
      </c>
      <c r="X165" s="25"/>
      <c r="Y165" s="13" t="s">
        <v>533</v>
      </c>
      <c r="Z165" s="14" t="s">
        <v>1189</v>
      </c>
      <c r="AA165" s="15" t="s">
        <v>1189</v>
      </c>
      <c r="AB165" s="13"/>
      <c r="AC165" s="13"/>
    </row>
    <row r="166" spans="2:29" ht="10.25" customHeight="1" x14ac:dyDescent="0.55000000000000004">
      <c r="B166" s="14" t="s">
        <v>556</v>
      </c>
      <c r="C166" s="14">
        <v>157</v>
      </c>
      <c r="D166" s="15" t="s">
        <v>1162</v>
      </c>
      <c r="E166" s="14" t="s">
        <v>848</v>
      </c>
      <c r="F166" s="14" t="s">
        <v>857</v>
      </c>
      <c r="G166" s="14" t="s">
        <v>850</v>
      </c>
      <c r="H166" s="14" t="s">
        <v>859</v>
      </c>
      <c r="I166" s="12" t="s">
        <v>272</v>
      </c>
      <c r="J166" s="12" t="s">
        <v>272</v>
      </c>
      <c r="K166" s="12" t="s">
        <v>272</v>
      </c>
      <c r="L166" s="12" t="s">
        <v>272</v>
      </c>
      <c r="M166" s="14" t="s">
        <v>39</v>
      </c>
      <c r="N166" s="12" t="s">
        <v>272</v>
      </c>
      <c r="O166" s="12" t="s">
        <v>272</v>
      </c>
      <c r="P166" s="12" t="s">
        <v>272</v>
      </c>
      <c r="Q166" s="12" t="s">
        <v>272</v>
      </c>
      <c r="R166" s="12" t="s">
        <v>272</v>
      </c>
      <c r="S166" s="12" t="s">
        <v>272</v>
      </c>
      <c r="T166" s="12" t="s">
        <v>272</v>
      </c>
      <c r="U166" s="12" t="s">
        <v>272</v>
      </c>
      <c r="V166" s="16"/>
      <c r="W166" s="12" t="s">
        <v>272</v>
      </c>
      <c r="X166" s="25"/>
      <c r="Y166" s="13"/>
      <c r="Z166" s="14" t="s">
        <v>271</v>
      </c>
      <c r="AA166" s="15" t="s">
        <v>254</v>
      </c>
      <c r="AB166" s="13"/>
      <c r="AC166" s="13"/>
    </row>
    <row r="167" spans="2:29" ht="10.25" customHeight="1" x14ac:dyDescent="0.55000000000000004">
      <c r="B167" s="14" t="s">
        <v>557</v>
      </c>
      <c r="C167" s="14">
        <v>158</v>
      </c>
      <c r="D167" s="15" t="s">
        <v>1164</v>
      </c>
      <c r="E167" s="14" t="s">
        <v>844</v>
      </c>
      <c r="F167" s="14" t="s">
        <v>853</v>
      </c>
      <c r="G167" s="14" t="s">
        <v>846</v>
      </c>
      <c r="H167" s="14" t="s">
        <v>855</v>
      </c>
      <c r="I167" s="12" t="s">
        <v>272</v>
      </c>
      <c r="J167" s="12" t="s">
        <v>272</v>
      </c>
      <c r="K167" s="12" t="s">
        <v>272</v>
      </c>
      <c r="L167" s="12" t="s">
        <v>272</v>
      </c>
      <c r="M167" s="14" t="s">
        <v>43</v>
      </c>
      <c r="N167" s="12" t="s">
        <v>272</v>
      </c>
      <c r="O167" s="12" t="s">
        <v>272</v>
      </c>
      <c r="P167" s="12" t="s">
        <v>272</v>
      </c>
      <c r="Q167" s="12" t="s">
        <v>272</v>
      </c>
      <c r="R167" s="12" t="s">
        <v>272</v>
      </c>
      <c r="S167" s="12" t="s">
        <v>272</v>
      </c>
      <c r="T167" s="12" t="s">
        <v>272</v>
      </c>
      <c r="U167" s="12" t="s">
        <v>272</v>
      </c>
      <c r="V167" s="16"/>
      <c r="W167" s="12" t="s">
        <v>272</v>
      </c>
      <c r="X167" s="25"/>
      <c r="Y167" s="13"/>
      <c r="Z167" s="14" t="s">
        <v>271</v>
      </c>
      <c r="AA167" s="15" t="s">
        <v>254</v>
      </c>
      <c r="AB167" s="13"/>
      <c r="AC167" s="13"/>
    </row>
    <row r="168" spans="2:29" ht="10.25" customHeight="1" x14ac:dyDescent="0.55000000000000004">
      <c r="B168" s="14" t="s">
        <v>558</v>
      </c>
      <c r="C168" s="14">
        <v>159</v>
      </c>
      <c r="D168" s="15" t="s">
        <v>1163</v>
      </c>
      <c r="E168" s="14" t="s">
        <v>840</v>
      </c>
      <c r="F168" s="14" t="s">
        <v>849</v>
      </c>
      <c r="G168" s="14" t="s">
        <v>842</v>
      </c>
      <c r="H168" s="14" t="s">
        <v>851</v>
      </c>
      <c r="I168" s="12" t="s">
        <v>272</v>
      </c>
      <c r="J168" s="12" t="s">
        <v>272</v>
      </c>
      <c r="K168" s="12" t="s">
        <v>272</v>
      </c>
      <c r="L168" s="12" t="s">
        <v>272</v>
      </c>
      <c r="M168" s="14" t="s">
        <v>47</v>
      </c>
      <c r="N168" s="12" t="s">
        <v>272</v>
      </c>
      <c r="O168" s="12" t="s">
        <v>272</v>
      </c>
      <c r="P168" s="12" t="s">
        <v>272</v>
      </c>
      <c r="Q168" s="14" t="s">
        <v>101</v>
      </c>
      <c r="R168" s="12" t="s">
        <v>272</v>
      </c>
      <c r="S168" s="14" t="s">
        <v>341</v>
      </c>
      <c r="T168" s="12" t="s">
        <v>272</v>
      </c>
      <c r="U168" s="12" t="s">
        <v>272</v>
      </c>
      <c r="V168" s="16"/>
      <c r="W168" s="12" t="s">
        <v>272</v>
      </c>
      <c r="X168" s="25"/>
      <c r="Y168" s="13"/>
      <c r="Z168" s="14" t="s">
        <v>271</v>
      </c>
      <c r="AA168" s="15" t="s">
        <v>254</v>
      </c>
      <c r="AB168" s="13"/>
      <c r="AC168" s="13"/>
    </row>
    <row r="169" spans="2:29" ht="10.25" customHeight="1" x14ac:dyDescent="0.55000000000000004">
      <c r="B169" s="14" t="s">
        <v>234</v>
      </c>
      <c r="C169" s="14">
        <v>160</v>
      </c>
      <c r="D169" s="15" t="s">
        <v>234</v>
      </c>
      <c r="E169" s="14" t="s">
        <v>836</v>
      </c>
      <c r="F169" s="14" t="s">
        <v>845</v>
      </c>
      <c r="G169" s="14" t="s">
        <v>838</v>
      </c>
      <c r="H169" s="14" t="s">
        <v>847</v>
      </c>
      <c r="I169" s="12" t="s">
        <v>272</v>
      </c>
      <c r="J169" s="14" t="s">
        <v>1079</v>
      </c>
      <c r="K169" s="12" t="s">
        <v>272</v>
      </c>
      <c r="L169" s="14" t="s">
        <v>1080</v>
      </c>
      <c r="M169" s="12" t="s">
        <v>272</v>
      </c>
      <c r="N169" s="14" t="s">
        <v>193</v>
      </c>
      <c r="O169" s="12" t="s">
        <v>272</v>
      </c>
      <c r="P169" s="12" t="s">
        <v>272</v>
      </c>
      <c r="Q169" s="14" t="s">
        <v>1081</v>
      </c>
      <c r="R169" s="12" t="s">
        <v>272</v>
      </c>
      <c r="S169" s="12" t="s">
        <v>272</v>
      </c>
      <c r="T169" s="12" t="s">
        <v>272</v>
      </c>
      <c r="U169" s="12" t="s">
        <v>272</v>
      </c>
      <c r="V169" s="16"/>
      <c r="W169" s="12" t="s">
        <v>272</v>
      </c>
      <c r="X169" s="25" t="str">
        <f>_xlfn.IFS(AND(COUNTIF(V169,"SCB*")=1, 'PCH176'!J60&gt;=2), "See the Notice *2", TRUE, "")</f>
        <v/>
      </c>
      <c r="Y169" s="13"/>
      <c r="Z169" s="14" t="s">
        <v>271</v>
      </c>
      <c r="AA169" s="15" t="s">
        <v>254</v>
      </c>
      <c r="AB169" s="13"/>
      <c r="AC169" s="13"/>
    </row>
    <row r="170" spans="2:29" ht="10.25" customHeight="1" x14ac:dyDescent="0.55000000000000004">
      <c r="B170" s="14" t="s">
        <v>235</v>
      </c>
      <c r="C170" s="14">
        <v>161</v>
      </c>
      <c r="D170" s="15" t="s">
        <v>235</v>
      </c>
      <c r="E170" s="14" t="s">
        <v>831</v>
      </c>
      <c r="F170" s="14" t="s">
        <v>841</v>
      </c>
      <c r="G170" s="14" t="s">
        <v>833</v>
      </c>
      <c r="H170" s="14" t="s">
        <v>843</v>
      </c>
      <c r="I170" s="12" t="s">
        <v>272</v>
      </c>
      <c r="J170" s="14" t="s">
        <v>1082</v>
      </c>
      <c r="K170" s="14" t="s">
        <v>1083</v>
      </c>
      <c r="L170" s="14" t="s">
        <v>1084</v>
      </c>
      <c r="M170" s="12" t="s">
        <v>272</v>
      </c>
      <c r="N170" s="14" t="s">
        <v>195</v>
      </c>
      <c r="O170" s="12" t="s">
        <v>272</v>
      </c>
      <c r="P170" s="12" t="s">
        <v>272</v>
      </c>
      <c r="Q170" s="14" t="s">
        <v>1085</v>
      </c>
      <c r="R170" s="12" t="s">
        <v>272</v>
      </c>
      <c r="S170" s="12" t="s">
        <v>272</v>
      </c>
      <c r="T170" s="12" t="s">
        <v>272</v>
      </c>
      <c r="U170" s="12" t="s">
        <v>272</v>
      </c>
      <c r="V170" s="16"/>
      <c r="W170" s="12" t="s">
        <v>272</v>
      </c>
      <c r="X170" s="25" t="str">
        <f>_xlfn.IFS(AND(COUNTIF(V170,"SCB*")=1, 'PCH176'!J60&gt;=2), "See the Notice *2", TRUE, "")</f>
        <v/>
      </c>
      <c r="Y170" s="13"/>
      <c r="Z170" s="14" t="s">
        <v>271</v>
      </c>
      <c r="AA170" s="15" t="s">
        <v>254</v>
      </c>
      <c r="AB170" s="13"/>
      <c r="AC170" s="13"/>
    </row>
    <row r="171" spans="2:29" ht="10.25" customHeight="1" x14ac:dyDescent="0.55000000000000004">
      <c r="B171" s="14" t="s">
        <v>236</v>
      </c>
      <c r="C171" s="14">
        <v>162</v>
      </c>
      <c r="D171" s="15" t="s">
        <v>236</v>
      </c>
      <c r="E171" s="14" t="s">
        <v>825</v>
      </c>
      <c r="F171" s="14" t="s">
        <v>837</v>
      </c>
      <c r="G171" s="14" t="s">
        <v>827</v>
      </c>
      <c r="H171" s="14" t="s">
        <v>839</v>
      </c>
      <c r="I171" s="12" t="s">
        <v>272</v>
      </c>
      <c r="J171" s="14" t="s">
        <v>1086</v>
      </c>
      <c r="K171" s="14" t="s">
        <v>1087</v>
      </c>
      <c r="L171" s="14" t="s">
        <v>1088</v>
      </c>
      <c r="M171" s="12" t="s">
        <v>272</v>
      </c>
      <c r="N171" s="12" t="s">
        <v>272</v>
      </c>
      <c r="O171" s="12" t="s">
        <v>272</v>
      </c>
      <c r="P171" s="12" t="s">
        <v>272</v>
      </c>
      <c r="Q171" s="14" t="s">
        <v>1089</v>
      </c>
      <c r="R171" s="12" t="s">
        <v>272</v>
      </c>
      <c r="S171" s="12" t="s">
        <v>272</v>
      </c>
      <c r="T171" s="12" t="s">
        <v>272</v>
      </c>
      <c r="U171" s="12" t="s">
        <v>272</v>
      </c>
      <c r="V171" s="16"/>
      <c r="W171" s="12" t="s">
        <v>272</v>
      </c>
      <c r="X171" s="25" t="str">
        <f>_xlfn.IFS(AND(COUNTIF(V171,"SCB*")=1, 'PCH176'!J60&gt;=2), "See the Notice *2", TRUE, "")</f>
        <v/>
      </c>
      <c r="Y171" s="13"/>
      <c r="Z171" s="14" t="s">
        <v>271</v>
      </c>
      <c r="AA171" s="15" t="s">
        <v>254</v>
      </c>
      <c r="AB171" s="13"/>
      <c r="AC171" s="13"/>
    </row>
    <row r="172" spans="2:29" ht="10.25" customHeight="1" x14ac:dyDescent="0.55000000000000004">
      <c r="B172" s="14" t="s">
        <v>237</v>
      </c>
      <c r="C172" s="14">
        <v>163</v>
      </c>
      <c r="D172" s="15" t="s">
        <v>237</v>
      </c>
      <c r="E172" s="14" t="s">
        <v>818</v>
      </c>
      <c r="F172" s="14" t="s">
        <v>832</v>
      </c>
      <c r="G172" s="14" t="s">
        <v>820</v>
      </c>
      <c r="H172" s="14" t="s">
        <v>834</v>
      </c>
      <c r="I172" s="12" t="s">
        <v>272</v>
      </c>
      <c r="J172" s="14" t="s">
        <v>1090</v>
      </c>
      <c r="K172" s="12" t="s">
        <v>272</v>
      </c>
      <c r="L172" s="14" t="s">
        <v>1091</v>
      </c>
      <c r="M172" s="12" t="s">
        <v>272</v>
      </c>
      <c r="N172" s="12" t="s">
        <v>272</v>
      </c>
      <c r="O172" s="12" t="s">
        <v>272</v>
      </c>
      <c r="P172" s="12" t="s">
        <v>272</v>
      </c>
      <c r="Q172" s="14" t="s">
        <v>1092</v>
      </c>
      <c r="R172" s="12" t="s">
        <v>272</v>
      </c>
      <c r="S172" s="12" t="s">
        <v>272</v>
      </c>
      <c r="T172" s="12" t="s">
        <v>272</v>
      </c>
      <c r="U172" s="12" t="s">
        <v>272</v>
      </c>
      <c r="V172" s="16"/>
      <c r="W172" s="12" t="s">
        <v>272</v>
      </c>
      <c r="X172" s="25" t="str">
        <f>_xlfn.IFS(AND(COUNTIF(V172,"SCB*")=1, 'PCH176'!J60&gt;=2), "See the Notice *2", TRUE, "")</f>
        <v/>
      </c>
      <c r="Y172" s="13"/>
      <c r="Z172" s="14" t="s">
        <v>271</v>
      </c>
      <c r="AA172" s="15" t="s">
        <v>254</v>
      </c>
      <c r="AB172" s="13"/>
      <c r="AC172" s="13"/>
    </row>
    <row r="173" spans="2:29" ht="10.25" customHeight="1" x14ac:dyDescent="0.55000000000000004">
      <c r="B173" s="14" t="s">
        <v>238</v>
      </c>
      <c r="C173" s="14">
        <v>164</v>
      </c>
      <c r="D173" s="15" t="s">
        <v>238</v>
      </c>
      <c r="E173" s="14" t="s">
        <v>810</v>
      </c>
      <c r="F173" s="14" t="s">
        <v>826</v>
      </c>
      <c r="G173" s="14" t="s">
        <v>812</v>
      </c>
      <c r="H173" s="14" t="s">
        <v>828</v>
      </c>
      <c r="I173" s="12" t="s">
        <v>272</v>
      </c>
      <c r="J173" s="12" t="s">
        <v>272</v>
      </c>
      <c r="K173" s="12" t="s">
        <v>272</v>
      </c>
      <c r="L173" s="14" t="s">
        <v>1093</v>
      </c>
      <c r="M173" s="12" t="s">
        <v>272</v>
      </c>
      <c r="N173" s="12" t="s">
        <v>272</v>
      </c>
      <c r="O173" s="12" t="s">
        <v>272</v>
      </c>
      <c r="P173" s="12" t="s">
        <v>272</v>
      </c>
      <c r="Q173" s="14" t="s">
        <v>1094</v>
      </c>
      <c r="R173" s="12" t="s">
        <v>272</v>
      </c>
      <c r="S173" s="12" t="s">
        <v>272</v>
      </c>
      <c r="T173" s="12" t="s">
        <v>272</v>
      </c>
      <c r="U173" s="12" t="s">
        <v>272</v>
      </c>
      <c r="V173" s="16"/>
      <c r="W173" s="12" t="s">
        <v>272</v>
      </c>
      <c r="X173" s="25" t="str">
        <f>_xlfn.IFS(AND(COUNTIF(V173,"SCB*")=1, 'PCH176'!J60&gt;=2), "See the Notice *2", TRUE, "")</f>
        <v/>
      </c>
      <c r="Y173" s="13"/>
      <c r="Z173" s="14" t="s">
        <v>271</v>
      </c>
      <c r="AA173" s="15" t="s">
        <v>254</v>
      </c>
      <c r="AB173" s="13"/>
      <c r="AC173" s="13"/>
    </row>
    <row r="174" spans="2:29" ht="10.25" customHeight="1" x14ac:dyDescent="0.55000000000000004">
      <c r="B174" s="14" t="s">
        <v>239</v>
      </c>
      <c r="C174" s="14">
        <v>165</v>
      </c>
      <c r="D174" s="15" t="s">
        <v>239</v>
      </c>
      <c r="E174" s="14" t="s">
        <v>803</v>
      </c>
      <c r="F174" s="14" t="s">
        <v>819</v>
      </c>
      <c r="G174" s="14" t="s">
        <v>805</v>
      </c>
      <c r="H174" s="14" t="s">
        <v>821</v>
      </c>
      <c r="I174" s="12" t="s">
        <v>272</v>
      </c>
      <c r="J174" s="12" t="s">
        <v>272</v>
      </c>
      <c r="K174" s="12" t="s">
        <v>272</v>
      </c>
      <c r="L174" s="14" t="s">
        <v>1095</v>
      </c>
      <c r="M174" s="14" t="s">
        <v>80</v>
      </c>
      <c r="N174" s="12" t="s">
        <v>272</v>
      </c>
      <c r="O174" s="12" t="s">
        <v>272</v>
      </c>
      <c r="P174" s="12" t="s">
        <v>272</v>
      </c>
      <c r="Q174" s="12" t="s">
        <v>272</v>
      </c>
      <c r="R174" s="12" t="s">
        <v>272</v>
      </c>
      <c r="S174" s="12" t="s">
        <v>272</v>
      </c>
      <c r="T174" s="12" t="s">
        <v>272</v>
      </c>
      <c r="U174" s="12" t="s">
        <v>272</v>
      </c>
      <c r="V174" s="16"/>
      <c r="W174" s="12" t="s">
        <v>272</v>
      </c>
      <c r="X174" s="25" t="str">
        <f>_xlfn.IFS(AND(COUNTIF(V174,"SCB*")=1, 'PCH176'!J60&gt;=2), "See the Notice *2", TRUE, "")</f>
        <v/>
      </c>
      <c r="Y174" s="13"/>
      <c r="Z174" s="14" t="s">
        <v>271</v>
      </c>
      <c r="AA174" s="15" t="s">
        <v>254</v>
      </c>
      <c r="AB174" s="13"/>
      <c r="AC174" s="13"/>
    </row>
    <row r="175" spans="2:29" ht="10.25" customHeight="1" x14ac:dyDescent="0.55000000000000004">
      <c r="B175" s="14" t="s">
        <v>240</v>
      </c>
      <c r="C175" s="14">
        <v>166</v>
      </c>
      <c r="D175" s="15" t="s">
        <v>240</v>
      </c>
      <c r="E175" s="14" t="s">
        <v>797</v>
      </c>
      <c r="F175" s="14" t="s">
        <v>811</v>
      </c>
      <c r="G175" s="14" t="s">
        <v>799</v>
      </c>
      <c r="H175" s="14" t="s">
        <v>813</v>
      </c>
      <c r="I175" s="12" t="s">
        <v>272</v>
      </c>
      <c r="J175" s="12" t="s">
        <v>272</v>
      </c>
      <c r="K175" s="12" t="s">
        <v>272</v>
      </c>
      <c r="L175" s="12" t="s">
        <v>272</v>
      </c>
      <c r="M175" s="14" t="s">
        <v>82</v>
      </c>
      <c r="N175" s="12" t="s">
        <v>272</v>
      </c>
      <c r="O175" s="12" t="s">
        <v>272</v>
      </c>
      <c r="P175" s="12" t="s">
        <v>272</v>
      </c>
      <c r="Q175" s="12" t="s">
        <v>272</v>
      </c>
      <c r="R175" s="12" t="s">
        <v>272</v>
      </c>
      <c r="S175" s="12" t="s">
        <v>272</v>
      </c>
      <c r="T175" s="12" t="s">
        <v>272</v>
      </c>
      <c r="U175" s="12" t="s">
        <v>272</v>
      </c>
      <c r="V175" s="16"/>
      <c r="W175" s="12" t="s">
        <v>272</v>
      </c>
      <c r="X175" s="25"/>
      <c r="Y175" s="13"/>
      <c r="Z175" s="14" t="s">
        <v>271</v>
      </c>
      <c r="AA175" s="15" t="s">
        <v>254</v>
      </c>
      <c r="AB175" s="13"/>
      <c r="AC175" s="13"/>
    </row>
    <row r="176" spans="2:29" ht="10.25" customHeight="1" x14ac:dyDescent="0.55000000000000004">
      <c r="B176" s="14" t="s">
        <v>241</v>
      </c>
      <c r="C176" s="14">
        <v>167</v>
      </c>
      <c r="D176" s="15" t="s">
        <v>241</v>
      </c>
      <c r="E176" s="14" t="s">
        <v>793</v>
      </c>
      <c r="F176" s="14" t="s">
        <v>804</v>
      </c>
      <c r="G176" s="14" t="s">
        <v>795</v>
      </c>
      <c r="H176" s="14" t="s">
        <v>806</v>
      </c>
      <c r="I176" s="12" t="s">
        <v>272</v>
      </c>
      <c r="J176" s="12" t="s">
        <v>272</v>
      </c>
      <c r="K176" s="12" t="s">
        <v>272</v>
      </c>
      <c r="L176" s="12" t="s">
        <v>272</v>
      </c>
      <c r="M176" s="14" t="s">
        <v>84</v>
      </c>
      <c r="N176" s="12" t="s">
        <v>272</v>
      </c>
      <c r="O176" s="12" t="s">
        <v>272</v>
      </c>
      <c r="P176" s="12" t="s">
        <v>272</v>
      </c>
      <c r="Q176" s="12" t="s">
        <v>272</v>
      </c>
      <c r="R176" s="12" t="s">
        <v>272</v>
      </c>
      <c r="S176" s="12" t="s">
        <v>272</v>
      </c>
      <c r="T176" s="12" t="s">
        <v>272</v>
      </c>
      <c r="U176" s="12" t="s">
        <v>272</v>
      </c>
      <c r="V176" s="16"/>
      <c r="W176" s="12" t="s">
        <v>272</v>
      </c>
      <c r="X176" s="25"/>
      <c r="Y176" s="13"/>
      <c r="Z176" s="14" t="s">
        <v>271</v>
      </c>
      <c r="AA176" s="15" t="s">
        <v>254</v>
      </c>
      <c r="AB176" s="13"/>
      <c r="AC176" s="13"/>
    </row>
    <row r="177" spans="2:29" ht="10.25" customHeight="1" x14ac:dyDescent="0.55000000000000004">
      <c r="B177" s="14" t="s">
        <v>242</v>
      </c>
      <c r="C177" s="14">
        <v>168</v>
      </c>
      <c r="D177" s="15" t="s">
        <v>242</v>
      </c>
      <c r="E177" s="14" t="s">
        <v>876</v>
      </c>
      <c r="F177" s="14" t="s">
        <v>798</v>
      </c>
      <c r="G177" s="14" t="s">
        <v>878</v>
      </c>
      <c r="H177" s="14" t="s">
        <v>800</v>
      </c>
      <c r="I177" s="12" t="s">
        <v>272</v>
      </c>
      <c r="J177" s="14" t="s">
        <v>1096</v>
      </c>
      <c r="K177" s="12" t="s">
        <v>272</v>
      </c>
      <c r="L177" s="14" t="s">
        <v>1097</v>
      </c>
      <c r="M177" s="12" t="s">
        <v>272</v>
      </c>
      <c r="N177" s="14" t="s">
        <v>173</v>
      </c>
      <c r="O177" s="12" t="s">
        <v>272</v>
      </c>
      <c r="P177" s="12" t="s">
        <v>272</v>
      </c>
      <c r="Q177" s="14" t="s">
        <v>205</v>
      </c>
      <c r="R177" s="12" t="s">
        <v>272</v>
      </c>
      <c r="S177" s="12" t="s">
        <v>272</v>
      </c>
      <c r="T177" s="12" t="s">
        <v>272</v>
      </c>
      <c r="U177" s="12" t="s">
        <v>272</v>
      </c>
      <c r="V177" s="16"/>
      <c r="W177" s="12" t="s">
        <v>272</v>
      </c>
      <c r="X177" s="25" t="str">
        <f>_xlfn.IFS(AND(COUNTIF(V177,"SCB*")=1, 'PCH176'!K60&gt;=2), "See the Notice *2", TRUE, "")</f>
        <v/>
      </c>
      <c r="Y177" s="13"/>
      <c r="Z177" s="14" t="s">
        <v>271</v>
      </c>
      <c r="AA177" s="15" t="s">
        <v>254</v>
      </c>
      <c r="AB177" s="13"/>
      <c r="AC177" s="13"/>
    </row>
    <row r="178" spans="2:29" ht="10.25" customHeight="1" x14ac:dyDescent="0.55000000000000004">
      <c r="B178" s="14" t="s">
        <v>243</v>
      </c>
      <c r="C178" s="14">
        <v>169</v>
      </c>
      <c r="D178" s="15" t="s">
        <v>243</v>
      </c>
      <c r="E178" s="14" t="s">
        <v>891</v>
      </c>
      <c r="F178" s="14" t="s">
        <v>884</v>
      </c>
      <c r="G178" s="14" t="s">
        <v>893</v>
      </c>
      <c r="H178" s="14" t="s">
        <v>886</v>
      </c>
      <c r="I178" s="12" t="s">
        <v>272</v>
      </c>
      <c r="J178" s="14" t="s">
        <v>1098</v>
      </c>
      <c r="K178" s="14" t="s">
        <v>1099</v>
      </c>
      <c r="L178" s="14" t="s">
        <v>1100</v>
      </c>
      <c r="M178" s="12" t="s">
        <v>272</v>
      </c>
      <c r="N178" s="14" t="s">
        <v>175</v>
      </c>
      <c r="O178" s="12" t="s">
        <v>272</v>
      </c>
      <c r="P178" s="12" t="s">
        <v>272</v>
      </c>
      <c r="Q178" s="14" t="s">
        <v>207</v>
      </c>
      <c r="R178" s="12" t="s">
        <v>272</v>
      </c>
      <c r="S178" s="12" t="s">
        <v>272</v>
      </c>
      <c r="T178" s="12" t="s">
        <v>272</v>
      </c>
      <c r="U178" s="12" t="s">
        <v>272</v>
      </c>
      <c r="V178" s="16"/>
      <c r="W178" s="12" t="s">
        <v>272</v>
      </c>
      <c r="X178" s="25" t="str">
        <f>_xlfn.IFS(AND(COUNTIF(V178,"SCB*")=1, 'PCH176'!K60&gt;=2), "See the Notice *2", TRUE, "")</f>
        <v/>
      </c>
      <c r="Y178" s="13"/>
      <c r="Z178" s="14" t="s">
        <v>271</v>
      </c>
      <c r="AA178" s="15" t="s">
        <v>254</v>
      </c>
      <c r="AB178" s="13"/>
      <c r="AC178" s="13"/>
    </row>
    <row r="179" spans="2:29" ht="10.25" customHeight="1" x14ac:dyDescent="0.55000000000000004">
      <c r="B179" s="14" t="s">
        <v>244</v>
      </c>
      <c r="C179" s="14">
        <v>170</v>
      </c>
      <c r="D179" s="15" t="s">
        <v>244</v>
      </c>
      <c r="E179" s="14" t="s">
        <v>905</v>
      </c>
      <c r="F179" s="14" t="s">
        <v>900</v>
      </c>
      <c r="G179" s="14" t="s">
        <v>907</v>
      </c>
      <c r="H179" s="14" t="s">
        <v>902</v>
      </c>
      <c r="I179" s="12" t="s">
        <v>272</v>
      </c>
      <c r="J179" s="14" t="s">
        <v>1101</v>
      </c>
      <c r="K179" s="14" t="s">
        <v>1102</v>
      </c>
      <c r="L179" s="14" t="s">
        <v>1103</v>
      </c>
      <c r="M179" s="12" t="s">
        <v>272</v>
      </c>
      <c r="N179" s="12" t="s">
        <v>272</v>
      </c>
      <c r="O179" s="12" t="s">
        <v>272</v>
      </c>
      <c r="P179" s="12" t="s">
        <v>272</v>
      </c>
      <c r="Q179" s="14" t="s">
        <v>217</v>
      </c>
      <c r="R179" s="12" t="s">
        <v>272</v>
      </c>
      <c r="S179" s="12" t="s">
        <v>272</v>
      </c>
      <c r="T179" s="12" t="s">
        <v>272</v>
      </c>
      <c r="U179" s="12" t="s">
        <v>272</v>
      </c>
      <c r="V179" s="16"/>
      <c r="W179" s="12" t="s">
        <v>272</v>
      </c>
      <c r="X179" s="25" t="str">
        <f>_xlfn.IFS(AND(COUNTIF(V179,"SCB*")=1, 'PCH176'!K60&gt;=2), "See the Notice *2", TRUE, "")</f>
        <v/>
      </c>
      <c r="Y179" s="13"/>
      <c r="Z179" s="14" t="s">
        <v>271</v>
      </c>
      <c r="AA179" s="15" t="s">
        <v>254</v>
      </c>
      <c r="AB179" s="13"/>
      <c r="AC179" s="13"/>
    </row>
    <row r="180" spans="2:29" ht="10.25" customHeight="1" x14ac:dyDescent="0.55000000000000004">
      <c r="B180" s="14" t="s">
        <v>245</v>
      </c>
      <c r="C180" s="14">
        <v>171</v>
      </c>
      <c r="D180" s="15" t="s">
        <v>245</v>
      </c>
      <c r="E180" s="14" t="s">
        <v>916</v>
      </c>
      <c r="F180" s="14" t="s">
        <v>911</v>
      </c>
      <c r="G180" s="14" t="s">
        <v>918</v>
      </c>
      <c r="H180" s="14" t="s">
        <v>913</v>
      </c>
      <c r="I180" s="12" t="s">
        <v>272</v>
      </c>
      <c r="J180" s="14" t="s">
        <v>1104</v>
      </c>
      <c r="K180" s="12" t="s">
        <v>272</v>
      </c>
      <c r="L180" s="14" t="s">
        <v>1105</v>
      </c>
      <c r="M180" s="12" t="s">
        <v>272</v>
      </c>
      <c r="N180" s="12" t="s">
        <v>272</v>
      </c>
      <c r="O180" s="12" t="s">
        <v>272</v>
      </c>
      <c r="P180" s="14" t="s">
        <v>246</v>
      </c>
      <c r="Q180" s="14" t="s">
        <v>219</v>
      </c>
      <c r="R180" s="12" t="s">
        <v>272</v>
      </c>
      <c r="S180" s="12" t="s">
        <v>272</v>
      </c>
      <c r="T180" s="12" t="s">
        <v>272</v>
      </c>
      <c r="U180" s="12" t="s">
        <v>272</v>
      </c>
      <c r="V180" s="16"/>
      <c r="W180" s="12" t="s">
        <v>272</v>
      </c>
      <c r="X180" s="25" t="str">
        <f>_xlfn.IFS(AND(COUNTIF(V180,"SCB*")=1, 'PCH176'!K60&gt;=2), "See the Notice *2", TRUE, "")</f>
        <v/>
      </c>
      <c r="Y180" s="13"/>
      <c r="Z180" s="14" t="s">
        <v>271</v>
      </c>
      <c r="AA180" s="15" t="s">
        <v>254</v>
      </c>
      <c r="AB180" s="13"/>
      <c r="AC180" s="13"/>
    </row>
    <row r="181" spans="2:29" ht="10.25" customHeight="1" x14ac:dyDescent="0.55000000000000004">
      <c r="B181" s="14" t="s">
        <v>247</v>
      </c>
      <c r="C181" s="14">
        <v>172</v>
      </c>
      <c r="D181" s="15" t="s">
        <v>247</v>
      </c>
      <c r="E181" s="14" t="s">
        <v>785</v>
      </c>
      <c r="F181" s="14" t="s">
        <v>923</v>
      </c>
      <c r="G181" s="14" t="s">
        <v>787</v>
      </c>
      <c r="H181" s="14" t="s">
        <v>925</v>
      </c>
      <c r="I181" s="12" t="s">
        <v>272</v>
      </c>
      <c r="J181" s="12" t="s">
        <v>272</v>
      </c>
      <c r="K181" s="12" t="s">
        <v>272</v>
      </c>
      <c r="L181" s="14" t="s">
        <v>1106</v>
      </c>
      <c r="M181" s="12" t="s">
        <v>272</v>
      </c>
      <c r="N181" s="12" t="s">
        <v>272</v>
      </c>
      <c r="O181" s="12" t="s">
        <v>272</v>
      </c>
      <c r="P181" s="14" t="s">
        <v>248</v>
      </c>
      <c r="Q181" s="14" t="s">
        <v>59</v>
      </c>
      <c r="R181" s="12" t="s">
        <v>272</v>
      </c>
      <c r="S181" s="14" t="s">
        <v>342</v>
      </c>
      <c r="T181" s="12" t="s">
        <v>272</v>
      </c>
      <c r="U181" s="12" t="s">
        <v>272</v>
      </c>
      <c r="V181" s="16"/>
      <c r="W181" s="12" t="s">
        <v>272</v>
      </c>
      <c r="X181" s="25" t="str">
        <f>_xlfn.IFS(AND(COUNTIF(V181,"SCB*")=1, 'PCH176'!K60&gt;=2), "See the Notice *2", TRUE, "")</f>
        <v/>
      </c>
      <c r="Y181" s="13"/>
      <c r="Z181" s="14" t="s">
        <v>271</v>
      </c>
      <c r="AA181" s="15" t="s">
        <v>254</v>
      </c>
      <c r="AB181" s="13"/>
      <c r="AC181" s="13"/>
    </row>
    <row r="182" spans="2:29" ht="10.25" customHeight="1" x14ac:dyDescent="0.55000000000000004">
      <c r="B182" s="14" t="s">
        <v>249</v>
      </c>
      <c r="C182" s="14">
        <v>173</v>
      </c>
      <c r="D182" s="15" t="s">
        <v>249</v>
      </c>
      <c r="E182" s="14" t="s">
        <v>781</v>
      </c>
      <c r="F182" s="14" t="s">
        <v>790</v>
      </c>
      <c r="G182" s="14" t="s">
        <v>783</v>
      </c>
      <c r="H182" s="14" t="s">
        <v>792</v>
      </c>
      <c r="I182" s="12" t="s">
        <v>272</v>
      </c>
      <c r="J182" s="12" t="s">
        <v>272</v>
      </c>
      <c r="K182" s="12" t="s">
        <v>272</v>
      </c>
      <c r="L182" s="14" t="s">
        <v>1107</v>
      </c>
      <c r="M182" s="14" t="s">
        <v>1108</v>
      </c>
      <c r="N182" s="12" t="s">
        <v>272</v>
      </c>
      <c r="O182" s="12" t="s">
        <v>272</v>
      </c>
      <c r="P182" s="12" t="s">
        <v>272</v>
      </c>
      <c r="Q182" s="12" t="s">
        <v>272</v>
      </c>
      <c r="R182" s="12" t="s">
        <v>272</v>
      </c>
      <c r="S182" s="14" t="s">
        <v>343</v>
      </c>
      <c r="T182" s="12" t="s">
        <v>272</v>
      </c>
      <c r="U182" s="12" t="s">
        <v>272</v>
      </c>
      <c r="V182" s="16"/>
      <c r="W182" s="12" t="s">
        <v>272</v>
      </c>
      <c r="X182" s="25" t="str">
        <f>_xlfn.IFS(AND(COUNTIF(V182,"SCB*")=1, 'PCH176'!K60&gt;=2), "See the Notice *2", TRUE, "")</f>
        <v/>
      </c>
      <c r="Y182" s="13"/>
      <c r="Z182" s="14" t="s">
        <v>271</v>
      </c>
      <c r="AA182" s="15" t="s">
        <v>254</v>
      </c>
      <c r="AB182" s="13"/>
      <c r="AC182" s="13"/>
    </row>
    <row r="183" spans="2:29" ht="10.25" customHeight="1" x14ac:dyDescent="0.55000000000000004">
      <c r="B183" s="14" t="s">
        <v>250</v>
      </c>
      <c r="C183" s="14">
        <v>174</v>
      </c>
      <c r="D183" s="15" t="s">
        <v>250</v>
      </c>
      <c r="E183" s="14" t="s">
        <v>779</v>
      </c>
      <c r="F183" s="14" t="s">
        <v>786</v>
      </c>
      <c r="G183" s="14" t="s">
        <v>780</v>
      </c>
      <c r="H183" s="14" t="s">
        <v>788</v>
      </c>
      <c r="I183" s="12" t="s">
        <v>272</v>
      </c>
      <c r="J183" s="12" t="s">
        <v>272</v>
      </c>
      <c r="K183" s="12" t="s">
        <v>272</v>
      </c>
      <c r="L183" s="12" t="s">
        <v>272</v>
      </c>
      <c r="M183" s="14" t="s">
        <v>1109</v>
      </c>
      <c r="N183" s="12" t="s">
        <v>272</v>
      </c>
      <c r="O183" s="12" t="s">
        <v>272</v>
      </c>
      <c r="P183" s="12" t="s">
        <v>272</v>
      </c>
      <c r="Q183" s="12" t="s">
        <v>272</v>
      </c>
      <c r="R183" s="12" t="s">
        <v>272</v>
      </c>
      <c r="S183" s="14" t="s">
        <v>344</v>
      </c>
      <c r="T183" s="12" t="s">
        <v>272</v>
      </c>
      <c r="U183" s="12" t="s">
        <v>272</v>
      </c>
      <c r="V183" s="16"/>
      <c r="W183" s="12" t="s">
        <v>272</v>
      </c>
      <c r="X183" s="25"/>
      <c r="Y183" s="13"/>
      <c r="Z183" s="14" t="s">
        <v>271</v>
      </c>
      <c r="AA183" s="15" t="s">
        <v>254</v>
      </c>
      <c r="AB183" s="13"/>
      <c r="AC183" s="13"/>
    </row>
    <row r="184" spans="2:29" ht="10.25" customHeight="1" x14ac:dyDescent="0.55000000000000004">
      <c r="B184" s="14" t="s">
        <v>251</v>
      </c>
      <c r="C184" s="14">
        <v>175</v>
      </c>
      <c r="D184" s="15" t="s">
        <v>251</v>
      </c>
      <c r="E184" s="14" t="s">
        <v>775</v>
      </c>
      <c r="F184" s="14" t="s">
        <v>782</v>
      </c>
      <c r="G184" s="14" t="s">
        <v>777</v>
      </c>
      <c r="H184" s="14" t="s">
        <v>784</v>
      </c>
      <c r="I184" s="12" t="s">
        <v>272</v>
      </c>
      <c r="J184" s="12" t="s">
        <v>272</v>
      </c>
      <c r="K184" s="12" t="s">
        <v>272</v>
      </c>
      <c r="L184" s="12" t="s">
        <v>272</v>
      </c>
      <c r="M184" s="14" t="s">
        <v>1110</v>
      </c>
      <c r="N184" s="12" t="s">
        <v>272</v>
      </c>
      <c r="O184" s="12" t="s">
        <v>272</v>
      </c>
      <c r="P184" s="14" t="s">
        <v>233</v>
      </c>
      <c r="Q184" s="14" t="s">
        <v>101</v>
      </c>
      <c r="R184" s="12" t="s">
        <v>272</v>
      </c>
      <c r="S184" s="14" t="s">
        <v>345</v>
      </c>
      <c r="T184" s="12" t="s">
        <v>272</v>
      </c>
      <c r="U184" s="14" t="s">
        <v>539</v>
      </c>
      <c r="V184" s="16"/>
      <c r="W184" s="12" t="s">
        <v>272</v>
      </c>
      <c r="X184" s="25"/>
      <c r="Y184" s="13"/>
      <c r="Z184" s="14" t="s">
        <v>271</v>
      </c>
      <c r="AA184" s="15" t="s">
        <v>254</v>
      </c>
      <c r="AB184" s="13"/>
      <c r="AC184" s="13"/>
    </row>
    <row r="185" spans="2:29" ht="10.25" customHeight="1" x14ac:dyDescent="0.55000000000000004">
      <c r="B185" s="17" t="s">
        <v>254</v>
      </c>
      <c r="C185" s="11">
        <v>176</v>
      </c>
      <c r="D185" s="12" t="s">
        <v>272</v>
      </c>
      <c r="E185" s="12" t="s">
        <v>272</v>
      </c>
      <c r="F185" s="12" t="s">
        <v>272</v>
      </c>
      <c r="G185" s="12" t="s">
        <v>272</v>
      </c>
      <c r="H185" s="12" t="s">
        <v>272</v>
      </c>
      <c r="I185" s="12" t="s">
        <v>272</v>
      </c>
      <c r="J185" s="12" t="s">
        <v>272</v>
      </c>
      <c r="K185" s="12" t="s">
        <v>272</v>
      </c>
      <c r="L185" s="12" t="s">
        <v>272</v>
      </c>
      <c r="M185" s="12" t="s">
        <v>272</v>
      </c>
      <c r="N185" s="12" t="s">
        <v>272</v>
      </c>
      <c r="O185" s="12" t="s">
        <v>272</v>
      </c>
      <c r="P185" s="12" t="s">
        <v>272</v>
      </c>
      <c r="Q185" s="12" t="s">
        <v>272</v>
      </c>
      <c r="R185" s="12" t="s">
        <v>272</v>
      </c>
      <c r="S185" s="12" t="s">
        <v>272</v>
      </c>
      <c r="T185" s="12" t="s">
        <v>272</v>
      </c>
      <c r="U185" s="12" t="s">
        <v>272</v>
      </c>
      <c r="V185" s="17" t="s">
        <v>254</v>
      </c>
      <c r="W185" s="12" t="s">
        <v>272</v>
      </c>
      <c r="X185" s="25"/>
      <c r="Y185" s="13" t="s">
        <v>530</v>
      </c>
      <c r="Z185" s="14" t="s">
        <v>1189</v>
      </c>
      <c r="AA185" s="15" t="s">
        <v>1189</v>
      </c>
      <c r="AB185" s="13"/>
      <c r="AC185" s="13"/>
    </row>
    <row r="188" spans="2:29" ht="10.25" customHeight="1" x14ac:dyDescent="0.55000000000000004">
      <c r="B188" s="4" t="s">
        <v>1196</v>
      </c>
    </row>
    <row r="189" spans="2:29" ht="10.25" customHeight="1" x14ac:dyDescent="0.55000000000000004">
      <c r="B189" s="4" t="s">
        <v>559</v>
      </c>
    </row>
    <row r="190" spans="2:29" ht="10.25" customHeight="1" x14ac:dyDescent="0.55000000000000004">
      <c r="B190" s="4" t="s">
        <v>1197</v>
      </c>
      <c r="E190" s="4"/>
    </row>
    <row r="191" spans="2:29" ht="10.25" customHeight="1" x14ac:dyDescent="0.55000000000000004">
      <c r="B191" s="4" t="s">
        <v>1198</v>
      </c>
    </row>
    <row r="192" spans="2:29" ht="10.25" customHeight="1" x14ac:dyDescent="0.55000000000000004">
      <c r="B192" s="4" t="s">
        <v>1199</v>
      </c>
    </row>
    <row r="203" spans="4:17" ht="15" customHeight="1" x14ac:dyDescent="0.55000000000000004">
      <c r="D203" s="118" t="s">
        <v>1216</v>
      </c>
      <c r="E203" s="118"/>
      <c r="F203" s="118"/>
      <c r="G203" s="118"/>
      <c r="H203" s="118"/>
      <c r="I203" s="118"/>
      <c r="J203" s="118"/>
      <c r="K203" s="118"/>
      <c r="L203" s="118"/>
      <c r="M203" s="118"/>
      <c r="N203" s="118"/>
      <c r="O203" s="118"/>
      <c r="P203" s="118"/>
      <c r="Q203" s="118"/>
    </row>
    <row r="204" spans="4:17" ht="172" customHeight="1" x14ac:dyDescent="0.55000000000000004">
      <c r="D204" s="119" t="s">
        <v>1217</v>
      </c>
      <c r="E204" s="119"/>
      <c r="F204" s="119"/>
      <c r="G204" s="119"/>
      <c r="H204" s="119"/>
      <c r="I204" s="119"/>
      <c r="J204" s="119"/>
      <c r="K204" s="119"/>
      <c r="L204" s="119"/>
      <c r="M204" s="119"/>
      <c r="N204" s="119"/>
      <c r="O204" s="119"/>
      <c r="P204" s="119"/>
      <c r="Q204" s="119"/>
    </row>
  </sheetData>
  <sheetProtection algorithmName="SHA-512" hashValue="Sasso6CRCyrUlhr4Bj0ZfyiRFeDv+EGVNLs2vog7hPYYjVTi39FDBaEkVa80u+Jr5oLJLgbUcIXdcJrWWfVEvA==" saltValue="DZ072M3TLJgCF4QrMAWsaA==" spinCount="100000" sheet="1" objects="1" scenarios="1" formatCells="0" formatColumns="0" formatRows="0" insertColumns="0" insertRows="0" insertHyperlinks="0" deleteColumns="0" deleteRows="0" selectLockedCells="1" sort="0" autoFilter="0" pivotTables="0"/>
  <mergeCells count="19">
    <mergeCell ref="D203:Q203"/>
    <mergeCell ref="D204:Q204"/>
    <mergeCell ref="U7:U9"/>
    <mergeCell ref="B7:B9"/>
    <mergeCell ref="I7:K7"/>
    <mergeCell ref="C7:C9"/>
    <mergeCell ref="D7:D9"/>
    <mergeCell ref="R7:T7"/>
    <mergeCell ref="Y7:Y9"/>
    <mergeCell ref="AB8:AB9"/>
    <mergeCell ref="AC8:AC9"/>
    <mergeCell ref="AB7:AC7"/>
    <mergeCell ref="V8:V9"/>
    <mergeCell ref="X8:X9"/>
    <mergeCell ref="V7:X7"/>
    <mergeCell ref="W8:W9"/>
    <mergeCell ref="Z7:AA7"/>
    <mergeCell ref="Z8:Z9"/>
    <mergeCell ref="AA8:AA9"/>
  </mergeCells>
  <phoneticPr fontId="3"/>
  <conditionalFormatting sqref="V16">
    <cfRule type="colorScale" priority="21">
      <colorScale>
        <cfvo type="min"/>
        <cfvo type="max"/>
        <color rgb="FFFF7128"/>
        <color rgb="FFFFEF9C"/>
      </colorScale>
    </cfRule>
  </conditionalFormatting>
  <conditionalFormatting sqref="V11:V30">
    <cfRule type="notContainsBlanks" dxfId="404" priority="20">
      <formula>LEN(TRIM(V11))&gt;0</formula>
    </cfRule>
  </conditionalFormatting>
  <conditionalFormatting sqref="V33:V51">
    <cfRule type="notContainsBlanks" dxfId="403" priority="19">
      <formula>LEN(TRIM(V33))&gt;0</formula>
    </cfRule>
  </conditionalFormatting>
  <conditionalFormatting sqref="V57:V84">
    <cfRule type="notContainsBlanks" dxfId="402" priority="18">
      <formula>LEN(TRIM(V57))&gt;0</formula>
    </cfRule>
  </conditionalFormatting>
  <conditionalFormatting sqref="V89:V96">
    <cfRule type="notContainsBlanks" dxfId="401" priority="17">
      <formula>LEN(TRIM(V89))&gt;0</formula>
    </cfRule>
  </conditionalFormatting>
  <conditionalFormatting sqref="V99:V118">
    <cfRule type="notContainsBlanks" dxfId="400" priority="22">
      <formula>LEN(TRIM(V99))&gt;0</formula>
    </cfRule>
  </conditionalFormatting>
  <conditionalFormatting sqref="V121:V140">
    <cfRule type="notContainsBlanks" dxfId="399" priority="16">
      <formula>LEN(TRIM(V121))&gt;0</formula>
    </cfRule>
  </conditionalFormatting>
  <conditionalFormatting sqref="V143:V160">
    <cfRule type="notContainsBlanks" dxfId="398" priority="15">
      <formula>LEN(TRIM(V143))&gt;0</formula>
    </cfRule>
  </conditionalFormatting>
  <conditionalFormatting sqref="V166:V184">
    <cfRule type="notContainsBlanks" dxfId="397" priority="23">
      <formula>LEN(TRIM(V166))&gt;0</formula>
    </cfRule>
  </conditionalFormatting>
  <conditionalFormatting sqref="V185">
    <cfRule type="duplicateValues" dxfId="396" priority="14"/>
  </conditionalFormatting>
  <conditionalFormatting sqref="V11:V30 V33:V51 V57:V84 V89:V96 V99:V118 V121:V140 V143:V160 V166:V184">
    <cfRule type="duplicateValues" dxfId="395" priority="13"/>
  </conditionalFormatting>
  <conditionalFormatting sqref="V33:V51">
    <cfRule type="notContainsBlanks" dxfId="394" priority="12">
      <formula>LEN(TRIM(V33))&gt;0</formula>
    </cfRule>
  </conditionalFormatting>
  <conditionalFormatting sqref="V57">
    <cfRule type="notContainsBlanks" dxfId="393" priority="11">
      <formula>LEN(TRIM(V57))&gt;0</formula>
    </cfRule>
  </conditionalFormatting>
  <conditionalFormatting sqref="V57">
    <cfRule type="notContainsBlanks" dxfId="392" priority="10">
      <formula>LEN(TRIM(V57))&gt;0</formula>
    </cfRule>
  </conditionalFormatting>
  <conditionalFormatting sqref="V99:V100">
    <cfRule type="notContainsBlanks" dxfId="391" priority="9">
      <formula>LEN(TRIM(V99))&gt;0</formula>
    </cfRule>
  </conditionalFormatting>
  <conditionalFormatting sqref="V121:V122">
    <cfRule type="notContainsBlanks" dxfId="390" priority="8">
      <formula>LEN(TRIM(V121))&gt;0</formula>
    </cfRule>
  </conditionalFormatting>
  <conditionalFormatting sqref="V143:V144">
    <cfRule type="notContainsBlanks" dxfId="389" priority="7">
      <formula>LEN(TRIM(V143))&gt;0</formula>
    </cfRule>
  </conditionalFormatting>
  <conditionalFormatting sqref="W125:W132">
    <cfRule type="notContainsBlanks" dxfId="388" priority="1">
      <formula>LEN(TRIM(W125))&gt;0</formula>
    </cfRule>
  </conditionalFormatting>
  <conditionalFormatting sqref="W89:W96">
    <cfRule type="notContainsBlanks" dxfId="387" priority="3">
      <formula>LEN(TRIM(W89))&gt;0</formula>
    </cfRule>
  </conditionalFormatting>
  <conditionalFormatting sqref="W99:W118">
    <cfRule type="notContainsBlanks" dxfId="386" priority="2">
      <formula>LEN(TRIM(W99))&gt;0</formula>
    </cfRule>
  </conditionalFormatting>
  <dataValidations count="188">
    <dataValidation type="list" allowBlank="1" showInputMessage="1" showErrorMessage="1" sqref="V144" xr:uid="{7791995E-215B-4E57-BFA8-E6B2DA26410B}">
      <formula1>$D$144:$U$144</formula1>
    </dataValidation>
    <dataValidation type="list" allowBlank="1" showInputMessage="1" showErrorMessage="1" sqref="V143" xr:uid="{29931B08-3A72-4453-8A9D-FB25781692FA}">
      <formula1>$D$143:$U$143</formula1>
    </dataValidation>
    <dataValidation type="list" allowBlank="1" showInputMessage="1" showErrorMessage="1" sqref="V140" xr:uid="{60720AF8-E28D-472A-9A83-ED37057D39F8}">
      <formula1>$D$140:$U$140</formula1>
    </dataValidation>
    <dataValidation type="list" allowBlank="1" showInputMessage="1" showErrorMessage="1" sqref="V139" xr:uid="{2378E624-99A7-4550-AC95-7D3F9EEE6A2B}">
      <formula1>$D$139:$U$139</formula1>
    </dataValidation>
    <dataValidation type="list" allowBlank="1" showInputMessage="1" showErrorMessage="1" sqref="V138" xr:uid="{EFFA415A-7C1E-461D-BB43-DB3819247CA0}">
      <formula1>$D$138:$U$138</formula1>
    </dataValidation>
    <dataValidation type="list" allowBlank="1" showInputMessage="1" showErrorMessage="1" sqref="V137" xr:uid="{13106D1E-4E9E-4A4B-B5D6-75D2680B82AF}">
      <formula1>$D$137:$U$137</formula1>
    </dataValidation>
    <dataValidation type="list" allowBlank="1" showInputMessage="1" showErrorMessage="1" sqref="V136" xr:uid="{75D59EB1-B420-40FE-9F17-EF0474DE226E}">
      <formula1>$D$136:$U$136</formula1>
    </dataValidation>
    <dataValidation type="list" allowBlank="1" showInputMessage="1" showErrorMessage="1" sqref="V135" xr:uid="{DB93A5B9-8999-4D5D-994C-AE0E14F8031F}">
      <formula1>$D$135:$U$135</formula1>
    </dataValidation>
    <dataValidation type="list" allowBlank="1" showInputMessage="1" showErrorMessage="1" sqref="V134" xr:uid="{D1FE809A-1C5E-474D-B99D-C71BF4298747}">
      <formula1>$D$134:$U$134</formula1>
    </dataValidation>
    <dataValidation type="list" allowBlank="1" showInputMessage="1" showErrorMessage="1" sqref="V133" xr:uid="{C25F0E85-84D9-42D4-AEBD-2B52E0C3C6A9}">
      <formula1>$D$133:$U$133</formula1>
    </dataValidation>
    <dataValidation type="list" allowBlank="1" showInputMessage="1" showErrorMessage="1" sqref="V132" xr:uid="{8B5ECA50-0642-4C5A-9ED0-90E48AD7E3B5}">
      <formula1>$D$132:$U$132</formula1>
    </dataValidation>
    <dataValidation type="list" allowBlank="1" showInputMessage="1" showErrorMessage="1" sqref="V131" xr:uid="{9D86B8D5-505E-4755-9566-4B7762D7A3A6}">
      <formula1>$D$131:$U$131</formula1>
    </dataValidation>
    <dataValidation type="list" allowBlank="1" showInputMessage="1" showErrorMessage="1" sqref="V130" xr:uid="{9058D7AA-3C4B-4CCC-A1EC-42E8C8C12B43}">
      <formula1>$D$130:$U$130</formula1>
    </dataValidation>
    <dataValidation type="list" allowBlank="1" showInputMessage="1" showErrorMessage="1" sqref="V129" xr:uid="{A2648470-8129-41E2-9531-4376E072A40D}">
      <formula1>$D$129:$U$129</formula1>
    </dataValidation>
    <dataValidation type="list" allowBlank="1" showInputMessage="1" showErrorMessage="1" sqref="V159" xr:uid="{198E8E3E-9F13-4366-A1E5-EE4CB3A6D4DD}">
      <formula1>$D$159:$U$159</formula1>
    </dataValidation>
    <dataValidation type="list" allowBlank="1" showInputMessage="1" showErrorMessage="1" sqref="V158" xr:uid="{8C2C6EC7-FB4F-4D3D-98EA-B9CA77C372CE}">
      <formula1>$D$158:$U$158</formula1>
    </dataValidation>
    <dataValidation type="list" allowBlank="1" showInputMessage="1" showErrorMessage="1" sqref="V157" xr:uid="{667D01FA-C5EB-4062-BA41-47D3A9B8D4B2}">
      <formula1>$D$157:$U$157</formula1>
    </dataValidation>
    <dataValidation type="list" allowBlank="1" showInputMessage="1" showErrorMessage="1" sqref="V156" xr:uid="{304615EB-CD1E-42F5-B297-A7A3BC8995C2}">
      <formula1>$D$156:$U$156</formula1>
    </dataValidation>
    <dataValidation type="list" allowBlank="1" showInputMessage="1" showErrorMessage="1" sqref="V155" xr:uid="{85EFC4E2-4AF3-4E13-9552-2B8D31999C81}">
      <formula1>$D$155:$U$155</formula1>
    </dataValidation>
    <dataValidation type="list" allowBlank="1" showInputMessage="1" showErrorMessage="1" sqref="V154" xr:uid="{C0204349-F625-46C6-AD32-925138402C2C}">
      <formula1>$D$154:$U$154</formula1>
    </dataValidation>
    <dataValidation type="list" allowBlank="1" showInputMessage="1" showErrorMessage="1" sqref="V153" xr:uid="{4B294AE3-752B-4299-AF0A-81471D65F21A}">
      <formula1>$D$153:$U$153</formula1>
    </dataValidation>
    <dataValidation type="list" allowBlank="1" showInputMessage="1" showErrorMessage="1" sqref="V152" xr:uid="{41B05ACA-9D5E-4401-A91B-5FC19710824B}">
      <formula1>$D$152:$U$152</formula1>
    </dataValidation>
    <dataValidation type="list" allowBlank="1" showInputMessage="1" showErrorMessage="1" sqref="V151" xr:uid="{C8D8F635-4F8E-47BE-842B-8E789BAD7515}">
      <formula1>$D$151:$U$151</formula1>
    </dataValidation>
    <dataValidation type="list" allowBlank="1" showInputMessage="1" showErrorMessage="1" sqref="V150" xr:uid="{F0FC855E-EF49-40DA-94B3-3F94747D96DF}">
      <formula1>$D$150:$U$150</formula1>
    </dataValidation>
    <dataValidation type="list" allowBlank="1" showInputMessage="1" showErrorMessage="1" sqref="V149" xr:uid="{D594C77C-4FD9-4B89-AD01-450B13ED2E19}">
      <formula1>$D$149:$U$149</formula1>
    </dataValidation>
    <dataValidation type="list" allowBlank="1" showInputMessage="1" showErrorMessage="1" sqref="V148" xr:uid="{034A9548-F847-40CB-AA59-A4864AF8C6BE}">
      <formula1>$D$148:$U$148</formula1>
    </dataValidation>
    <dataValidation type="list" allowBlank="1" showInputMessage="1" showErrorMessage="1" sqref="V147" xr:uid="{82A6843E-1822-40C9-9277-08B37A4739FB}">
      <formula1>$D$147:$U$147</formula1>
    </dataValidation>
    <dataValidation type="list" allowBlank="1" showInputMessage="1" showErrorMessage="1" sqref="V160" xr:uid="{FB0F5EBF-4277-4E95-A260-D302E4512D0B}">
      <formula1>$D$160:$U$160</formula1>
    </dataValidation>
    <dataValidation type="list" allowBlank="1" showInputMessage="1" showErrorMessage="1" sqref="V116" xr:uid="{A31DE5DC-5688-4661-9AF6-9733DAD595DE}">
      <formula1>$D$116:$U$116</formula1>
    </dataValidation>
    <dataValidation type="list" allowBlank="1" showInputMessage="1" showErrorMessage="1" sqref="V115" xr:uid="{44C4C691-5D73-4FCE-A05A-67296EB7E94A}">
      <formula1>$D$115:$U$115</formula1>
    </dataValidation>
    <dataValidation type="list" allowBlank="1" showInputMessage="1" showErrorMessage="1" sqref="V114" xr:uid="{98283860-EB1D-4157-AFBA-5B57A4B4B85B}">
      <formula1>$D$114:$U$114</formula1>
    </dataValidation>
    <dataValidation type="list" allowBlank="1" showInputMessage="1" showErrorMessage="1" sqref="V113" xr:uid="{0293100A-CB6D-4828-9C70-564212B38536}">
      <formula1>$D$113:$U$113</formula1>
    </dataValidation>
    <dataValidation type="list" allowBlank="1" showInputMessage="1" showErrorMessage="1" sqref="V112" xr:uid="{2B64D247-ED76-4CC1-B6E4-FDE8B2BB066A}">
      <formula1>$D$112:$U$112</formula1>
    </dataValidation>
    <dataValidation type="list" allowBlank="1" showInputMessage="1" showErrorMessage="1" sqref="V103" xr:uid="{7FF2CB9F-B67D-4FDF-B971-528131722EF8}">
      <formula1>$D$103:$U$103</formula1>
    </dataValidation>
    <dataValidation type="list" allowBlank="1" showInputMessage="1" showErrorMessage="1" sqref="V184" xr:uid="{F41E2B98-CEE3-4946-8414-ACA751915E57}">
      <formula1>$D$184:$U$184</formula1>
    </dataValidation>
    <dataValidation type="list" allowBlank="1" showInputMessage="1" showErrorMessage="1" sqref="V183" xr:uid="{1F347576-F3BF-4178-B016-C3C14A717AAB}">
      <formula1>$D$183:$U$183</formula1>
    </dataValidation>
    <dataValidation type="list" allowBlank="1" showInputMessage="1" showErrorMessage="1" sqref="V182" xr:uid="{CABB16C5-CCA2-41EC-8440-737891C83480}">
      <formula1>$D$182:$U$182</formula1>
    </dataValidation>
    <dataValidation type="list" allowBlank="1" showInputMessage="1" showErrorMessage="1" sqref="V181" xr:uid="{9F10CB6F-F5DB-4626-8284-27823661CE6E}">
      <formula1>$D$181:$U$181</formula1>
    </dataValidation>
    <dataValidation type="list" allowBlank="1" showInputMessage="1" showErrorMessage="1" sqref="V180" xr:uid="{CAFCE53A-A3E7-4C58-9D22-669BA551C16B}">
      <formula1>$D$180:$U$180</formula1>
    </dataValidation>
    <dataValidation type="list" allowBlank="1" showInputMessage="1" showErrorMessage="1" sqref="V179" xr:uid="{DEA31E59-0E68-4AFD-9BE8-E3F74C60FBC0}">
      <formula1>$D$179:$U$179</formula1>
    </dataValidation>
    <dataValidation type="list" allowBlank="1" showInputMessage="1" showErrorMessage="1" sqref="V178" xr:uid="{F32177C2-07A8-4943-9B79-EC1ABAD0D9A3}">
      <formula1>$D$178:$U$178</formula1>
    </dataValidation>
    <dataValidation type="list" allowBlank="1" showInputMessage="1" showErrorMessage="1" sqref="V177" xr:uid="{98CBEA80-3D10-4A86-A5DC-266306CD8D87}">
      <formula1>$D$177:$U$177</formula1>
    </dataValidation>
    <dataValidation type="list" allowBlank="1" showInputMessage="1" showErrorMessage="1" sqref="V176" xr:uid="{2711AD8F-03D1-4DB8-9C72-E7E2B0AFF9BF}">
      <formula1>$D$176:$U$176</formula1>
    </dataValidation>
    <dataValidation type="list" allowBlank="1" showInputMessage="1" showErrorMessage="1" sqref="V175" xr:uid="{59224526-FB6A-4E14-AE5E-7C2338BF5B4E}">
      <formula1>$D$175:$U$175</formula1>
    </dataValidation>
    <dataValidation type="list" allowBlank="1" showInputMessage="1" showErrorMessage="1" sqref="V174" xr:uid="{7F74A014-2E72-455D-92EC-3C328E62D8B0}">
      <formula1>$D$174:$U$174</formula1>
    </dataValidation>
    <dataValidation type="list" allowBlank="1" showInputMessage="1" showErrorMessage="1" sqref="V173" xr:uid="{8726687F-CDD5-4FA2-A970-8FB7EBDD1BD8}">
      <formula1>$D$173:$U$173</formula1>
    </dataValidation>
    <dataValidation type="list" allowBlank="1" showInputMessage="1" showErrorMessage="1" sqref="V172" xr:uid="{D040B993-61FA-4106-9B49-DCAD6F41E6EB}">
      <formula1>$D$172:$U$172</formula1>
    </dataValidation>
    <dataValidation type="list" allowBlank="1" showInputMessage="1" showErrorMessage="1" sqref="V171" xr:uid="{DAA0069B-45FC-4754-AF9C-6FD3B75CBA78}">
      <formula1>$D$171:$U$171</formula1>
    </dataValidation>
    <dataValidation type="list" allowBlank="1" showInputMessage="1" showErrorMessage="1" sqref="V166" xr:uid="{F084A449-ACD0-4D12-80A6-C6BE1801A713}">
      <formula1>$D$166:$U$166</formula1>
    </dataValidation>
    <dataValidation type="list" allowBlank="1" showInputMessage="1" showErrorMessage="1" sqref="V100" xr:uid="{02EB87E8-D1F0-42CD-A708-259643D99784}">
      <formula1>$D$100:$U$100</formula1>
    </dataValidation>
    <dataValidation type="list" allowBlank="1" showInputMessage="1" showErrorMessage="1" sqref="V68" xr:uid="{D12D8E65-7004-4B13-A778-99F33F97B09D}">
      <formula1>$D$68:$U$68</formula1>
    </dataValidation>
    <dataValidation type="list" allowBlank="1" showInputMessage="1" showErrorMessage="1" sqref="V67" xr:uid="{BE1EC696-3684-4895-9072-FB3F03871992}">
      <formula1>$D$67:$U$67</formula1>
    </dataValidation>
    <dataValidation type="list" allowBlank="1" showInputMessage="1" showErrorMessage="1" sqref="V61" xr:uid="{97D30749-A1FF-48A3-8243-5215FC7CCAD6}">
      <formula1>$D$61:$U$61</formula1>
    </dataValidation>
    <dataValidation type="list" allowBlank="1" showInputMessage="1" showErrorMessage="1" sqref="V60" xr:uid="{6AAE08FA-1CA2-448B-B367-75742F9A5547}">
      <formula1>$D$60:$U$60</formula1>
    </dataValidation>
    <dataValidation type="list" allowBlank="1" showInputMessage="1" showErrorMessage="1" sqref="V59" xr:uid="{B924B884-226F-4EB7-AEA3-A5298AE27B10}">
      <formula1>$D$59:$U$59</formula1>
    </dataValidation>
    <dataValidation type="list" allowBlank="1" showInputMessage="1" showErrorMessage="1" sqref="V58" xr:uid="{8DDE63EF-AFF3-4704-94C2-4D000B69FC4D}">
      <formula1>$D$58:$U$58</formula1>
    </dataValidation>
    <dataValidation type="list" allowBlank="1" showInputMessage="1" showErrorMessage="1" sqref="V11" xr:uid="{5A985129-3CD5-4A95-A2E0-B1AEF4B452BC}">
      <formula1>$D$11:$U$11</formula1>
    </dataValidation>
    <dataValidation type="list" allowBlank="1" showInputMessage="1" showErrorMessage="1" sqref="V62" xr:uid="{E3EA9E3D-824C-4955-A694-D110BAB472CE}">
      <formula1>$D$62:$U$62</formula1>
    </dataValidation>
    <dataValidation type="list" allowBlank="1" showInputMessage="1" showErrorMessage="1" sqref="V63" xr:uid="{601FAFA5-CFF2-4964-B86B-93700609EC57}">
      <formula1>$D$63:$U$63</formula1>
    </dataValidation>
    <dataValidation type="list" allowBlank="1" showInputMessage="1" showErrorMessage="1" sqref="V64" xr:uid="{DC8F161C-310D-4C86-A5B4-B7B691983153}">
      <formula1>$D$64:$U$64</formula1>
    </dataValidation>
    <dataValidation type="list" allowBlank="1" showInputMessage="1" showErrorMessage="1" sqref="V65" xr:uid="{AECFFBE9-250C-4CEB-9CB8-E6F8DCA3444D}">
      <formula1>$D$65:$U$65</formula1>
    </dataValidation>
    <dataValidation type="list" allowBlank="1" showInputMessage="1" showErrorMessage="1" sqref="V66" xr:uid="{3DB1CA32-78C8-43E5-92F6-01FEA2FF61EE}">
      <formula1>$D$66:$U$66</formula1>
    </dataValidation>
    <dataValidation type="list" allowBlank="1" showInputMessage="1" showErrorMessage="1" sqref="V117" xr:uid="{F71BCF04-595B-4DC9-92D5-8BDF61EE5549}">
      <formula1>$D$117:$U$117</formula1>
    </dataValidation>
    <dataValidation type="list" allowBlank="1" showInputMessage="1" showErrorMessage="1" sqref="V118" xr:uid="{E1BAF73C-1B0F-4229-A1B6-9BC9D26C4A84}">
      <formula1>$D$118:$U$118</formula1>
    </dataValidation>
    <dataValidation type="list" allowBlank="1" showInputMessage="1" showErrorMessage="1" sqref="V121" xr:uid="{268279A7-9485-46C5-95EE-E1A0EAC1CB08}">
      <formula1>$D$121:$U$121</formula1>
    </dataValidation>
    <dataValidation type="list" allowBlank="1" showInputMessage="1" showErrorMessage="1" sqref="V122" xr:uid="{8ADDCA59-4A56-4C3A-9C41-69A6DC5ECEA6}">
      <formula1>$D$122:$U$122</formula1>
    </dataValidation>
    <dataValidation type="list" allowBlank="1" showInputMessage="1" showErrorMessage="1" sqref="V125" xr:uid="{1E2B2852-340E-45E4-B22B-3CD2DF4C0D10}">
      <formula1>$D$125:$U$125</formula1>
    </dataValidation>
    <dataValidation type="list" allowBlank="1" showInputMessage="1" showErrorMessage="1" sqref="V126" xr:uid="{39E83606-8906-436F-864E-AEA6EA6F26E3}">
      <formula1>$D$126:$U$126</formula1>
    </dataValidation>
    <dataValidation type="list" allowBlank="1" showInputMessage="1" showErrorMessage="1" sqref="V127" xr:uid="{6E7FEBEE-781F-4D23-A775-C58C38077063}">
      <formula1>$D$127:$U$127</formula1>
    </dataValidation>
    <dataValidation type="list" allowBlank="1" showInputMessage="1" showErrorMessage="1" sqref="V128" xr:uid="{F4DCCB57-E99B-4EA1-AFC6-9039AD66C410}">
      <formula1>$D$128:$U$128</formula1>
    </dataValidation>
    <dataValidation type="list" allowBlank="1" showInputMessage="1" showErrorMessage="1" sqref="V104" xr:uid="{81AAD756-855A-4E84-9ADC-495CF0BC65F6}">
      <formula1>$D$104:$U$104</formula1>
    </dataValidation>
    <dataValidation type="list" allowBlank="1" showInputMessage="1" showErrorMessage="1" sqref="V105" xr:uid="{44EB0C5C-5219-4AD9-AE7C-A615251D741E}">
      <formula1>$D$105:$U$105</formula1>
    </dataValidation>
    <dataValidation type="list" allowBlank="1" showInputMessage="1" showErrorMessage="1" sqref="V106" xr:uid="{ED3B2B9B-C7C0-4D0C-AF05-F0E510ED8C7A}">
      <formula1>$D$106:$U$106</formula1>
    </dataValidation>
    <dataValidation type="list" allowBlank="1" showInputMessage="1" showErrorMessage="1" sqref="V107" xr:uid="{DA5117A1-855C-4EE3-9B2F-E77E121BFFB3}">
      <formula1>$D$107:$U$107</formula1>
    </dataValidation>
    <dataValidation type="list" allowBlank="1" showInputMessage="1" showErrorMessage="1" sqref="V108" xr:uid="{D0B83DA1-A766-4547-9CF0-0191C708B5F4}">
      <formula1>$D$108:$U$108</formula1>
    </dataValidation>
    <dataValidation type="list" allowBlank="1" showInputMessage="1" showErrorMessage="1" sqref="V109" xr:uid="{97DCDEA8-5496-47D5-9B90-84E00F328FCC}">
      <formula1>$D$109:$U$109</formula1>
    </dataValidation>
    <dataValidation type="list" allowBlank="1" showInputMessage="1" showErrorMessage="1" sqref="V110" xr:uid="{9925F2CC-363F-48B4-8F8F-42F2F8CBE7A4}">
      <formula1>$D$110:$U$110</formula1>
    </dataValidation>
    <dataValidation type="list" allowBlank="1" showInputMessage="1" showErrorMessage="1" sqref="V111" xr:uid="{F70D15CF-A3D0-4606-B7E6-6FC4FBABB31C}">
      <formula1>$D$111:$U$111</formula1>
    </dataValidation>
    <dataValidation type="list" allowBlank="1" showInputMessage="1" showErrorMessage="1" sqref="V69" xr:uid="{32F2A8F0-0AB7-49E3-BA72-C09137BB2ECA}">
      <formula1>$D$69:$U$69</formula1>
    </dataValidation>
    <dataValidation type="list" allowBlank="1" showInputMessage="1" showErrorMessage="1" sqref="V70" xr:uid="{28E696E9-9A02-4627-BB71-E796A23CFB7F}">
      <formula1>$D$70:$U$70</formula1>
    </dataValidation>
    <dataValidation type="list" allowBlank="1" showInputMessage="1" showErrorMessage="1" sqref="V71" xr:uid="{D37EC81F-B15A-4C1B-86C9-F915EE191FAA}">
      <formula1>$D$71:$U$71</formula1>
    </dataValidation>
    <dataValidation type="list" allowBlank="1" showInputMessage="1" showErrorMessage="1" sqref="V72" xr:uid="{B19310B5-4729-4302-A556-AF9DB0712494}">
      <formula1>$D$72:$U$72</formula1>
    </dataValidation>
    <dataValidation type="list" allowBlank="1" showInputMessage="1" showErrorMessage="1" sqref="V77" xr:uid="{5131E133-4AEA-4C76-AABA-778B82D4A122}">
      <formula1>$D$77:$U$77</formula1>
    </dataValidation>
    <dataValidation type="list" allowBlank="1" showInputMessage="1" showErrorMessage="1" sqref="V78" xr:uid="{7E70E054-D8A3-43E9-A81F-8BA744798A59}">
      <formula1>$D$78:$U$78</formula1>
    </dataValidation>
    <dataValidation type="list" allowBlank="1" showInputMessage="1" showErrorMessage="1" sqref="V79" xr:uid="{AF6279B2-6116-4A41-BBB4-802A3D07CD63}">
      <formula1>$D$79:$U$79</formula1>
    </dataValidation>
    <dataValidation type="list" allowBlank="1" showInputMessage="1" showErrorMessage="1" sqref="V80" xr:uid="{5743E170-DE97-4B9F-A810-4140BEA481A8}">
      <formula1>$D$80:$U$80</formula1>
    </dataValidation>
    <dataValidation type="list" allowBlank="1" showInputMessage="1" showErrorMessage="1" sqref="V81" xr:uid="{996D90B5-DCC5-4A79-B35E-1BEC38A26C6E}">
      <formula1>$D$81:$U$81</formula1>
    </dataValidation>
    <dataValidation type="list" allowBlank="1" showInputMessage="1" showErrorMessage="1" sqref="V82" xr:uid="{99A489A2-D1E9-463F-A1D1-0911EBFC3F5A}">
      <formula1>$D$82:$U$82</formula1>
    </dataValidation>
    <dataValidation type="list" allowBlank="1" showInputMessage="1" showErrorMessage="1" sqref="V83" xr:uid="{C68A3EBF-48E3-40CA-9B08-B676CA75286C}">
      <formula1>$D$83:$U$83</formula1>
    </dataValidation>
    <dataValidation type="list" allowBlank="1" showInputMessage="1" showErrorMessage="1" sqref="V84" xr:uid="{2DFA31ED-9025-45BA-B344-B05CB535E294}">
      <formula1>$D$84:$U$84</formula1>
    </dataValidation>
    <dataValidation type="list" allowBlank="1" showInputMessage="1" showErrorMessage="1" sqref="V93" xr:uid="{EEBD7DFA-90DE-4868-B4BF-3D6A85F0B1B3}">
      <formula1>$D$93:$U$93</formula1>
    </dataValidation>
    <dataValidation type="list" allowBlank="1" showInputMessage="1" showErrorMessage="1" sqref="V94" xr:uid="{8D56907C-C40C-4AE4-A05D-C14633B75961}">
      <formula1>$D$94:$U$94</formula1>
    </dataValidation>
    <dataValidation type="list" allowBlank="1" showInputMessage="1" showErrorMessage="1" sqref="V95" xr:uid="{4A8FD343-60A7-4C6B-9F80-C999AB32E88B}">
      <formula1>$D$95:$U$95</formula1>
    </dataValidation>
    <dataValidation type="list" allowBlank="1" showInputMessage="1" showErrorMessage="1" sqref="V96" xr:uid="{23C74ADD-AF53-4C94-AAF9-4EAE6F10674B}">
      <formula1>$D$96:$U$96</formula1>
    </dataValidation>
    <dataValidation type="list" allowBlank="1" showInputMessage="1" showErrorMessage="1" sqref="V99" xr:uid="{2C35D00B-09BE-494A-A330-855841531339}">
      <formula1>$D$99:$U$99</formula1>
    </dataValidation>
    <dataValidation type="list" allowBlank="1" showInputMessage="1" showErrorMessage="1" sqref="V33" xr:uid="{9078007D-1246-497D-8679-CA53C950DD0D}">
      <formula1>$D$33:$U$33</formula1>
    </dataValidation>
    <dataValidation type="list" allowBlank="1" showInputMessage="1" showErrorMessage="1" sqref="V12" xr:uid="{F93A24C6-779C-421B-9376-E5A7456EE77B}">
      <formula1>$D$12:$U$12</formula1>
    </dataValidation>
    <dataValidation type="list" allowBlank="1" showInputMessage="1" showErrorMessage="1" sqref="V13" xr:uid="{39AFED5B-7140-4F24-A65E-2192A20DCBEA}">
      <formula1>$D$13:$U$13</formula1>
    </dataValidation>
    <dataValidation type="list" allowBlank="1" showInputMessage="1" showErrorMessage="1" sqref="V14" xr:uid="{21C9E8A2-905F-4862-93E1-9C0144812123}">
      <formula1>$D$14:$U$14</formula1>
    </dataValidation>
    <dataValidation type="list" allowBlank="1" showInputMessage="1" showErrorMessage="1" sqref="V15" xr:uid="{53BE17FD-8803-4795-B7AB-5B980D0CE068}">
      <formula1>$D$15:$U$15</formula1>
    </dataValidation>
    <dataValidation type="list" allowBlank="1" showInputMessage="1" showErrorMessage="1" sqref="V16" xr:uid="{A12A0CC4-4D8E-4EDE-8CCE-AFFEF1A91561}">
      <formula1>$D$16:$U$16</formula1>
    </dataValidation>
    <dataValidation type="list" allowBlank="1" showInputMessage="1" showErrorMessage="1" sqref="V17" xr:uid="{DE76DF4F-E376-4919-84BA-88DA120A0D2E}">
      <formula1>$D$17:$U$17</formula1>
    </dataValidation>
    <dataValidation type="list" allowBlank="1" showInputMessage="1" showErrorMessage="1" sqref="V18" xr:uid="{376F5DC1-0889-46DE-B316-F2FF1257C6B3}">
      <formula1>$D$18:$U$18</formula1>
    </dataValidation>
    <dataValidation type="list" allowBlank="1" showInputMessage="1" showErrorMessage="1" sqref="V19" xr:uid="{E05E6EFF-AB22-4490-BAF0-A44759D93E48}">
      <formula1>$D$19:$U$19</formula1>
    </dataValidation>
    <dataValidation type="list" allowBlank="1" showInputMessage="1" showErrorMessage="1" sqref="V20" xr:uid="{711C672D-42C1-4235-ADA0-D44647B679E3}">
      <formula1>$D$20:$U$20</formula1>
    </dataValidation>
    <dataValidation type="list" allowBlank="1" showInputMessage="1" showErrorMessage="1" sqref="V21" xr:uid="{31C931C5-A66F-43CF-9CC3-A96BA7F757F2}">
      <formula1>$D$21:$U$21</formula1>
    </dataValidation>
    <dataValidation type="list" allowBlank="1" showInputMessage="1" showErrorMessage="1" sqref="V22" xr:uid="{AA1940AF-5A91-45B7-A18F-331BF3693F26}">
      <formula1>$D$22:$U$22</formula1>
    </dataValidation>
    <dataValidation type="list" allowBlank="1" showInputMessage="1" showErrorMessage="1" sqref="V23" xr:uid="{74A3F94D-D9F7-483F-9B76-8A3E567FB800}">
      <formula1>$D$23:$U$23</formula1>
    </dataValidation>
    <dataValidation type="list" allowBlank="1" showInputMessage="1" showErrorMessage="1" sqref="V24" xr:uid="{6D99EF57-BFC4-4630-AC66-7BAF2B492215}">
      <formula1>$D$24:$U$24</formula1>
    </dataValidation>
    <dataValidation type="list" allowBlank="1" showInputMessage="1" showErrorMessage="1" sqref="V25" xr:uid="{557ECE17-F0C4-4FC0-B32A-AD8181F23385}">
      <formula1>$D$25:$U$25</formula1>
    </dataValidation>
    <dataValidation type="list" allowBlank="1" showInputMessage="1" showErrorMessage="1" sqref="V26" xr:uid="{D4F83620-7776-4D7D-A0AA-A33F5988A3D2}">
      <formula1>$D$26:$U$26</formula1>
    </dataValidation>
    <dataValidation type="list" allowBlank="1" showInputMessage="1" showErrorMessage="1" sqref="V27" xr:uid="{194D6C8E-8353-43D7-90E2-5448CB98C9A9}">
      <formula1>$D$27:$U$27</formula1>
    </dataValidation>
    <dataValidation type="list" allowBlank="1" showInputMessage="1" showErrorMessage="1" sqref="V28" xr:uid="{AEF0FF2A-493F-4586-9B2D-D6CCEE7E3A9A}">
      <formula1>$D$28:$U$28</formula1>
    </dataValidation>
    <dataValidation type="list" allowBlank="1" showInputMessage="1" showErrorMessage="1" sqref="V29" xr:uid="{6B98A28B-0615-4857-8C0A-35B8EADC088E}">
      <formula1>$D$29:$U$29</formula1>
    </dataValidation>
    <dataValidation type="list" allowBlank="1" showInputMessage="1" showErrorMessage="1" sqref="V30" xr:uid="{5908042E-8B1F-42EE-B4F9-1A34EFD731A9}">
      <formula1>$D$30:$U$30</formula1>
    </dataValidation>
    <dataValidation type="list" allowBlank="1" showInputMessage="1" showErrorMessage="1" sqref="V34" xr:uid="{1829BDC6-27E6-417C-BA38-CB841D1BB7C6}">
      <formula1>$D$34:$U$34</formula1>
    </dataValidation>
    <dataValidation type="list" allowBlank="1" showInputMessage="1" showErrorMessage="1" sqref="V35" xr:uid="{759CC36D-09E4-4B0E-BC6C-02705CB629AA}">
      <formula1>$D$35:$U$35</formula1>
    </dataValidation>
    <dataValidation type="list" allowBlank="1" showInputMessage="1" showErrorMessage="1" sqref="V36" xr:uid="{992325AD-D632-40C2-8F74-62A806D8F528}">
      <formula1>$D$36:$U$36</formula1>
    </dataValidation>
    <dataValidation type="list" allowBlank="1" showInputMessage="1" showErrorMessage="1" sqref="V37" xr:uid="{9F6586E6-E04D-4FDB-9D36-FA7F26F2D028}">
      <formula1>$D$37:$U$37</formula1>
    </dataValidation>
    <dataValidation type="list" allowBlank="1" showInputMessage="1" showErrorMessage="1" sqref="V38" xr:uid="{BCC39D1E-4DEB-484A-BAF1-9906AFB1A75A}">
      <formula1>$D$38:$U$38</formula1>
    </dataValidation>
    <dataValidation type="list" allowBlank="1" showInputMessage="1" showErrorMessage="1" sqref="V39" xr:uid="{DF5EE8AE-57CC-4501-B0FA-5454A171B754}">
      <formula1>$D$39:$U$39</formula1>
    </dataValidation>
    <dataValidation type="list" allowBlank="1" showInputMessage="1" showErrorMessage="1" sqref="V40" xr:uid="{95A02559-E186-4301-9089-BC2845172A0C}">
      <formula1>$D$40:$U$40</formula1>
    </dataValidation>
    <dataValidation type="list" allowBlank="1" showInputMessage="1" showErrorMessage="1" sqref="V42" xr:uid="{B4607294-7261-4CEF-A4D9-634B95E20852}">
      <formula1>$D$42:$U$42</formula1>
    </dataValidation>
    <dataValidation type="list" allowBlank="1" showInputMessage="1" showErrorMessage="1" sqref="V41" xr:uid="{2930A0D5-D343-4E25-BC24-DFCB5192F37D}">
      <formula1>$D$41:$U$41</formula1>
    </dataValidation>
    <dataValidation type="list" allowBlank="1" showInputMessage="1" showErrorMessage="1" sqref="V43" xr:uid="{34E70D3C-F9D7-473D-A31A-34A6E339E683}">
      <formula1>$D$43:$U$43</formula1>
    </dataValidation>
    <dataValidation type="list" allowBlank="1" showInputMessage="1" showErrorMessage="1" sqref="V44" xr:uid="{B2FFE50E-44B2-4BA4-BC1E-E5A46E2AA861}">
      <formula1>$D$44:$U$44</formula1>
    </dataValidation>
    <dataValidation type="list" allowBlank="1" showInputMessage="1" showErrorMessage="1" sqref="V45" xr:uid="{1C8F32C0-3689-4D0A-8FC9-8C5FFCC31573}">
      <formula1>$D$45:$U$45</formula1>
    </dataValidation>
    <dataValidation type="list" allowBlank="1" showInputMessage="1" showErrorMessage="1" sqref="V46" xr:uid="{AF8F2079-78B3-4361-A64E-38CBC4817A39}">
      <formula1>$D$46:$U$46</formula1>
    </dataValidation>
    <dataValidation type="list" allowBlank="1" showInputMessage="1" showErrorMessage="1" sqref="V47" xr:uid="{604F7B72-2A05-47C3-8287-F18D49192F6C}">
      <formula1>$D$47:$U$47</formula1>
    </dataValidation>
    <dataValidation type="list" allowBlank="1" showInputMessage="1" showErrorMessage="1" sqref="V48" xr:uid="{41F6C753-B7C9-4110-892E-FD2FC92CFDA7}">
      <formula1>$D$48:$U$48</formula1>
    </dataValidation>
    <dataValidation type="list" allowBlank="1" showInputMessage="1" showErrorMessage="1" sqref="V49" xr:uid="{BB31C150-3CC9-44D0-8D3E-194D30D5E910}">
      <formula1>$D$49:$U$49</formula1>
    </dataValidation>
    <dataValidation type="list" allowBlank="1" showInputMessage="1" showErrorMessage="1" sqref="V50" xr:uid="{753339E9-9E1D-46C1-BC0B-140100964731}">
      <formula1>$D$50:$U$50</formula1>
    </dataValidation>
    <dataValidation type="list" allowBlank="1" showInputMessage="1" showErrorMessage="1" sqref="V51" xr:uid="{B2077B10-2E93-4FAD-B99E-53FD033920B1}">
      <formula1>$D$51:$U$51</formula1>
    </dataValidation>
    <dataValidation type="list" allowBlank="1" showInputMessage="1" showErrorMessage="1" sqref="V57" xr:uid="{1B2F1043-E934-454B-AF3A-A5940B17EADE}">
      <formula1>$D$57:$U$57</formula1>
    </dataValidation>
    <dataValidation type="list" allowBlank="1" showInputMessage="1" showErrorMessage="1" sqref="V73" xr:uid="{DFBA7D0F-4D44-4C63-A5BC-52460078EAE5}">
      <formula1>$D$73:$U$73</formula1>
    </dataValidation>
    <dataValidation type="list" allowBlank="1" showInputMessage="1" showErrorMessage="1" sqref="V74" xr:uid="{62166C37-2ACB-45B2-93CB-F38DDDF6CCDE}">
      <formula1>$D$74:$U$74</formula1>
    </dataValidation>
    <dataValidation type="list" allowBlank="1" showInputMessage="1" showErrorMessage="1" sqref="V75" xr:uid="{7D95BD1A-485A-4F3B-9FAB-80345582ADA8}">
      <formula1>$D$75:$U$75</formula1>
    </dataValidation>
    <dataValidation type="list" allowBlank="1" showInputMessage="1" showErrorMessage="1" sqref="V76" xr:uid="{41FE6C69-D4E7-4FC7-9D25-AC79A834D756}">
      <formula1>$D$76:$U$76</formula1>
    </dataValidation>
    <dataValidation type="list" allowBlank="1" showInputMessage="1" showErrorMessage="1" sqref="V89" xr:uid="{91AB546C-A183-49AA-A666-DFF8AE7A99BF}">
      <formula1>$D$89:$U$89</formula1>
    </dataValidation>
    <dataValidation type="list" allowBlank="1" showInputMessage="1" showErrorMessage="1" sqref="V90" xr:uid="{B55BAC59-CA83-4AFB-9DD6-11625DBAAC0C}">
      <formula1>$D$90:$U$90</formula1>
    </dataValidation>
    <dataValidation type="list" allowBlank="1" showInputMessage="1" showErrorMessage="1" sqref="V91" xr:uid="{F3B151C4-38CB-47B1-9684-B13263D579D9}">
      <formula1>$D$91:$U$91</formula1>
    </dataValidation>
    <dataValidation type="list" allowBlank="1" showInputMessage="1" showErrorMessage="1" sqref="V92" xr:uid="{C27DBC2F-AB46-4B63-9E52-9866F2712DA5}">
      <formula1>$D$92:$U$92</formula1>
    </dataValidation>
    <dataValidation type="list" allowBlank="1" showInputMessage="1" showErrorMessage="1" sqref="V101" xr:uid="{5EAECDB8-3576-43C1-BF58-78F7FAEB1759}">
      <formula1>$D$101:$U$101</formula1>
    </dataValidation>
    <dataValidation type="list" allowBlank="1" showInputMessage="1" showErrorMessage="1" sqref="V102" xr:uid="{7B72893A-97DE-4CA6-9099-5FCB38380137}">
      <formula1>$D$102:$U$102</formula1>
    </dataValidation>
    <dataValidation type="list" allowBlank="1" showInputMessage="1" showErrorMessage="1" sqref="V123" xr:uid="{BD9F3CF1-AE6B-444A-BDDF-27659D73C0D9}">
      <formula1>$D$123:$U$123</formula1>
    </dataValidation>
    <dataValidation type="list" allowBlank="1" showInputMessage="1" showErrorMessage="1" sqref="V124" xr:uid="{63FC8B1D-D723-42F8-9805-D7921F9EA27B}">
      <formula1>$D$124:$U$124</formula1>
    </dataValidation>
    <dataValidation type="list" allowBlank="1" showInputMessage="1" showErrorMessage="1" sqref="V145" xr:uid="{6465B731-3AFF-4EDA-AB07-23BA71148491}">
      <formula1>$D$145:$U$145</formula1>
    </dataValidation>
    <dataValidation type="list" allowBlank="1" showInputMessage="1" showErrorMessage="1" sqref="V146" xr:uid="{4B300CEB-F56A-4351-B0F6-1610BD964BFB}">
      <formula1>$D$146:$U$146</formula1>
    </dataValidation>
    <dataValidation type="list" allowBlank="1" showInputMessage="1" showErrorMessage="1" sqref="V167" xr:uid="{01921517-5CE6-4511-969C-16780F05DF8E}">
      <formula1>$D$167:$U$167</formula1>
    </dataValidation>
    <dataValidation type="list" allowBlank="1" showInputMessage="1" showErrorMessage="1" sqref="V168" xr:uid="{D8FBB157-52AA-41AA-A330-4F55956940C6}">
      <formula1>$D$168:$U$168</formula1>
    </dataValidation>
    <dataValidation type="list" allowBlank="1" showInputMessage="1" showErrorMessage="1" sqref="V169" xr:uid="{8C08481D-85D0-46A0-AE44-AB23B5E4BC1E}">
      <formula1>$D$169:$U$169</formula1>
    </dataValidation>
    <dataValidation type="list" allowBlank="1" showInputMessage="1" showErrorMessage="1" sqref="V170" xr:uid="{F6EF57E2-C29E-4CDA-A526-790496D8B24A}">
      <formula1>$D$170:$U$170</formula1>
    </dataValidation>
    <dataValidation type="list" allowBlank="1" showInputMessage="1" showErrorMessage="1" sqref="W96" xr:uid="{D43ADEA8-913C-4F1C-9F09-9421A9497C5A}">
      <formula1>"NA, SMARTIO12_7"</formula1>
    </dataValidation>
    <dataValidation type="list" allowBlank="1" showInputMessage="1" showErrorMessage="1" sqref="W95" xr:uid="{8CC5FEED-3112-4133-9DDA-76339EA05D68}">
      <formula1>"NA, SMARTIO12_6"</formula1>
    </dataValidation>
    <dataValidation type="list" allowBlank="1" showInputMessage="1" showErrorMessage="1" sqref="W94" xr:uid="{7E6BC383-F4D6-413F-A552-4C0E56435EBA}">
      <formula1>"NA, SMARTIO12_5"</formula1>
    </dataValidation>
    <dataValidation type="list" allowBlank="1" showInputMessage="1" showErrorMessage="1" sqref="W93" xr:uid="{9AD1BFE2-D9B0-4370-A4AB-022EFD1D5FC4}">
      <formula1>"NA, SMARTIO12_4"</formula1>
    </dataValidation>
    <dataValidation type="list" allowBlank="1" showInputMessage="1" showErrorMessage="1" sqref="W92" xr:uid="{E94C7AA1-DDE9-480F-9E3E-218405E8CD03}">
      <formula1>"NA, SMARTIO12_3"</formula1>
    </dataValidation>
    <dataValidation type="list" allowBlank="1" showInputMessage="1" showErrorMessage="1" sqref="W91" xr:uid="{E343029A-C120-46EA-85A2-51C6508DD234}">
      <formula1>"NA, SMARTIO12_2"</formula1>
    </dataValidation>
    <dataValidation type="list" allowBlank="1" showInputMessage="1" showErrorMessage="1" sqref="W90" xr:uid="{0448EBF2-2791-4DBB-8B32-B51CDA58B69F}">
      <formula1>"NA, SMARTIO12_1"</formula1>
    </dataValidation>
    <dataValidation type="list" allowBlank="1" showInputMessage="1" showErrorMessage="1" sqref="W89" xr:uid="{909ABE9E-FF54-4DEC-ACE9-1C468F670042}">
      <formula1>"NA, SMARTIO12_0"</formula1>
    </dataValidation>
    <dataValidation type="list" allowBlank="1" showInputMessage="1" showErrorMessage="1" sqref="W106" xr:uid="{B0315B05-789D-4EA6-BC1B-B3E881C0E969}">
      <formula1>"NA, SMARTIO13_7"</formula1>
    </dataValidation>
    <dataValidation type="list" allowBlank="1" showInputMessage="1" showErrorMessage="1" sqref="W105" xr:uid="{923C94D2-4A4B-4A5F-B67F-668B9C7A5B1E}">
      <formula1>"NA, SMARTIO13_6"</formula1>
    </dataValidation>
    <dataValidation type="list" allowBlank="1" showInputMessage="1" showErrorMessage="1" sqref="W104" xr:uid="{10AB5699-52CD-4226-82B5-EE5C08D33B52}">
      <formula1>"NA, SMARTIO13_5"</formula1>
    </dataValidation>
    <dataValidation type="list" allowBlank="1" showInputMessage="1" showErrorMessage="1" sqref="W103" xr:uid="{FE0EF01E-C719-4252-9F6B-8DF69948C40C}">
      <formula1>"NA, SMARTIO13_4"</formula1>
    </dataValidation>
    <dataValidation type="list" allowBlank="1" showInputMessage="1" showErrorMessage="1" sqref="W102" xr:uid="{E03FAFF0-4DBC-409D-9E73-24DD92223A8B}">
      <formula1>"NA, SMARTIO13_3"</formula1>
    </dataValidation>
    <dataValidation type="list" allowBlank="1" showInputMessage="1" showErrorMessage="1" sqref="W101" xr:uid="{584706F4-EC26-41B5-8655-801271DA0FC0}">
      <formula1>"NA, SMARTIO13_2"</formula1>
    </dataValidation>
    <dataValidation type="list" allowBlank="1" showInputMessage="1" showErrorMessage="1" sqref="W100" xr:uid="{DC945B8C-6415-4EFB-8BC4-51ED7AD90307}">
      <formula1>"NA, SMARTIO13_1"</formula1>
    </dataValidation>
    <dataValidation type="list" allowBlank="1" showInputMessage="1" showErrorMessage="1" sqref="W99" xr:uid="{23797C2B-BF2E-40C4-B314-23C6A0602ED6}">
      <formula1>"NA, SMARTIO13_0"</formula1>
    </dataValidation>
    <dataValidation type="list" allowBlank="1" showInputMessage="1" showErrorMessage="1" sqref="W118" xr:uid="{576FEFB9-984C-48CC-99B4-0D99DE9C2280}">
      <formula1>"NA, SMARTIO15_3"</formula1>
    </dataValidation>
    <dataValidation type="list" allowBlank="1" showInputMessage="1" showErrorMessage="1" sqref="W117" xr:uid="{9306A336-7F55-4B52-B34A-06B28BB44551}">
      <formula1>"NA, SMARTIO15_2"</formula1>
    </dataValidation>
    <dataValidation type="list" allowBlank="1" showInputMessage="1" showErrorMessage="1" sqref="W116" xr:uid="{26E0E429-738C-4C20-B69D-08A46BE95CE8}">
      <formula1>"NA, SMARTIO15_1"</formula1>
    </dataValidation>
    <dataValidation type="list" allowBlank="1" showInputMessage="1" showErrorMessage="1" sqref="W115" xr:uid="{EE092420-F677-4649-A85B-27E443C798DC}">
      <formula1>"NA, SMARTIO15_0"</formula1>
    </dataValidation>
    <dataValidation type="list" allowBlank="1" showInputMessage="1" showErrorMessage="1" sqref="W114" xr:uid="{91B8D944-0285-46BE-902B-8F6D554C980C}">
      <formula1>"NA, SMARTIO14_7"</formula1>
    </dataValidation>
    <dataValidation type="list" allowBlank="1" showInputMessage="1" showErrorMessage="1" sqref="W113" xr:uid="{7619BFDF-716F-4155-AF29-E1E96B2AB88E}">
      <formula1>"NA, SMARTIO14_6"</formula1>
    </dataValidation>
    <dataValidation type="list" allowBlank="1" showInputMessage="1" showErrorMessage="1" sqref="W112" xr:uid="{2829731E-8BC5-416E-A12A-625B3E37A42F}">
      <formula1>"NA, SMARTIO14_5"</formula1>
    </dataValidation>
    <dataValidation type="list" allowBlank="1" showInputMessage="1" showErrorMessage="1" sqref="W111" xr:uid="{8DB295A2-F64B-4273-AB7A-E7C4624659A0}">
      <formula1>"NA, SMARTIO14_4"</formula1>
    </dataValidation>
    <dataValidation type="list" allowBlank="1" showInputMessage="1" showErrorMessage="1" sqref="W110" xr:uid="{31EA5832-BA37-4D3E-9318-75634BA8C49C}">
      <formula1>"NA, SMARTIO14_3"</formula1>
    </dataValidation>
    <dataValidation type="list" allowBlank="1" showInputMessage="1" showErrorMessage="1" sqref="W109" xr:uid="{28C83541-4D35-48D2-A586-D25C1B4280EB}">
      <formula1>"NA, SMARTIO14_2"</formula1>
    </dataValidation>
    <dataValidation type="list" allowBlank="1" showInputMessage="1" showErrorMessage="1" sqref="W108" xr:uid="{6EE7C24A-58B4-4635-8284-359948C7C3B5}">
      <formula1>"NA, SMARTIO14_1"</formula1>
    </dataValidation>
    <dataValidation type="list" allowBlank="1" showInputMessage="1" showErrorMessage="1" sqref="W107" xr:uid="{03FB6709-ED94-4799-BF1A-D79A5E1D2BA7}">
      <formula1>"NA, SMARTIO14_0"</formula1>
    </dataValidation>
    <dataValidation type="list" allowBlank="1" showInputMessage="1" showErrorMessage="1" sqref="W132" xr:uid="{D2611372-A40A-42DE-BDE0-583BD9A98B03}">
      <formula1>"NA, SMARTIO17_7"</formula1>
    </dataValidation>
    <dataValidation type="list" allowBlank="1" showInputMessage="1" showErrorMessage="1" sqref="W131" xr:uid="{A112776B-9FF2-4B35-AC98-1F8D51C865AF}">
      <formula1>"NA, SMARTIO17_6"</formula1>
    </dataValidation>
    <dataValidation type="list" allowBlank="1" showInputMessage="1" showErrorMessage="1" sqref="W130" xr:uid="{553C606B-B499-44B4-8980-B4B492235161}">
      <formula1>"NA, SMARTIO17_5"</formula1>
    </dataValidation>
    <dataValidation type="list" allowBlank="1" showInputMessage="1" showErrorMessage="1" sqref="W129" xr:uid="{F13019D1-E371-402A-A516-BFE13B87DEA0}">
      <formula1>"NA, SMARTIO17_4"</formula1>
    </dataValidation>
    <dataValidation type="list" allowBlank="1" showInputMessage="1" showErrorMessage="1" sqref="W128" xr:uid="{69C9269C-B1F6-4A3A-8964-9A7622D96EED}">
      <formula1>"NA, SMARTIO17_3"</formula1>
    </dataValidation>
    <dataValidation type="list" allowBlank="1" showInputMessage="1" showErrorMessage="1" sqref="W127" xr:uid="{390C945A-1CC7-4C58-9D74-A45C82DA6E8C}">
      <formula1>"NA, SMARTIO17_2"</formula1>
    </dataValidation>
    <dataValidation type="list" allowBlank="1" showInputMessage="1" showErrorMessage="1" sqref="W126" xr:uid="{F699C831-97B6-4BDA-B580-61EA46EBACC3}">
      <formula1>"NA, SMARTIO17_1"</formula1>
    </dataValidation>
    <dataValidation type="list" allowBlank="1" showInputMessage="1" showErrorMessage="1" sqref="W125" xr:uid="{2595E817-B8BA-47EE-BE2A-1C64868D7B39}">
      <formula1>"NA, SMARTIO17_0"</formula1>
    </dataValidation>
  </dataValidations>
  <pageMargins left="0.7" right="0.7" top="0.75" bottom="0.75" header="0.3" footer="0.3"/>
  <pageSetup paperSize="9" orientation="portrait" r:id="rId1"/>
  <ignoredErrors>
    <ignoredError sqref="X11:X185"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1C02-5103-429C-AED9-27262C3F13D7}">
  <dimension ref="A1:BQ132"/>
  <sheetViews>
    <sheetView zoomScale="95" zoomScaleNormal="95" workbookViewId="0">
      <selection activeCell="I5" sqref="I5"/>
    </sheetView>
  </sheetViews>
  <sheetFormatPr defaultColWidth="8.83203125" defaultRowHeight="10" x14ac:dyDescent="0.55000000000000004"/>
  <cols>
    <col min="1" max="1" width="8.83203125" style="35"/>
    <col min="2" max="2" width="14.1640625" style="35" bestFit="1" customWidth="1"/>
    <col min="3" max="3" width="12.08203125" style="35" bestFit="1" customWidth="1"/>
    <col min="4" max="66" width="6.1640625" style="35" customWidth="1"/>
    <col min="67" max="69" width="8.58203125" style="35" customWidth="1"/>
    <col min="70" max="291" width="8.83203125" style="35"/>
    <col min="292" max="292" width="14.33203125" style="35" customWidth="1"/>
    <col min="293" max="294" width="3.33203125" style="35" customWidth="1"/>
    <col min="295" max="319" width="2.4140625" style="35" customWidth="1"/>
    <col min="320" max="321" width="3.33203125" style="35" customWidth="1"/>
    <col min="322" max="322" width="14.33203125" style="35" customWidth="1"/>
    <col min="323" max="547" width="8.83203125" style="35"/>
    <col min="548" max="548" width="14.33203125" style="35" customWidth="1"/>
    <col min="549" max="550" width="3.33203125" style="35" customWidth="1"/>
    <col min="551" max="575" width="2.4140625" style="35" customWidth="1"/>
    <col min="576" max="577" width="3.33203125" style="35" customWidth="1"/>
    <col min="578" max="578" width="14.33203125" style="35" customWidth="1"/>
    <col min="579" max="803" width="8.83203125" style="35"/>
    <col min="804" max="804" width="14.33203125" style="35" customWidth="1"/>
    <col min="805" max="806" width="3.33203125" style="35" customWidth="1"/>
    <col min="807" max="831" width="2.4140625" style="35" customWidth="1"/>
    <col min="832" max="833" width="3.33203125" style="35" customWidth="1"/>
    <col min="834" max="834" width="14.33203125" style="35" customWidth="1"/>
    <col min="835" max="1059" width="8.83203125" style="35"/>
    <col min="1060" max="1060" width="14.33203125" style="35" customWidth="1"/>
    <col min="1061" max="1062" width="3.33203125" style="35" customWidth="1"/>
    <col min="1063" max="1087" width="2.4140625" style="35" customWidth="1"/>
    <col min="1088" max="1089" width="3.33203125" style="35" customWidth="1"/>
    <col min="1090" max="1090" width="14.33203125" style="35" customWidth="1"/>
    <col min="1091" max="1315" width="8.83203125" style="35"/>
    <col min="1316" max="1316" width="14.33203125" style="35" customWidth="1"/>
    <col min="1317" max="1318" width="3.33203125" style="35" customWidth="1"/>
    <col min="1319" max="1343" width="2.4140625" style="35" customWidth="1"/>
    <col min="1344" max="1345" width="3.33203125" style="35" customWidth="1"/>
    <col min="1346" max="1346" width="14.33203125" style="35" customWidth="1"/>
    <col min="1347" max="1571" width="8.83203125" style="35"/>
    <col min="1572" max="1572" width="14.33203125" style="35" customWidth="1"/>
    <col min="1573" max="1574" width="3.33203125" style="35" customWidth="1"/>
    <col min="1575" max="1599" width="2.4140625" style="35" customWidth="1"/>
    <col min="1600" max="1601" width="3.33203125" style="35" customWidth="1"/>
    <col min="1602" max="1602" width="14.33203125" style="35" customWidth="1"/>
    <col min="1603" max="1827" width="8.83203125" style="35"/>
    <col min="1828" max="1828" width="14.33203125" style="35" customWidth="1"/>
    <col min="1829" max="1830" width="3.33203125" style="35" customWidth="1"/>
    <col min="1831" max="1855" width="2.4140625" style="35" customWidth="1"/>
    <col min="1856" max="1857" width="3.33203125" style="35" customWidth="1"/>
    <col min="1858" max="1858" width="14.33203125" style="35" customWidth="1"/>
    <col min="1859" max="2083" width="8.83203125" style="35"/>
    <col min="2084" max="2084" width="14.33203125" style="35" customWidth="1"/>
    <col min="2085" max="2086" width="3.33203125" style="35" customWidth="1"/>
    <col min="2087" max="2111" width="2.4140625" style="35" customWidth="1"/>
    <col min="2112" max="2113" width="3.33203125" style="35" customWidth="1"/>
    <col min="2114" max="2114" width="14.33203125" style="35" customWidth="1"/>
    <col min="2115" max="2339" width="8.83203125" style="35"/>
    <col min="2340" max="2340" width="14.33203125" style="35" customWidth="1"/>
    <col min="2341" max="2342" width="3.33203125" style="35" customWidth="1"/>
    <col min="2343" max="2367" width="2.4140625" style="35" customWidth="1"/>
    <col min="2368" max="2369" width="3.33203125" style="35" customWidth="1"/>
    <col min="2370" max="2370" width="14.33203125" style="35" customWidth="1"/>
    <col min="2371" max="2595" width="8.83203125" style="35"/>
    <col min="2596" max="2596" width="14.33203125" style="35" customWidth="1"/>
    <col min="2597" max="2598" width="3.33203125" style="35" customWidth="1"/>
    <col min="2599" max="2623" width="2.4140625" style="35" customWidth="1"/>
    <col min="2624" max="2625" width="3.33203125" style="35" customWidth="1"/>
    <col min="2626" max="2626" width="14.33203125" style="35" customWidth="1"/>
    <col min="2627" max="2851" width="8.83203125" style="35"/>
    <col min="2852" max="2852" width="14.33203125" style="35" customWidth="1"/>
    <col min="2853" max="2854" width="3.33203125" style="35" customWidth="1"/>
    <col min="2855" max="2879" width="2.4140625" style="35" customWidth="1"/>
    <col min="2880" max="2881" width="3.33203125" style="35" customWidth="1"/>
    <col min="2882" max="2882" width="14.33203125" style="35" customWidth="1"/>
    <col min="2883" max="3107" width="8.83203125" style="35"/>
    <col min="3108" max="3108" width="14.33203125" style="35" customWidth="1"/>
    <col min="3109" max="3110" width="3.33203125" style="35" customWidth="1"/>
    <col min="3111" max="3135" width="2.4140625" style="35" customWidth="1"/>
    <col min="3136" max="3137" width="3.33203125" style="35" customWidth="1"/>
    <col min="3138" max="3138" width="14.33203125" style="35" customWidth="1"/>
    <col min="3139" max="3363" width="8.83203125" style="35"/>
    <col min="3364" max="3364" width="14.33203125" style="35" customWidth="1"/>
    <col min="3365" max="3366" width="3.33203125" style="35" customWidth="1"/>
    <col min="3367" max="3391" width="2.4140625" style="35" customWidth="1"/>
    <col min="3392" max="3393" width="3.33203125" style="35" customWidth="1"/>
    <col min="3394" max="3394" width="14.33203125" style="35" customWidth="1"/>
    <col min="3395" max="3619" width="8.83203125" style="35"/>
    <col min="3620" max="3620" width="14.33203125" style="35" customWidth="1"/>
    <col min="3621" max="3622" width="3.33203125" style="35" customWidth="1"/>
    <col min="3623" max="3647" width="2.4140625" style="35" customWidth="1"/>
    <col min="3648" max="3649" width="3.33203125" style="35" customWidth="1"/>
    <col min="3650" max="3650" width="14.33203125" style="35" customWidth="1"/>
    <col min="3651" max="3875" width="8.83203125" style="35"/>
    <col min="3876" max="3876" width="14.33203125" style="35" customWidth="1"/>
    <col min="3877" max="3878" width="3.33203125" style="35" customWidth="1"/>
    <col min="3879" max="3903" width="2.4140625" style="35" customWidth="1"/>
    <col min="3904" max="3905" width="3.33203125" style="35" customWidth="1"/>
    <col min="3906" max="3906" width="14.33203125" style="35" customWidth="1"/>
    <col min="3907" max="4131" width="8.83203125" style="35"/>
    <col min="4132" max="4132" width="14.33203125" style="35" customWidth="1"/>
    <col min="4133" max="4134" width="3.33203125" style="35" customWidth="1"/>
    <col min="4135" max="4159" width="2.4140625" style="35" customWidth="1"/>
    <col min="4160" max="4161" width="3.33203125" style="35" customWidth="1"/>
    <col min="4162" max="4162" width="14.33203125" style="35" customWidth="1"/>
    <col min="4163" max="4387" width="8.83203125" style="35"/>
    <col min="4388" max="4388" width="14.33203125" style="35" customWidth="1"/>
    <col min="4389" max="4390" width="3.33203125" style="35" customWidth="1"/>
    <col min="4391" max="4415" width="2.4140625" style="35" customWidth="1"/>
    <col min="4416" max="4417" width="3.33203125" style="35" customWidth="1"/>
    <col min="4418" max="4418" width="14.33203125" style="35" customWidth="1"/>
    <col min="4419" max="4643" width="8.83203125" style="35"/>
    <col min="4644" max="4644" width="14.33203125" style="35" customWidth="1"/>
    <col min="4645" max="4646" width="3.33203125" style="35" customWidth="1"/>
    <col min="4647" max="4671" width="2.4140625" style="35" customWidth="1"/>
    <col min="4672" max="4673" width="3.33203125" style="35" customWidth="1"/>
    <col min="4674" max="4674" width="14.33203125" style="35" customWidth="1"/>
    <col min="4675" max="4899" width="8.83203125" style="35"/>
    <col min="4900" max="4900" width="14.33203125" style="35" customWidth="1"/>
    <col min="4901" max="4902" width="3.33203125" style="35" customWidth="1"/>
    <col min="4903" max="4927" width="2.4140625" style="35" customWidth="1"/>
    <col min="4928" max="4929" width="3.33203125" style="35" customWidth="1"/>
    <col min="4930" max="4930" width="14.33203125" style="35" customWidth="1"/>
    <col min="4931" max="5155" width="8.83203125" style="35"/>
    <col min="5156" max="5156" width="14.33203125" style="35" customWidth="1"/>
    <col min="5157" max="5158" width="3.33203125" style="35" customWidth="1"/>
    <col min="5159" max="5183" width="2.4140625" style="35" customWidth="1"/>
    <col min="5184" max="5185" width="3.33203125" style="35" customWidth="1"/>
    <col min="5186" max="5186" width="14.33203125" style="35" customWidth="1"/>
    <col min="5187" max="5411" width="8.83203125" style="35"/>
    <col min="5412" max="5412" width="14.33203125" style="35" customWidth="1"/>
    <col min="5413" max="5414" width="3.33203125" style="35" customWidth="1"/>
    <col min="5415" max="5439" width="2.4140625" style="35" customWidth="1"/>
    <col min="5440" max="5441" width="3.33203125" style="35" customWidth="1"/>
    <col min="5442" max="5442" width="14.33203125" style="35" customWidth="1"/>
    <col min="5443" max="5667" width="8.83203125" style="35"/>
    <col min="5668" max="5668" width="14.33203125" style="35" customWidth="1"/>
    <col min="5669" max="5670" width="3.33203125" style="35" customWidth="1"/>
    <col min="5671" max="5695" width="2.4140625" style="35" customWidth="1"/>
    <col min="5696" max="5697" width="3.33203125" style="35" customWidth="1"/>
    <col min="5698" max="5698" width="14.33203125" style="35" customWidth="1"/>
    <col min="5699" max="5923" width="8.83203125" style="35"/>
    <col min="5924" max="5924" width="14.33203125" style="35" customWidth="1"/>
    <col min="5925" max="5926" width="3.33203125" style="35" customWidth="1"/>
    <col min="5927" max="5951" width="2.4140625" style="35" customWidth="1"/>
    <col min="5952" max="5953" width="3.33203125" style="35" customWidth="1"/>
    <col min="5954" max="5954" width="14.33203125" style="35" customWidth="1"/>
    <col min="5955" max="6179" width="8.83203125" style="35"/>
    <col min="6180" max="6180" width="14.33203125" style="35" customWidth="1"/>
    <col min="6181" max="6182" width="3.33203125" style="35" customWidth="1"/>
    <col min="6183" max="6207" width="2.4140625" style="35" customWidth="1"/>
    <col min="6208" max="6209" width="3.33203125" style="35" customWidth="1"/>
    <col min="6210" max="6210" width="14.33203125" style="35" customWidth="1"/>
    <col min="6211" max="6435" width="8.83203125" style="35"/>
    <col min="6436" max="6436" width="14.33203125" style="35" customWidth="1"/>
    <col min="6437" max="6438" width="3.33203125" style="35" customWidth="1"/>
    <col min="6439" max="6463" width="2.4140625" style="35" customWidth="1"/>
    <col min="6464" max="6465" width="3.33203125" style="35" customWidth="1"/>
    <col min="6466" max="6466" width="14.33203125" style="35" customWidth="1"/>
    <col min="6467" max="6691" width="8.83203125" style="35"/>
    <col min="6692" max="6692" width="14.33203125" style="35" customWidth="1"/>
    <col min="6693" max="6694" width="3.33203125" style="35" customWidth="1"/>
    <col min="6695" max="6719" width="2.4140625" style="35" customWidth="1"/>
    <col min="6720" max="6721" width="3.33203125" style="35" customWidth="1"/>
    <col min="6722" max="6722" width="14.33203125" style="35" customWidth="1"/>
    <col min="6723" max="6947" width="8.83203125" style="35"/>
    <col min="6948" max="6948" width="14.33203125" style="35" customWidth="1"/>
    <col min="6949" max="6950" width="3.33203125" style="35" customWidth="1"/>
    <col min="6951" max="6975" width="2.4140625" style="35" customWidth="1"/>
    <col min="6976" max="6977" width="3.33203125" style="35" customWidth="1"/>
    <col min="6978" max="6978" width="14.33203125" style="35" customWidth="1"/>
    <col min="6979" max="7203" width="8.83203125" style="35"/>
    <col min="7204" max="7204" width="14.33203125" style="35" customWidth="1"/>
    <col min="7205" max="7206" width="3.33203125" style="35" customWidth="1"/>
    <col min="7207" max="7231" width="2.4140625" style="35" customWidth="1"/>
    <col min="7232" max="7233" width="3.33203125" style="35" customWidth="1"/>
    <col min="7234" max="7234" width="14.33203125" style="35" customWidth="1"/>
    <col min="7235" max="7459" width="8.83203125" style="35"/>
    <col min="7460" max="7460" width="14.33203125" style="35" customWidth="1"/>
    <col min="7461" max="7462" width="3.33203125" style="35" customWidth="1"/>
    <col min="7463" max="7487" width="2.4140625" style="35" customWidth="1"/>
    <col min="7488" max="7489" width="3.33203125" style="35" customWidth="1"/>
    <col min="7490" max="7490" width="14.33203125" style="35" customWidth="1"/>
    <col min="7491" max="7715" width="8.83203125" style="35"/>
    <col min="7716" max="7716" width="14.33203125" style="35" customWidth="1"/>
    <col min="7717" max="7718" width="3.33203125" style="35" customWidth="1"/>
    <col min="7719" max="7743" width="2.4140625" style="35" customWidth="1"/>
    <col min="7744" max="7745" width="3.33203125" style="35" customWidth="1"/>
    <col min="7746" max="7746" width="14.33203125" style="35" customWidth="1"/>
    <col min="7747" max="7971" width="8.83203125" style="35"/>
    <col min="7972" max="7972" width="14.33203125" style="35" customWidth="1"/>
    <col min="7973" max="7974" width="3.33203125" style="35" customWidth="1"/>
    <col min="7975" max="7999" width="2.4140625" style="35" customWidth="1"/>
    <col min="8000" max="8001" width="3.33203125" style="35" customWidth="1"/>
    <col min="8002" max="8002" width="14.33203125" style="35" customWidth="1"/>
    <col min="8003" max="8227" width="8.83203125" style="35"/>
    <col min="8228" max="8228" width="14.33203125" style="35" customWidth="1"/>
    <col min="8229" max="8230" width="3.33203125" style="35" customWidth="1"/>
    <col min="8231" max="8255" width="2.4140625" style="35" customWidth="1"/>
    <col min="8256" max="8257" width="3.33203125" style="35" customWidth="1"/>
    <col min="8258" max="8258" width="14.33203125" style="35" customWidth="1"/>
    <col min="8259" max="8483" width="8.83203125" style="35"/>
    <col min="8484" max="8484" width="14.33203125" style="35" customWidth="1"/>
    <col min="8485" max="8486" width="3.33203125" style="35" customWidth="1"/>
    <col min="8487" max="8511" width="2.4140625" style="35" customWidth="1"/>
    <col min="8512" max="8513" width="3.33203125" style="35" customWidth="1"/>
    <col min="8514" max="8514" width="14.33203125" style="35" customWidth="1"/>
    <col min="8515" max="8739" width="8.83203125" style="35"/>
    <col min="8740" max="8740" width="14.33203125" style="35" customWidth="1"/>
    <col min="8741" max="8742" width="3.33203125" style="35" customWidth="1"/>
    <col min="8743" max="8767" width="2.4140625" style="35" customWidth="1"/>
    <col min="8768" max="8769" width="3.33203125" style="35" customWidth="1"/>
    <col min="8770" max="8770" width="14.33203125" style="35" customWidth="1"/>
    <col min="8771" max="8995" width="8.83203125" style="35"/>
    <col min="8996" max="8996" width="14.33203125" style="35" customWidth="1"/>
    <col min="8997" max="8998" width="3.33203125" style="35" customWidth="1"/>
    <col min="8999" max="9023" width="2.4140625" style="35" customWidth="1"/>
    <col min="9024" max="9025" width="3.33203125" style="35" customWidth="1"/>
    <col min="9026" max="9026" width="14.33203125" style="35" customWidth="1"/>
    <col min="9027" max="9251" width="8.83203125" style="35"/>
    <col min="9252" max="9252" width="14.33203125" style="35" customWidth="1"/>
    <col min="9253" max="9254" width="3.33203125" style="35" customWidth="1"/>
    <col min="9255" max="9279" width="2.4140625" style="35" customWidth="1"/>
    <col min="9280" max="9281" width="3.33203125" style="35" customWidth="1"/>
    <col min="9282" max="9282" width="14.33203125" style="35" customWidth="1"/>
    <col min="9283" max="9507" width="8.83203125" style="35"/>
    <col min="9508" max="9508" width="14.33203125" style="35" customWidth="1"/>
    <col min="9509" max="9510" width="3.33203125" style="35" customWidth="1"/>
    <col min="9511" max="9535" width="2.4140625" style="35" customWidth="1"/>
    <col min="9536" max="9537" width="3.33203125" style="35" customWidth="1"/>
    <col min="9538" max="9538" width="14.33203125" style="35" customWidth="1"/>
    <col min="9539" max="9763" width="8.83203125" style="35"/>
    <col min="9764" max="9764" width="14.33203125" style="35" customWidth="1"/>
    <col min="9765" max="9766" width="3.33203125" style="35" customWidth="1"/>
    <col min="9767" max="9791" width="2.4140625" style="35" customWidth="1"/>
    <col min="9792" max="9793" width="3.33203125" style="35" customWidth="1"/>
    <col min="9794" max="9794" width="14.33203125" style="35" customWidth="1"/>
    <col min="9795" max="10019" width="8.83203125" style="35"/>
    <col min="10020" max="10020" width="14.33203125" style="35" customWidth="1"/>
    <col min="10021" max="10022" width="3.33203125" style="35" customWidth="1"/>
    <col min="10023" max="10047" width="2.4140625" style="35" customWidth="1"/>
    <col min="10048" max="10049" width="3.33203125" style="35" customWidth="1"/>
    <col min="10050" max="10050" width="14.33203125" style="35" customWidth="1"/>
    <col min="10051" max="10275" width="8.83203125" style="35"/>
    <col min="10276" max="10276" width="14.33203125" style="35" customWidth="1"/>
    <col min="10277" max="10278" width="3.33203125" style="35" customWidth="1"/>
    <col min="10279" max="10303" width="2.4140625" style="35" customWidth="1"/>
    <col min="10304" max="10305" width="3.33203125" style="35" customWidth="1"/>
    <col min="10306" max="10306" width="14.33203125" style="35" customWidth="1"/>
    <col min="10307" max="10531" width="8.83203125" style="35"/>
    <col min="10532" max="10532" width="14.33203125" style="35" customWidth="1"/>
    <col min="10533" max="10534" width="3.33203125" style="35" customWidth="1"/>
    <col min="10535" max="10559" width="2.4140625" style="35" customWidth="1"/>
    <col min="10560" max="10561" width="3.33203125" style="35" customWidth="1"/>
    <col min="10562" max="10562" width="14.33203125" style="35" customWidth="1"/>
    <col min="10563" max="10787" width="8.83203125" style="35"/>
    <col min="10788" max="10788" width="14.33203125" style="35" customWidth="1"/>
    <col min="10789" max="10790" width="3.33203125" style="35" customWidth="1"/>
    <col min="10791" max="10815" width="2.4140625" style="35" customWidth="1"/>
    <col min="10816" max="10817" width="3.33203125" style="35" customWidth="1"/>
    <col min="10818" max="10818" width="14.33203125" style="35" customWidth="1"/>
    <col min="10819" max="11043" width="8.83203125" style="35"/>
    <col min="11044" max="11044" width="14.33203125" style="35" customWidth="1"/>
    <col min="11045" max="11046" width="3.33203125" style="35" customWidth="1"/>
    <col min="11047" max="11071" width="2.4140625" style="35" customWidth="1"/>
    <col min="11072" max="11073" width="3.33203125" style="35" customWidth="1"/>
    <col min="11074" max="11074" width="14.33203125" style="35" customWidth="1"/>
    <col min="11075" max="11299" width="8.83203125" style="35"/>
    <col min="11300" max="11300" width="14.33203125" style="35" customWidth="1"/>
    <col min="11301" max="11302" width="3.33203125" style="35" customWidth="1"/>
    <col min="11303" max="11327" width="2.4140625" style="35" customWidth="1"/>
    <col min="11328" max="11329" width="3.33203125" style="35" customWidth="1"/>
    <col min="11330" max="11330" width="14.33203125" style="35" customWidth="1"/>
    <col min="11331" max="11555" width="8.83203125" style="35"/>
    <col min="11556" max="11556" width="14.33203125" style="35" customWidth="1"/>
    <col min="11557" max="11558" width="3.33203125" style="35" customWidth="1"/>
    <col min="11559" max="11583" width="2.4140625" style="35" customWidth="1"/>
    <col min="11584" max="11585" width="3.33203125" style="35" customWidth="1"/>
    <col min="11586" max="11586" width="14.33203125" style="35" customWidth="1"/>
    <col min="11587" max="11811" width="8.83203125" style="35"/>
    <col min="11812" max="11812" width="14.33203125" style="35" customWidth="1"/>
    <col min="11813" max="11814" width="3.33203125" style="35" customWidth="1"/>
    <col min="11815" max="11839" width="2.4140625" style="35" customWidth="1"/>
    <col min="11840" max="11841" width="3.33203125" style="35" customWidth="1"/>
    <col min="11842" max="11842" width="14.33203125" style="35" customWidth="1"/>
    <col min="11843" max="12067" width="8.83203125" style="35"/>
    <col min="12068" max="12068" width="14.33203125" style="35" customWidth="1"/>
    <col min="12069" max="12070" width="3.33203125" style="35" customWidth="1"/>
    <col min="12071" max="12095" width="2.4140625" style="35" customWidth="1"/>
    <col min="12096" max="12097" width="3.33203125" style="35" customWidth="1"/>
    <col min="12098" max="12098" width="14.33203125" style="35" customWidth="1"/>
    <col min="12099" max="12323" width="8.83203125" style="35"/>
    <col min="12324" max="12324" width="14.33203125" style="35" customWidth="1"/>
    <col min="12325" max="12326" width="3.33203125" style="35" customWidth="1"/>
    <col min="12327" max="12351" width="2.4140625" style="35" customWidth="1"/>
    <col min="12352" max="12353" width="3.33203125" style="35" customWidth="1"/>
    <col min="12354" max="12354" width="14.33203125" style="35" customWidth="1"/>
    <col min="12355" max="12579" width="8.83203125" style="35"/>
    <col min="12580" max="12580" width="14.33203125" style="35" customWidth="1"/>
    <col min="12581" max="12582" width="3.33203125" style="35" customWidth="1"/>
    <col min="12583" max="12607" width="2.4140625" style="35" customWidth="1"/>
    <col min="12608" max="12609" width="3.33203125" style="35" customWidth="1"/>
    <col min="12610" max="12610" width="14.33203125" style="35" customWidth="1"/>
    <col min="12611" max="12835" width="8.83203125" style="35"/>
    <col min="12836" max="12836" width="14.33203125" style="35" customWidth="1"/>
    <col min="12837" max="12838" width="3.33203125" style="35" customWidth="1"/>
    <col min="12839" max="12863" width="2.4140625" style="35" customWidth="1"/>
    <col min="12864" max="12865" width="3.33203125" style="35" customWidth="1"/>
    <col min="12866" max="12866" width="14.33203125" style="35" customWidth="1"/>
    <col min="12867" max="13091" width="8.83203125" style="35"/>
    <col min="13092" max="13092" width="14.33203125" style="35" customWidth="1"/>
    <col min="13093" max="13094" width="3.33203125" style="35" customWidth="1"/>
    <col min="13095" max="13119" width="2.4140625" style="35" customWidth="1"/>
    <col min="13120" max="13121" width="3.33203125" style="35" customWidth="1"/>
    <col min="13122" max="13122" width="14.33203125" style="35" customWidth="1"/>
    <col min="13123" max="13347" width="8.83203125" style="35"/>
    <col min="13348" max="13348" width="14.33203125" style="35" customWidth="1"/>
    <col min="13349" max="13350" width="3.33203125" style="35" customWidth="1"/>
    <col min="13351" max="13375" width="2.4140625" style="35" customWidth="1"/>
    <col min="13376" max="13377" width="3.33203125" style="35" customWidth="1"/>
    <col min="13378" max="13378" width="14.33203125" style="35" customWidth="1"/>
    <col min="13379" max="13603" width="8.83203125" style="35"/>
    <col min="13604" max="13604" width="14.33203125" style="35" customWidth="1"/>
    <col min="13605" max="13606" width="3.33203125" style="35" customWidth="1"/>
    <col min="13607" max="13631" width="2.4140625" style="35" customWidth="1"/>
    <col min="13632" max="13633" width="3.33203125" style="35" customWidth="1"/>
    <col min="13634" max="13634" width="14.33203125" style="35" customWidth="1"/>
    <col min="13635" max="13859" width="8.83203125" style="35"/>
    <col min="13860" max="13860" width="14.33203125" style="35" customWidth="1"/>
    <col min="13861" max="13862" width="3.33203125" style="35" customWidth="1"/>
    <col min="13863" max="13887" width="2.4140625" style="35" customWidth="1"/>
    <col min="13888" max="13889" width="3.33203125" style="35" customWidth="1"/>
    <col min="13890" max="13890" width="14.33203125" style="35" customWidth="1"/>
    <col min="13891" max="14115" width="8.83203125" style="35"/>
    <col min="14116" max="14116" width="14.33203125" style="35" customWidth="1"/>
    <col min="14117" max="14118" width="3.33203125" style="35" customWidth="1"/>
    <col min="14119" max="14143" width="2.4140625" style="35" customWidth="1"/>
    <col min="14144" max="14145" width="3.33203125" style="35" customWidth="1"/>
    <col min="14146" max="14146" width="14.33203125" style="35" customWidth="1"/>
    <col min="14147" max="14371" width="8.83203125" style="35"/>
    <col min="14372" max="14372" width="14.33203125" style="35" customWidth="1"/>
    <col min="14373" max="14374" width="3.33203125" style="35" customWidth="1"/>
    <col min="14375" max="14399" width="2.4140625" style="35" customWidth="1"/>
    <col min="14400" max="14401" width="3.33203125" style="35" customWidth="1"/>
    <col min="14402" max="14402" width="14.33203125" style="35" customWidth="1"/>
    <col min="14403" max="14627" width="8.83203125" style="35"/>
    <col min="14628" max="14628" width="14.33203125" style="35" customWidth="1"/>
    <col min="14629" max="14630" width="3.33203125" style="35" customWidth="1"/>
    <col min="14631" max="14655" width="2.4140625" style="35" customWidth="1"/>
    <col min="14656" max="14657" width="3.33203125" style="35" customWidth="1"/>
    <col min="14658" max="14658" width="14.33203125" style="35" customWidth="1"/>
    <col min="14659" max="14883" width="8.83203125" style="35"/>
    <col min="14884" max="14884" width="14.33203125" style="35" customWidth="1"/>
    <col min="14885" max="14886" width="3.33203125" style="35" customWidth="1"/>
    <col min="14887" max="14911" width="2.4140625" style="35" customWidth="1"/>
    <col min="14912" max="14913" width="3.33203125" style="35" customWidth="1"/>
    <col min="14914" max="14914" width="14.33203125" style="35" customWidth="1"/>
    <col min="14915" max="15139" width="8.83203125" style="35"/>
    <col min="15140" max="15140" width="14.33203125" style="35" customWidth="1"/>
    <col min="15141" max="15142" width="3.33203125" style="35" customWidth="1"/>
    <col min="15143" max="15167" width="2.4140625" style="35" customWidth="1"/>
    <col min="15168" max="15169" width="3.33203125" style="35" customWidth="1"/>
    <col min="15170" max="15170" width="14.33203125" style="35" customWidth="1"/>
    <col min="15171" max="15395" width="8.83203125" style="35"/>
    <col min="15396" max="15396" width="14.33203125" style="35" customWidth="1"/>
    <col min="15397" max="15398" width="3.33203125" style="35" customWidth="1"/>
    <col min="15399" max="15423" width="2.4140625" style="35" customWidth="1"/>
    <col min="15424" max="15425" width="3.33203125" style="35" customWidth="1"/>
    <col min="15426" max="15426" width="14.33203125" style="35" customWidth="1"/>
    <col min="15427" max="15651" width="8.83203125" style="35"/>
    <col min="15652" max="15652" width="14.33203125" style="35" customWidth="1"/>
    <col min="15653" max="15654" width="3.33203125" style="35" customWidth="1"/>
    <col min="15655" max="15679" width="2.4140625" style="35" customWidth="1"/>
    <col min="15680" max="15681" width="3.33203125" style="35" customWidth="1"/>
    <col min="15682" max="15682" width="14.33203125" style="35" customWidth="1"/>
    <col min="15683" max="15907" width="8.83203125" style="35"/>
    <col min="15908" max="15908" width="14.33203125" style="35" customWidth="1"/>
    <col min="15909" max="15910" width="3.33203125" style="35" customWidth="1"/>
    <col min="15911" max="15935" width="2.4140625" style="35" customWidth="1"/>
    <col min="15936" max="15937" width="3.33203125" style="35" customWidth="1"/>
    <col min="15938" max="15938" width="14.33203125" style="35" customWidth="1"/>
    <col min="15939" max="16163" width="8.83203125" style="35"/>
    <col min="16164" max="16164" width="14.33203125" style="35" customWidth="1"/>
    <col min="16165" max="16166" width="3.33203125" style="35" customWidth="1"/>
    <col min="16167" max="16191" width="2.4140625" style="35" customWidth="1"/>
    <col min="16192" max="16193" width="3.33203125" style="35" customWidth="1"/>
    <col min="16194" max="16194" width="14.33203125" style="35" customWidth="1"/>
    <col min="16195" max="16384" width="8.83203125" style="35"/>
  </cols>
  <sheetData>
    <row r="1" spans="1:69" ht="25" customHeight="1" x14ac:dyDescent="0.55000000000000004">
      <c r="A1" s="34" t="s">
        <v>561</v>
      </c>
      <c r="BO1" s="23"/>
      <c r="BP1" s="23"/>
      <c r="BQ1" s="23"/>
    </row>
    <row r="2" spans="1:69" ht="25" customHeight="1" x14ac:dyDescent="0.55000000000000004">
      <c r="A2" s="34"/>
      <c r="BO2" s="23"/>
      <c r="BP2" s="23"/>
      <c r="BQ2" s="23"/>
    </row>
    <row r="3" spans="1:69" ht="25" customHeight="1" x14ac:dyDescent="0.55000000000000004">
      <c r="A3" s="34"/>
      <c r="BO3" s="23"/>
      <c r="BP3" s="23"/>
      <c r="BQ3" s="23"/>
    </row>
    <row r="4" spans="1:69" ht="25" customHeight="1" x14ac:dyDescent="0.55000000000000004">
      <c r="A4" s="34"/>
      <c r="BO4" s="23"/>
      <c r="BP4" s="23"/>
      <c r="BQ4" s="23"/>
    </row>
    <row r="5" spans="1:69" ht="25" customHeight="1" x14ac:dyDescent="0.55000000000000004">
      <c r="A5" s="34"/>
      <c r="BN5" s="36"/>
      <c r="BO5" s="23"/>
      <c r="BP5" s="23"/>
      <c r="BQ5" s="24" t="s">
        <v>1185</v>
      </c>
    </row>
    <row r="7" spans="1:69" x14ac:dyDescent="0.55000000000000004">
      <c r="B7" s="128" t="s">
        <v>375</v>
      </c>
      <c r="C7" s="129"/>
      <c r="D7" s="37" t="s">
        <v>400</v>
      </c>
      <c r="E7" s="37" t="s">
        <v>399</v>
      </c>
      <c r="F7" s="37" t="s">
        <v>401</v>
      </c>
      <c r="G7" s="37" t="s">
        <v>1227</v>
      </c>
    </row>
    <row r="8" spans="1:69" x14ac:dyDescent="0.55000000000000004">
      <c r="B8" s="123" t="s">
        <v>398</v>
      </c>
      <c r="C8" s="38" t="s">
        <v>386</v>
      </c>
      <c r="D8" s="38">
        <f>COUNTIF('PF176'!V10:V185,"CAN0_0_RX")</f>
        <v>0</v>
      </c>
      <c r="E8" s="38">
        <f>COUNTIF('PF176'!V10:V185,"CAN0_1_RX")</f>
        <v>0</v>
      </c>
      <c r="F8" s="38">
        <f>COUNTIF('PF176'!V10:V185,"CAN0_2_RX")</f>
        <v>0</v>
      </c>
      <c r="G8" s="38">
        <f>COUNTIF('PF176'!V10:V185,"CAN0_3_RX")</f>
        <v>0</v>
      </c>
    </row>
    <row r="9" spans="1:69" x14ac:dyDescent="0.55000000000000004">
      <c r="B9" s="130"/>
      <c r="C9" s="38" t="s">
        <v>385</v>
      </c>
      <c r="D9" s="38">
        <f>COUNTIF('PF176'!V10:V185,"CAN0_0_TX")</f>
        <v>0</v>
      </c>
      <c r="E9" s="38">
        <f>COUNTIF('PF176'!V10:V185,"CAN0_1_TX")</f>
        <v>0</v>
      </c>
      <c r="F9" s="38">
        <f>COUNTIF('PF176'!V10:V185,"CAN0_2_TX")</f>
        <v>0</v>
      </c>
      <c r="G9" s="38">
        <f>COUNTIF('PF176'!V10:V185,"CAN0_3_TX")</f>
        <v>0</v>
      </c>
    </row>
    <row r="11" spans="1:69" x14ac:dyDescent="0.55000000000000004">
      <c r="B11" s="128" t="s">
        <v>371</v>
      </c>
      <c r="C11" s="129"/>
      <c r="D11" s="37" t="s">
        <v>402</v>
      </c>
      <c r="E11" s="37" t="s">
        <v>404</v>
      </c>
      <c r="F11" s="37" t="s">
        <v>403</v>
      </c>
      <c r="G11" s="37" t="s">
        <v>1228</v>
      </c>
    </row>
    <row r="12" spans="1:69" x14ac:dyDescent="0.55000000000000004">
      <c r="B12" s="135" t="s">
        <v>398</v>
      </c>
      <c r="C12" s="38" t="s">
        <v>386</v>
      </c>
      <c r="D12" s="38">
        <f>COUNTIF('PF176'!V10:V185,"CAN1_0_RX")</f>
        <v>0</v>
      </c>
      <c r="E12" s="38">
        <f>COUNTIF('PF176'!V10:V185,"CAN1_1_RX")</f>
        <v>0</v>
      </c>
      <c r="F12" s="38">
        <f>COUNTIF('PF176'!V10:V185,"CAN1_2_RX")</f>
        <v>0</v>
      </c>
      <c r="G12" s="38">
        <f>COUNTIF('PF176'!V10:V185,"CAN1_3_RX")</f>
        <v>0</v>
      </c>
    </row>
    <row r="13" spans="1:69" x14ac:dyDescent="0.55000000000000004">
      <c r="B13" s="135"/>
      <c r="C13" s="38" t="s">
        <v>385</v>
      </c>
      <c r="D13" s="38">
        <f>COUNTIF('PF176'!V10:V185,"CAN1_0_TX")</f>
        <v>0</v>
      </c>
      <c r="E13" s="38">
        <f>COUNTIF('PF176'!V10:V185,"CAN1_1_TX")</f>
        <v>0</v>
      </c>
      <c r="F13" s="38">
        <f>COUNTIF('PF176'!V10:V185,"CAN1_2_TX")</f>
        <v>0</v>
      </c>
      <c r="G13" s="38">
        <f>COUNTIF('PF176'!V10:V185,"CAN1_3_TX")</f>
        <v>0</v>
      </c>
    </row>
    <row r="14" spans="1:69" x14ac:dyDescent="0.55000000000000004">
      <c r="B14" s="39"/>
      <c r="C14" s="40"/>
      <c r="D14" s="40"/>
      <c r="E14" s="40"/>
      <c r="F14" s="40"/>
    </row>
    <row r="16" spans="1:69" x14ac:dyDescent="0.55000000000000004">
      <c r="B16" s="128" t="s">
        <v>374</v>
      </c>
      <c r="C16" s="129"/>
      <c r="D16" s="37" t="s">
        <v>387</v>
      </c>
      <c r="E16" s="37" t="s">
        <v>388</v>
      </c>
      <c r="F16" s="37" t="s">
        <v>389</v>
      </c>
      <c r="G16" s="37" t="s">
        <v>390</v>
      </c>
      <c r="H16" s="37" t="s">
        <v>391</v>
      </c>
      <c r="I16" s="37" t="s">
        <v>392</v>
      </c>
      <c r="J16" s="37" t="s">
        <v>393</v>
      </c>
      <c r="K16" s="37" t="s">
        <v>394</v>
      </c>
      <c r="L16" s="37" t="s">
        <v>1229</v>
      </c>
      <c r="M16" s="37" t="s">
        <v>1230</v>
      </c>
      <c r="N16" s="37" t="s">
        <v>1231</v>
      </c>
      <c r="O16" s="37" t="s">
        <v>1232</v>
      </c>
    </row>
    <row r="17" spans="2:59" x14ac:dyDescent="0.55000000000000004">
      <c r="B17" s="123" t="s">
        <v>398</v>
      </c>
      <c r="C17" s="38" t="s">
        <v>386</v>
      </c>
      <c r="D17" s="38">
        <f>COUNTIF('PF176'!V10:V153,"LIN0_RX")</f>
        <v>0</v>
      </c>
      <c r="E17" s="38">
        <f>COUNTIF('PF176'!V10:V153,"LIN1_RX")</f>
        <v>0</v>
      </c>
      <c r="F17" s="38">
        <f>COUNTIF('PF176'!V10:V153,"LIN2_RX")</f>
        <v>0</v>
      </c>
      <c r="G17" s="38">
        <f>COUNTIF('PF176'!V10:V153,"LIN3_RX")</f>
        <v>0</v>
      </c>
      <c r="H17" s="38">
        <f>COUNTIF('PF176'!V10:V153,"LIN4_RX")</f>
        <v>0</v>
      </c>
      <c r="I17" s="38">
        <f>COUNTIF('PF176'!V10:V153,"LIN5_RX")</f>
        <v>0</v>
      </c>
      <c r="J17" s="38">
        <f>COUNTIF('PF176'!V10:V153,"LIN6_RX")</f>
        <v>0</v>
      </c>
      <c r="K17" s="38">
        <f>COUNTIF('PF176'!V10:V153,"LIN7_RX")</f>
        <v>0</v>
      </c>
      <c r="L17" s="38">
        <f>COUNTIF('PF176'!V10:V153,"LIN8_RX")</f>
        <v>0</v>
      </c>
      <c r="M17" s="38">
        <f>COUNTIF('PF176'!V10:V153,"LIN9_RX")</f>
        <v>0</v>
      </c>
      <c r="N17" s="38">
        <f>COUNTIF('PF176'!V10:V153,"LIN10_RX")</f>
        <v>0</v>
      </c>
      <c r="O17" s="38">
        <f>COUNTIF('PF176'!V10:V153,"LIN11_RX")</f>
        <v>0</v>
      </c>
    </row>
    <row r="18" spans="2:59" x14ac:dyDescent="0.55000000000000004">
      <c r="B18" s="124"/>
      <c r="C18" s="38" t="s">
        <v>385</v>
      </c>
      <c r="D18" s="38">
        <f>COUNTIF('PF176'!V10:V153,"LIN0_TX")</f>
        <v>0</v>
      </c>
      <c r="E18" s="38">
        <f>COUNTIF('PF176'!V10:V153,"LIN1_TX")</f>
        <v>0</v>
      </c>
      <c r="F18" s="38">
        <f>COUNTIF('PF176'!V10:V153,"LIN2_TX")</f>
        <v>0</v>
      </c>
      <c r="G18" s="38">
        <f>COUNTIF('PF176'!V10:V153,"LIN3_TX")</f>
        <v>0</v>
      </c>
      <c r="H18" s="38">
        <f>COUNTIF('PF176'!V10:V153,"LIN4_TX")</f>
        <v>0</v>
      </c>
      <c r="I18" s="38">
        <f>COUNTIF('PF176'!V10:V153,"LIN5_TX")</f>
        <v>0</v>
      </c>
      <c r="J18" s="38">
        <f>COUNTIF('PF176'!V10:V153,"LIN6_TX")</f>
        <v>0</v>
      </c>
      <c r="K18" s="38">
        <f>COUNTIF('PF176'!V10:V153,"LIN7_TX")</f>
        <v>0</v>
      </c>
      <c r="L18" s="38">
        <f>COUNTIF('PF176'!V10:V153,"LIN8_TX")</f>
        <v>0</v>
      </c>
      <c r="M18" s="38">
        <f>COUNTIF('PF176'!V10:V153,"LIN9_TX")</f>
        <v>0</v>
      </c>
      <c r="N18" s="38">
        <f>COUNTIF('PF176'!V10:V153,"LIN10_TX")</f>
        <v>0</v>
      </c>
      <c r="O18" s="38">
        <f>COUNTIF('PF176'!V10:V153,"LIN11_TX")</f>
        <v>0</v>
      </c>
    </row>
    <row r="19" spans="2:59" x14ac:dyDescent="0.55000000000000004">
      <c r="B19" s="130"/>
      <c r="C19" s="38" t="s">
        <v>397</v>
      </c>
      <c r="D19" s="38">
        <f>COUNTIF('PF176'!V10:V153,"LIN0_EN")</f>
        <v>0</v>
      </c>
      <c r="E19" s="38">
        <f>COUNTIF('PF176'!V10:V153,"LIN1_EN")</f>
        <v>0</v>
      </c>
      <c r="F19" s="38">
        <f>COUNTIF('PF176'!V10:V153,"LIN2_EN")</f>
        <v>0</v>
      </c>
      <c r="G19" s="38">
        <f>COUNTIF('PF176'!V10:V153,"LIN3_EN")</f>
        <v>0</v>
      </c>
      <c r="H19" s="38">
        <f>COUNTIF('PF176'!V10:V153,"LIN4_EN")</f>
        <v>0</v>
      </c>
      <c r="I19" s="38">
        <f>COUNTIF('PF176'!V10:V153,"LIN5_EN")</f>
        <v>0</v>
      </c>
      <c r="J19" s="38">
        <f>COUNTIF('PF176'!V10:V153,"LIN6_EN")</f>
        <v>0</v>
      </c>
      <c r="K19" s="38">
        <f>COUNTIF('PF176'!V10:V153,"LIN7_EN")</f>
        <v>0</v>
      </c>
      <c r="L19" s="38">
        <f>COUNTIF('PF176'!V10:V153,"LIN8_EN")</f>
        <v>0</v>
      </c>
      <c r="M19" s="38">
        <f>COUNTIF('PF176'!V10:V153,"LIN9_EN")</f>
        <v>0</v>
      </c>
      <c r="N19" s="38">
        <f>COUNTIF('PF176'!V10:V153,"LIN10_EN")</f>
        <v>0</v>
      </c>
      <c r="O19" s="38">
        <f>COUNTIF('PF176'!V10:V153,"LIN11_EN")</f>
        <v>0</v>
      </c>
    </row>
    <row r="20" spans="2:59" x14ac:dyDescent="0.55000000000000004">
      <c r="B20" s="39"/>
      <c r="C20" s="40"/>
      <c r="D20" s="40"/>
      <c r="E20" s="40"/>
      <c r="F20" s="40"/>
      <c r="G20" s="40"/>
      <c r="H20" s="40"/>
      <c r="I20" s="40"/>
      <c r="J20" s="40"/>
      <c r="K20" s="40"/>
    </row>
    <row r="22" spans="2:59" x14ac:dyDescent="0.55000000000000004">
      <c r="B22" s="128" t="s">
        <v>376</v>
      </c>
      <c r="C22" s="129"/>
      <c r="D22" s="37" t="s">
        <v>377</v>
      </c>
      <c r="E22" s="37" t="s">
        <v>378</v>
      </c>
      <c r="F22" s="37" t="s">
        <v>379</v>
      </c>
      <c r="G22" s="37" t="s">
        <v>380</v>
      </c>
      <c r="H22" s="37" t="s">
        <v>384</v>
      </c>
      <c r="I22" s="37" t="s">
        <v>383</v>
      </c>
      <c r="J22" s="37" t="s">
        <v>382</v>
      </c>
      <c r="K22" s="37" t="s">
        <v>381</v>
      </c>
    </row>
    <row r="23" spans="2:59" ht="10" customHeight="1" x14ac:dyDescent="0.55000000000000004">
      <c r="B23" s="131" t="s">
        <v>415</v>
      </c>
      <c r="C23" s="41" t="s">
        <v>1139</v>
      </c>
      <c r="D23" s="42">
        <f>COUNTIF('PF176'!V10:V185,"SCB0_CLK (0)")</f>
        <v>0</v>
      </c>
      <c r="E23" s="43">
        <f>COUNTIF('PF176'!V10:V185,"SCB1_CLK (0)")</f>
        <v>0</v>
      </c>
      <c r="F23" s="43">
        <f>COUNTIF('PF176'!V10:V185,"SCB2_CLK (0)")</f>
        <v>0</v>
      </c>
      <c r="G23" s="43">
        <f>COUNTIF('PF176'!V10:V185,"SCB3_CLK (0)")</f>
        <v>0</v>
      </c>
      <c r="H23" s="43">
        <f>COUNTIF('PF176'!V10:V185,"SCB4_CLK (0)")</f>
        <v>0</v>
      </c>
      <c r="I23" s="43">
        <f>COUNTIF('PF176'!V10:V185,"SCB5_CLK (0)")</f>
        <v>0</v>
      </c>
      <c r="J23" s="43">
        <f>COUNTIF('PF176'!V10:V185,"SCB6_CLK (0)")</f>
        <v>0</v>
      </c>
      <c r="K23" s="43">
        <f>COUNTIF('PF176'!V10:V185,"SCB7_CLK (0)")</f>
        <v>0</v>
      </c>
      <c r="BG23" s="44"/>
    </row>
    <row r="24" spans="2:59" x14ac:dyDescent="0.55000000000000004">
      <c r="B24" s="132"/>
      <c r="C24" s="41" t="s">
        <v>1140</v>
      </c>
      <c r="D24" s="42">
        <f>COUNTIF('PF176'!V10:V185,"SCB0_CLK (1)")</f>
        <v>0</v>
      </c>
      <c r="E24" s="43">
        <f>COUNTIF('PF176'!V10:V185,"SCB1_CLK (1)")</f>
        <v>0</v>
      </c>
      <c r="F24" s="43">
        <f>COUNTIF('PF176'!V10:V185,"SCB2_CLK (1)")</f>
        <v>0</v>
      </c>
      <c r="G24" s="43">
        <f>COUNTIF('PF176'!V10:V185,"SCB3_CLK (1)")</f>
        <v>0</v>
      </c>
      <c r="H24" s="43">
        <f>COUNTIF('PF176'!V10:V185,"SCB4_CLK (1)")</f>
        <v>0</v>
      </c>
      <c r="I24" s="43">
        <f>COUNTIF('PF176'!V10:V185,"SCB5_CLK (1)")</f>
        <v>0</v>
      </c>
      <c r="J24" s="43">
        <f>COUNTIF('PF176'!V10:V185,"SCB6_CLK (1)")</f>
        <v>0</v>
      </c>
      <c r="K24" s="43">
        <f>COUNTIF('PF176'!V10:V185,"SCB7_CLK (1)")</f>
        <v>0</v>
      </c>
    </row>
    <row r="25" spans="2:59" x14ac:dyDescent="0.55000000000000004">
      <c r="B25" s="132"/>
      <c r="C25" s="41" t="s">
        <v>1141</v>
      </c>
      <c r="D25" s="42">
        <f>COUNTIF('PF176'!V10:V185,"SCB0_MOSI (0)")</f>
        <v>0</v>
      </c>
      <c r="E25" s="43">
        <f>COUNTIF('PF176'!V10:V185,"SCB1_MOSI (0)")</f>
        <v>0</v>
      </c>
      <c r="F25" s="43">
        <f>COUNTIF('PF176'!V10:V185,"SCB2_MOSI (0)")</f>
        <v>0</v>
      </c>
      <c r="G25" s="43">
        <f>COUNTIF('PF176'!V10:V185,"SCB3_MOSI (0)")</f>
        <v>0</v>
      </c>
      <c r="H25" s="43">
        <f>COUNTIF('PF176'!V10:V185,"SCB4_MOSI (0)")</f>
        <v>0</v>
      </c>
      <c r="I25" s="43">
        <f>COUNTIF('PF176'!V10:V185,"SCB5_MOSI (0)")</f>
        <v>0</v>
      </c>
      <c r="J25" s="43">
        <f>COUNTIF('PF176'!V10:V185,"SCB6_MOSI (0)")</f>
        <v>0</v>
      </c>
      <c r="K25" s="43">
        <f>COUNTIF('PF176'!V10:V185,"SCB7_MOSI (0)")</f>
        <v>0</v>
      </c>
    </row>
    <row r="26" spans="2:59" x14ac:dyDescent="0.55000000000000004">
      <c r="B26" s="132"/>
      <c r="C26" s="41" t="s">
        <v>1142</v>
      </c>
      <c r="D26" s="42">
        <f>COUNTIF('PF176'!V10:V185,"SCB0_MOSI (1)")</f>
        <v>0</v>
      </c>
      <c r="E26" s="43">
        <f>COUNTIF('PF176'!V10:V185,"SCB1_MOSI (1)")</f>
        <v>0</v>
      </c>
      <c r="F26" s="43">
        <f>COUNTIF('PF176'!V10:V185,"SCB2_MOSI (1)")</f>
        <v>0</v>
      </c>
      <c r="G26" s="43">
        <f>COUNTIF('PF176'!V10:V185,"SCB3_MOSI (1)")</f>
        <v>0</v>
      </c>
      <c r="H26" s="43">
        <f>COUNTIF('PF176'!V10:V185,"SCB4_MOSI (1)")</f>
        <v>0</v>
      </c>
      <c r="I26" s="43">
        <f>COUNTIF('PF176'!V10:V185,"SCB5_MOSI (1)")</f>
        <v>0</v>
      </c>
      <c r="J26" s="43">
        <f>COUNTIF('PF176'!V10:V185,"SCB6_MOSI (1)")</f>
        <v>0</v>
      </c>
      <c r="K26" s="43">
        <f>COUNTIF('PF176'!V10:V185,"SCB7_MOSI (1)")</f>
        <v>0</v>
      </c>
    </row>
    <row r="27" spans="2:59" x14ac:dyDescent="0.55000000000000004">
      <c r="B27" s="132"/>
      <c r="C27" s="41" t="s">
        <v>1143</v>
      </c>
      <c r="D27" s="42">
        <f>COUNTIF('PF176'!V10:V185,"SCB0_MISO (0)")</f>
        <v>0</v>
      </c>
      <c r="E27" s="43">
        <f>COUNTIF('PF176'!V10:V185,"SCB1_MISO (0)")</f>
        <v>0</v>
      </c>
      <c r="F27" s="43">
        <f>COUNTIF('PF176'!V10:V185,"SCB2_MISO (0)")</f>
        <v>0</v>
      </c>
      <c r="G27" s="43">
        <f>COUNTIF('PF176'!V10:V185,"SCB3_MISO (0)")</f>
        <v>0</v>
      </c>
      <c r="H27" s="43">
        <f>COUNTIF('PF176'!V10:V185,"SCB4_MISO (0)")</f>
        <v>0</v>
      </c>
      <c r="I27" s="43">
        <f>COUNTIF('PF176'!V10:V185,"SCB5_MISO (0)")</f>
        <v>0</v>
      </c>
      <c r="J27" s="43">
        <f>COUNTIF('PF176'!V10:V185,"SCB6_MISO (0)")</f>
        <v>0</v>
      </c>
      <c r="K27" s="43">
        <f>COUNTIF('PF176'!V10:V185,"SCB7_MISO (0)")</f>
        <v>0</v>
      </c>
    </row>
    <row r="28" spans="2:59" x14ac:dyDescent="0.55000000000000004">
      <c r="B28" s="132"/>
      <c r="C28" s="41" t="s">
        <v>1144</v>
      </c>
      <c r="D28" s="42">
        <f>COUNTIF('PF176'!V10:V185,"SCB0_MISO (1)")</f>
        <v>0</v>
      </c>
      <c r="E28" s="43">
        <f>COUNTIF('PF176'!V10:V185,"SCB1_MISO (1)")</f>
        <v>0</v>
      </c>
      <c r="F28" s="43">
        <f>COUNTIF('PF176'!V10:V185,"SCB2_MISO (1)")</f>
        <v>0</v>
      </c>
      <c r="G28" s="43">
        <f>COUNTIF('PF176'!V10:V185,"SCB3_MISO (1)")</f>
        <v>0</v>
      </c>
      <c r="H28" s="43">
        <f>COUNTIF('PF176'!V10:V185,"SCB4_MISO (1)")</f>
        <v>0</v>
      </c>
      <c r="I28" s="43">
        <f>COUNTIF('PF176'!V10:V185,"SCB5_MISO (1)")</f>
        <v>0</v>
      </c>
      <c r="J28" s="43">
        <f>COUNTIF('PF176'!V10:V185,"SCB6_MISO (1)")</f>
        <v>0</v>
      </c>
      <c r="K28" s="43">
        <f>COUNTIF('PF176'!V10:V185,"SCB7_MISO (1)")</f>
        <v>0</v>
      </c>
    </row>
    <row r="29" spans="2:59" x14ac:dyDescent="0.55000000000000004">
      <c r="B29" s="132"/>
      <c r="C29" s="41" t="s">
        <v>1145</v>
      </c>
      <c r="D29" s="42">
        <f>COUNTIF('PF176'!V10:V185,"SCB0_SEL0 (0)")</f>
        <v>0</v>
      </c>
      <c r="E29" s="43">
        <f>COUNTIF('PF176'!V10:V185,"SCB1_SEL0 (0)")</f>
        <v>0</v>
      </c>
      <c r="F29" s="43">
        <f>COUNTIF('PF176'!V10:V185,"SCB2_SEL0 (0)")</f>
        <v>0</v>
      </c>
      <c r="G29" s="43">
        <f>COUNTIF('PF176'!V10:V185,"SCB3_SEL0 (0)")</f>
        <v>0</v>
      </c>
      <c r="H29" s="43">
        <f>COUNTIF('PF176'!V10:V185,"SCB4_SEL0 (0)")</f>
        <v>0</v>
      </c>
      <c r="I29" s="42">
        <f>COUNTIF('PF176'!V10:V185,"SCB5_SEL0 (0)")</f>
        <v>0</v>
      </c>
      <c r="J29" s="42">
        <f>COUNTIF('PF176'!V10:V185,"SCB6_SEL0 (0)")</f>
        <v>0</v>
      </c>
      <c r="K29" s="43">
        <f>COUNTIF('PF176'!V10:V185,"SCB7_SEL0 (0)")</f>
        <v>0</v>
      </c>
    </row>
    <row r="30" spans="2:59" x14ac:dyDescent="0.55000000000000004">
      <c r="B30" s="133"/>
      <c r="C30" s="41" t="s">
        <v>1146</v>
      </c>
      <c r="D30" s="42">
        <f>COUNTIF('PF176'!V10:V185,"SCB0_SEL0 (1)")</f>
        <v>0</v>
      </c>
      <c r="E30" s="43">
        <f>COUNTIF('PF176'!V10:V185,"SCB1_SEL0 (1)")</f>
        <v>0</v>
      </c>
      <c r="F30" s="43">
        <f>COUNTIF('PF176'!V10:V185,"SCB2_SEL0 (1)")</f>
        <v>0</v>
      </c>
      <c r="G30" s="43">
        <f>COUNTIF('PF176'!V10:V185,"SCB3_SEL0 (1)")</f>
        <v>0</v>
      </c>
      <c r="H30" s="43">
        <f>COUNTIF('PF176'!V10:V185,"SCB4_SEL0 (1)")</f>
        <v>0</v>
      </c>
      <c r="I30" s="42">
        <f>COUNTIF('PF176'!V10:V185,"SCB5_SEL0 (1)")</f>
        <v>0</v>
      </c>
      <c r="J30" s="42">
        <f>COUNTIF('PF176'!V10:V185,"SCB6_SEL0 (1)")</f>
        <v>0</v>
      </c>
      <c r="K30" s="43">
        <f>COUNTIF('PF176'!V10:V185,"SCB7_SEL0 (1)")</f>
        <v>0</v>
      </c>
    </row>
    <row r="31" spans="2:59" x14ac:dyDescent="0.55000000000000004">
      <c r="B31" s="133"/>
      <c r="C31" s="41" t="s">
        <v>1147</v>
      </c>
      <c r="D31" s="42">
        <f>COUNTIF('PF176'!V10:V185,"SCB0_SEL1 (0)")</f>
        <v>0</v>
      </c>
      <c r="E31" s="43">
        <f>COUNTIF('PF176'!V10:V185,"SCB1_SEL1 (0)")</f>
        <v>0</v>
      </c>
      <c r="F31" s="43">
        <f>COUNTIF('PF176'!V10:V185,"SCB2_SEL1 (0)")</f>
        <v>0</v>
      </c>
      <c r="G31" s="43">
        <f>COUNTIF('PF176'!V10:V185,"SCB3_SEL1 (0)")</f>
        <v>0</v>
      </c>
      <c r="H31" s="43">
        <f>COUNTIF('PF176'!V10:V185,"SCB4_SEL1 (0)")</f>
        <v>0</v>
      </c>
      <c r="I31" s="42">
        <f>COUNTIF('PF176'!V10:V185,"SCB5_SEL1 (0)")</f>
        <v>0</v>
      </c>
      <c r="J31" s="42">
        <f>COUNTIF('PF176'!V10:V185,"SCB6_SEL1 (0)")</f>
        <v>0</v>
      </c>
      <c r="K31" s="43">
        <f>COUNTIF('PF176'!V10:V185,"SCB7_SEL1 (0)")</f>
        <v>0</v>
      </c>
    </row>
    <row r="32" spans="2:59" x14ac:dyDescent="0.55000000000000004">
      <c r="B32" s="133"/>
      <c r="C32" s="41" t="s">
        <v>1148</v>
      </c>
      <c r="D32" s="42">
        <f>COUNTIF('PF176'!V10:V185,"SCB0_SEL1 (1)")</f>
        <v>0</v>
      </c>
      <c r="E32" s="43">
        <f>COUNTIF('PF176'!V10:V185,"SCB1_SEL1 (1)")</f>
        <v>0</v>
      </c>
      <c r="F32" s="43">
        <f>COUNTIF('PF176'!V10:V185,"SCB2_SEL1 (1)")</f>
        <v>0</v>
      </c>
      <c r="G32" s="43">
        <f>COUNTIF('PF176'!V10:V185,"SCB3_SEL1 (1)")</f>
        <v>0</v>
      </c>
      <c r="H32" s="43">
        <f>COUNTIF('PF176'!V10:V185,"SCB4_SEL1 (1)")</f>
        <v>0</v>
      </c>
      <c r="I32" s="42">
        <f>COUNTIF('PF176'!V10:V185,"SCB5_SEL1 (1)")</f>
        <v>0</v>
      </c>
      <c r="J32" s="42">
        <f>COUNTIF('PF176'!V10:V185,"SCB6_SEL1 (1)")</f>
        <v>0</v>
      </c>
      <c r="K32" s="43">
        <f>COUNTIF('PF176'!V10:V185,"SCB7_SEL1 (1)")</f>
        <v>0</v>
      </c>
    </row>
    <row r="33" spans="2:11" x14ac:dyDescent="0.55000000000000004">
      <c r="B33" s="133"/>
      <c r="C33" s="41" t="s">
        <v>1149</v>
      </c>
      <c r="D33" s="42">
        <f>COUNTIF('PF176'!V10:V185,"SCB0_SEL2 (0)")</f>
        <v>0</v>
      </c>
      <c r="E33" s="43">
        <f>COUNTIF('PF176'!V10:V185,"SCB1_SEL2 (0)")</f>
        <v>0</v>
      </c>
      <c r="F33" s="43">
        <f>COUNTIF('PF176'!V10:V185,"SCB2_SEL2 (0)")</f>
        <v>0</v>
      </c>
      <c r="G33" s="43">
        <f>COUNTIF('PF176'!V10:V185,"SCB3_SEL2 (0)")</f>
        <v>0</v>
      </c>
      <c r="H33" s="43">
        <f>COUNTIF('PF176'!V10:V185,"SCB4_SEL2 (0)")</f>
        <v>0</v>
      </c>
      <c r="I33" s="42">
        <f>COUNTIF('PF176'!V10:V185,"SCB5_SEL2 (0)")</f>
        <v>0</v>
      </c>
      <c r="J33" s="42">
        <f>COUNTIF('PF176'!V10:V185,"SCB6_SEL2 (0)")</f>
        <v>0</v>
      </c>
      <c r="K33" s="43">
        <f>COUNTIF('PF176'!V10:V185,"SCB7_SEL2 (0)")</f>
        <v>0</v>
      </c>
    </row>
    <row r="34" spans="2:11" x14ac:dyDescent="0.55000000000000004">
      <c r="B34" s="133"/>
      <c r="C34" s="41" t="s">
        <v>1150</v>
      </c>
      <c r="D34" s="42">
        <f>COUNTIF('PF176'!V10:V185,"SCB0_SEL2 (1)")</f>
        <v>0</v>
      </c>
      <c r="E34" s="43">
        <f>COUNTIF('PF176'!V10:V185,"SCB1_SEL2 (1)")</f>
        <v>0</v>
      </c>
      <c r="F34" s="43">
        <f>COUNTIF('PF176'!V10:V185,"SCB2_SEL2 (1)")</f>
        <v>0</v>
      </c>
      <c r="G34" s="43">
        <f>COUNTIF('PF176'!V10:V185,"SCB3_SEL2 (1)")</f>
        <v>0</v>
      </c>
      <c r="H34" s="43">
        <f>COUNTIF('PF176'!V10:V185,"SCB4_SEL2 (1)")</f>
        <v>0</v>
      </c>
      <c r="I34" s="42">
        <f>COUNTIF('PF176'!V10:V185,"SCB5_SEL2 (1)")</f>
        <v>0</v>
      </c>
      <c r="J34" s="42">
        <f>COUNTIF('PF176'!V10:V185,"SCB6_SEL2 (1)")</f>
        <v>0</v>
      </c>
      <c r="K34" s="43">
        <f>COUNTIF('PF176'!V10:V185,"SCB7_SEL2 (1)")</f>
        <v>0</v>
      </c>
    </row>
    <row r="35" spans="2:11" x14ac:dyDescent="0.55000000000000004">
      <c r="B35" s="133"/>
      <c r="C35" s="41" t="s">
        <v>1151</v>
      </c>
      <c r="D35" s="42">
        <f>COUNTIF('PF176'!V10:V185,"SCB0_SEL3 (0)")</f>
        <v>0</v>
      </c>
      <c r="E35" s="43">
        <f>COUNTIF('PF176'!V10:V185,"SCB1_SEL3 (0)")</f>
        <v>0</v>
      </c>
      <c r="F35" s="43">
        <f>COUNTIF('PF176'!V10:V185,"SCB2_SEL3 (0)")</f>
        <v>0</v>
      </c>
      <c r="G35" s="43">
        <f>COUNTIF('PF176'!V10:V185,"SCB3_SEL3 (0)")</f>
        <v>0</v>
      </c>
      <c r="H35" s="43">
        <f>COUNTIF('PF176'!V10:V185,"SCB4_SEL3 (0)")</f>
        <v>0</v>
      </c>
      <c r="I35" s="42">
        <f>COUNTIF('PF176'!V10:V185,"SCB5_SEL3 (0)")</f>
        <v>0</v>
      </c>
      <c r="J35" s="42">
        <f>COUNTIF('PF176'!V10:V185,"SCB6_SEL3 (0)")</f>
        <v>0</v>
      </c>
      <c r="K35" s="43">
        <f>COUNTIF('PF176'!V10:V185,"SCB7_SEL3 (0)")</f>
        <v>0</v>
      </c>
    </row>
    <row r="36" spans="2:11" x14ac:dyDescent="0.55000000000000004">
      <c r="B36" s="134"/>
      <c r="C36" s="41" t="s">
        <v>1152</v>
      </c>
      <c r="D36" s="42">
        <f>COUNTIF('PF176'!V10:V185,"SCB0_SEL3 (1)")</f>
        <v>0</v>
      </c>
      <c r="E36" s="43">
        <f>COUNTIF('PF176'!V10:V185,"SCB1_SEL3 (1)")</f>
        <v>0</v>
      </c>
      <c r="F36" s="43">
        <f>COUNTIF('PF176'!V10:V185,"SCB2_SEL3 (1)")</f>
        <v>0</v>
      </c>
      <c r="G36" s="43">
        <f>COUNTIF('PF176'!V10:V185,"SCB3_SEL3 (1)")</f>
        <v>0</v>
      </c>
      <c r="H36" s="43">
        <f>COUNTIF('PF176'!V10:V185,"SCB4_SEL3 (1)")</f>
        <v>0</v>
      </c>
      <c r="I36" s="42">
        <f>COUNTIF('PF176'!V10:V185,"SCB5_SEL3 (1)")</f>
        <v>0</v>
      </c>
      <c r="J36" s="42">
        <f>COUNTIF('PF176'!V10:V185,"SCB6_SEL3 (1)")</f>
        <v>0</v>
      </c>
      <c r="K36" s="43">
        <f>COUNTIF('PF176'!V10:V185,"SCB7_SEL3 (1)")</f>
        <v>0</v>
      </c>
    </row>
    <row r="37" spans="2:11" x14ac:dyDescent="0.55000000000000004">
      <c r="B37" s="131" t="s">
        <v>414</v>
      </c>
      <c r="C37" s="41" t="s">
        <v>1131</v>
      </c>
      <c r="D37" s="42">
        <f>COUNTIF('PF176'!V10:V185,"SCB0_TX (0)")</f>
        <v>0</v>
      </c>
      <c r="E37" s="43">
        <f>COUNTIF('PF176'!V10:V185,"SCB1_TX (0)")</f>
        <v>0</v>
      </c>
      <c r="F37" s="43">
        <f>COUNTIF('PF176'!V10:V185,"SCB2_TX (0)")</f>
        <v>0</v>
      </c>
      <c r="G37" s="43">
        <f>COUNTIF('PF176'!V10:V185,"SCB3_TX (0)")</f>
        <v>0</v>
      </c>
      <c r="H37" s="43">
        <f>COUNTIF('PF176'!V10:V185,"SCB4_TX (0)")</f>
        <v>0</v>
      </c>
      <c r="I37" s="45">
        <f>COUNTIF('PF176'!V10:V185,"SCB5_TX (0)")</f>
        <v>0</v>
      </c>
      <c r="J37" s="45">
        <f>COUNTIF('PF176'!V10:V185,"SCB6_TX (0)")</f>
        <v>0</v>
      </c>
      <c r="K37" s="43">
        <f>COUNTIF('PF176'!V10:V185,"SCB7_TX (0)")</f>
        <v>0</v>
      </c>
    </row>
    <row r="38" spans="2:11" x14ac:dyDescent="0.55000000000000004">
      <c r="B38" s="133"/>
      <c r="C38" s="41" t="s">
        <v>1132</v>
      </c>
      <c r="D38" s="42">
        <f>COUNTIF('PF176'!V10:V185,"SCB0_TX (1)")</f>
        <v>0</v>
      </c>
      <c r="E38" s="43">
        <f>COUNTIF('PF176'!V10:V185,"SCB1_TX (1)")</f>
        <v>0</v>
      </c>
      <c r="F38" s="43">
        <f>COUNTIF('PF176'!V10:V185,"SCB2_TX (1)")</f>
        <v>0</v>
      </c>
      <c r="G38" s="43">
        <f>COUNTIF('PF176'!V10:V185,"SCB3_TX (1)")</f>
        <v>0</v>
      </c>
      <c r="H38" s="43">
        <f>COUNTIF('PF176'!V10:V185,"SCB4_TX (1)")</f>
        <v>0</v>
      </c>
      <c r="I38" s="45">
        <f>COUNTIF('PF176'!V10:V185,"SCB5_TX (1)")</f>
        <v>0</v>
      </c>
      <c r="J38" s="45">
        <f>COUNTIF('PF176'!V10:V185,"SCB6_TX (1)")</f>
        <v>0</v>
      </c>
      <c r="K38" s="43">
        <f>COUNTIF('PF176'!V10:V185,"SCB7_TX (1)")</f>
        <v>0</v>
      </c>
    </row>
    <row r="39" spans="2:11" x14ac:dyDescent="0.55000000000000004">
      <c r="B39" s="133"/>
      <c r="C39" s="41" t="s">
        <v>1133</v>
      </c>
      <c r="D39" s="42">
        <f>COUNTIF('PF176'!V10:V185,"SCB0_RX (0)")</f>
        <v>0</v>
      </c>
      <c r="E39" s="43">
        <f>COUNTIF('PF176'!V10:V185,"SCB1_RX (0)")</f>
        <v>0</v>
      </c>
      <c r="F39" s="43">
        <f>COUNTIF('PF176'!V10:V185,"SCB2_RX (0)")</f>
        <v>0</v>
      </c>
      <c r="G39" s="43">
        <f>COUNTIF('PF176'!V10:V185,"SCB3_RX (0)")</f>
        <v>0</v>
      </c>
      <c r="H39" s="43">
        <f>COUNTIF('PF176'!V10:V185,"SCB4_RX (0)")</f>
        <v>0</v>
      </c>
      <c r="I39" s="43">
        <f>COUNTIF('PF176'!V10:V185,"SCB5_RX (0)")</f>
        <v>0</v>
      </c>
      <c r="J39" s="43">
        <f>COUNTIF('PF176'!V10:V185,"SCB6_RX (0)")</f>
        <v>0</v>
      </c>
      <c r="K39" s="43">
        <f>COUNTIF('PF176'!V10:V185,"SCB7_RX (0)")</f>
        <v>0</v>
      </c>
    </row>
    <row r="40" spans="2:11" x14ac:dyDescent="0.55000000000000004">
      <c r="B40" s="133"/>
      <c r="C40" s="41" t="s">
        <v>1134</v>
      </c>
      <c r="D40" s="46">
        <f>COUNTIF('PF176'!V10:V185,"SCB0_RX (1)")</f>
        <v>0</v>
      </c>
      <c r="E40" s="43">
        <f>COUNTIF('PF176'!V10:V185,"SCB1_RX (1)")</f>
        <v>0</v>
      </c>
      <c r="F40" s="43">
        <f>COUNTIF('PF176'!V10:V185,"SCB2_RX (1)")</f>
        <v>0</v>
      </c>
      <c r="G40" s="43">
        <f>COUNTIF('PF176'!V10:V185,"SCB3_RX (1)")</f>
        <v>0</v>
      </c>
      <c r="H40" s="43">
        <f>COUNTIF('PF176'!V10:V185,"SCB4_RX (1)")</f>
        <v>0</v>
      </c>
      <c r="I40" s="43">
        <f>COUNTIF('PF176'!V10:V185,"SCB5_RX (1)")</f>
        <v>0</v>
      </c>
      <c r="J40" s="43">
        <f>COUNTIF('PF176'!V10:V185,"SCB6_RX (1)")</f>
        <v>0</v>
      </c>
      <c r="K40" s="43">
        <f>COUNTIF('PF176'!V10:V185,"SCB7_RX (1)")</f>
        <v>0</v>
      </c>
    </row>
    <row r="41" spans="2:11" ht="10.25" customHeight="1" x14ac:dyDescent="0.55000000000000004">
      <c r="B41" s="133"/>
      <c r="C41" s="41" t="s">
        <v>1135</v>
      </c>
      <c r="D41" s="42">
        <f>COUNTIF('PF176'!V10:V185,"SCB0_CTS (0)")</f>
        <v>0</v>
      </c>
      <c r="E41" s="43">
        <f>COUNTIF('PF176'!V10:V185,"SCB1_CTS (0)")</f>
        <v>0</v>
      </c>
      <c r="F41" s="43">
        <f>COUNTIF('PF176'!V10:V185,"SCB2_CTS (0)")</f>
        <v>0</v>
      </c>
      <c r="G41" s="43">
        <f>COUNTIF('PF176'!V10:V185,"SCB3_CTS (0)")</f>
        <v>0</v>
      </c>
      <c r="H41" s="43">
        <f>COUNTIF('PF176'!V10:V185,"SCB4_CTS (0)")</f>
        <v>0</v>
      </c>
      <c r="I41" s="43">
        <f>COUNTIF('PF176'!V10:V185,"SCB5_CTS (0)")</f>
        <v>0</v>
      </c>
      <c r="J41" s="43">
        <f>COUNTIF('PF176'!V10:V185,"SCB6_CTS (0)")</f>
        <v>0</v>
      </c>
      <c r="K41" s="43">
        <f>COUNTIF('PF176'!V10:V185,"SCB7_CTS (0)")</f>
        <v>0</v>
      </c>
    </row>
    <row r="42" spans="2:11" x14ac:dyDescent="0.55000000000000004">
      <c r="B42" s="133"/>
      <c r="C42" s="41" t="s">
        <v>1136</v>
      </c>
      <c r="D42" s="46">
        <f>COUNTIF('PF176'!V10:V185,"SCB0_CTS (1)")</f>
        <v>0</v>
      </c>
      <c r="E42" s="43">
        <f>COUNTIF('PF176'!V10:V185,"SCB1_CTS (1)")</f>
        <v>0</v>
      </c>
      <c r="F42" s="43">
        <f>COUNTIF('PF176'!V10:V185,"SCB2_CTS (1)")</f>
        <v>0</v>
      </c>
      <c r="G42" s="43">
        <f>COUNTIF('PF176'!V10:V185,"SCB3_CTS (1)")</f>
        <v>0</v>
      </c>
      <c r="H42" s="43">
        <f>COUNTIF('PF176'!V10:V185,"SCB4_CTS (1)")</f>
        <v>0</v>
      </c>
      <c r="I42" s="43">
        <f>COUNTIF('PF176'!V10:V185,"SCB5_CTS (1)")</f>
        <v>0</v>
      </c>
      <c r="J42" s="43">
        <f>COUNTIF('PF176'!V10:V185,"SCB6_CTS (1)")</f>
        <v>0</v>
      </c>
      <c r="K42" s="43">
        <f>COUNTIF('PF176'!V10:V185,"SCB7_CTS (1)")</f>
        <v>0</v>
      </c>
    </row>
    <row r="43" spans="2:11" x14ac:dyDescent="0.55000000000000004">
      <c r="B43" s="133"/>
      <c r="C43" s="41" t="s">
        <v>1137</v>
      </c>
      <c r="D43" s="42">
        <f>COUNTIF('PF176'!V10:V185,"SCB0_RTS (0)")</f>
        <v>0</v>
      </c>
      <c r="E43" s="43">
        <f>COUNTIF('PF176'!V10:V185,"SCB1_RTS (0)")</f>
        <v>0</v>
      </c>
      <c r="F43" s="43">
        <f>COUNTIF('PF176'!V10:V185,"SCB2_RTS (0)")</f>
        <v>0</v>
      </c>
      <c r="G43" s="43">
        <f>COUNTIF('PF176'!V10:V185,"SCB3_RTS (0)")</f>
        <v>0</v>
      </c>
      <c r="H43" s="43">
        <f>COUNTIF('PF176'!V10:V185,"SCB4_RTS (0)")</f>
        <v>0</v>
      </c>
      <c r="I43" s="43">
        <f>COUNTIF('PF176'!V10:V185,"SCB5_RTS (0)")</f>
        <v>0</v>
      </c>
      <c r="J43" s="43">
        <f>COUNTIF('PF176'!V10:V185,"SCB6_RTS (0)")</f>
        <v>0</v>
      </c>
      <c r="K43" s="43">
        <f>COUNTIF('PF176'!V10:V185,"SCB7_RTS (0)")</f>
        <v>0</v>
      </c>
    </row>
    <row r="44" spans="2:11" x14ac:dyDescent="0.55000000000000004">
      <c r="B44" s="134"/>
      <c r="C44" s="41" t="s">
        <v>1138</v>
      </c>
      <c r="D44" s="46">
        <f>COUNTIF('PF176'!V10:V185,"SCB0_RTS (1)")</f>
        <v>0</v>
      </c>
      <c r="E44" s="43">
        <f>COUNTIF('PF176'!V10:V185,"SCB1_RTS (1)")</f>
        <v>0</v>
      </c>
      <c r="F44" s="43">
        <f>COUNTIF('PF176'!V10:V185,"SCB2_RTS (1)")</f>
        <v>0</v>
      </c>
      <c r="G44" s="43">
        <f>COUNTIF('PF176'!V10:V185,"SCB3_RTS (1)")</f>
        <v>0</v>
      </c>
      <c r="H44" s="43">
        <f>COUNTIF('PF176'!V10:V185,"SCB4_RTS (1)")</f>
        <v>0</v>
      </c>
      <c r="I44" s="43">
        <f>COUNTIF('PF176'!V10:V185,"SCB5_RTS (1)")</f>
        <v>0</v>
      </c>
      <c r="J44" s="43">
        <f>COUNTIF('PF176'!V10:V185,"SCB6_RTS (1)")</f>
        <v>0</v>
      </c>
      <c r="K44" s="43">
        <f>COUNTIF('PF176'!V10:V185,"SCB7_RTS (1)")</f>
        <v>0</v>
      </c>
    </row>
    <row r="45" spans="2:11" x14ac:dyDescent="0.55000000000000004">
      <c r="B45" s="131" t="s">
        <v>416</v>
      </c>
      <c r="C45" s="47" t="s">
        <v>1153</v>
      </c>
      <c r="D45" s="42">
        <f>COUNTIF('PF176'!V10:V185,"SCB0_SDA (0)")</f>
        <v>0</v>
      </c>
      <c r="E45" s="43">
        <f>COUNTIF('PF176'!V10:V185,"SCB1_SDA (0)")</f>
        <v>0</v>
      </c>
      <c r="F45" s="43">
        <f>COUNTIF('PF176'!V10:V185,"SCB2_SDA (0)")</f>
        <v>0</v>
      </c>
      <c r="G45" s="43">
        <f>COUNTIF('PF176'!V10:V185,"SCB3_SDA (0)")</f>
        <v>0</v>
      </c>
      <c r="H45" s="43">
        <f>COUNTIF('PF176'!V10:V185,"SCB4_SDA (0)")</f>
        <v>0</v>
      </c>
      <c r="I45" s="45">
        <f>COUNTIF('PF176'!V10:V185,"SCB5_SDA (0)")</f>
        <v>0</v>
      </c>
      <c r="J45" s="45">
        <f>COUNTIF('PF176'!V10:V185,"SCB6_SDA (0)")</f>
        <v>0</v>
      </c>
      <c r="K45" s="45">
        <f>COUNTIF('PF176'!V10:V185,"SCB7_SDA (0)")</f>
        <v>0</v>
      </c>
    </row>
    <row r="46" spans="2:11" x14ac:dyDescent="0.55000000000000004">
      <c r="B46" s="132"/>
      <c r="C46" s="47" t="s">
        <v>1154</v>
      </c>
      <c r="D46" s="42">
        <f>COUNTIF('PF176'!V10:V185,"SCB0_SDA (1)")</f>
        <v>0</v>
      </c>
      <c r="E46" s="43">
        <f>COUNTIF('PF176'!V10:V185,"SCB1_SDA (1)")</f>
        <v>0</v>
      </c>
      <c r="F46" s="43">
        <f>COUNTIF('PF176'!V10:V185,"SCB2_SDA (1)")</f>
        <v>0</v>
      </c>
      <c r="G46" s="43">
        <f>COUNTIF('PF176'!V10:V185,"SCB3_SDA (1)")</f>
        <v>0</v>
      </c>
      <c r="H46" s="43">
        <f>COUNTIF('PF176'!V10:V185,"SCB4_SDA (1)")</f>
        <v>0</v>
      </c>
      <c r="I46" s="45">
        <f>COUNTIF('PF176'!V10:V185,"SCB5_SDA (1)")</f>
        <v>0</v>
      </c>
      <c r="J46" s="45">
        <f>COUNTIF('PF176'!V10:V185,"SCB6_SDA (1)")</f>
        <v>0</v>
      </c>
      <c r="K46" s="45">
        <f>COUNTIF('PF176'!V10:V185,"SCB7_SDA (1)")</f>
        <v>0</v>
      </c>
    </row>
    <row r="47" spans="2:11" x14ac:dyDescent="0.55000000000000004">
      <c r="B47" s="133"/>
      <c r="C47" s="47" t="s">
        <v>1155</v>
      </c>
      <c r="D47" s="42">
        <f>COUNTIF('PF176'!V10:V185,"SCB0_SDA (2)")</f>
        <v>0</v>
      </c>
      <c r="E47" s="43">
        <f>COUNTIF('PF176'!V10:V185,"SCB1_SDA (2)")</f>
        <v>0</v>
      </c>
      <c r="F47" s="43">
        <f>COUNTIF('PF176'!V10:V185,"SCB2_SDA (2)")</f>
        <v>0</v>
      </c>
      <c r="G47" s="43">
        <f>COUNTIF('PF176'!V10:V185,"SCB3_SDA (2)")</f>
        <v>0</v>
      </c>
      <c r="H47" s="43">
        <f>COUNTIF('PF176'!V10:V185,"SCB4_SDA (2)")</f>
        <v>0</v>
      </c>
      <c r="I47" s="45">
        <f>COUNTIF('PF176'!V10:V185,"SCB5_SDA (2)")</f>
        <v>0</v>
      </c>
      <c r="J47" s="45">
        <f>COUNTIF('PF176'!V10:V185,"SCB6_SDA (2)")</f>
        <v>0</v>
      </c>
      <c r="K47" s="45">
        <f>COUNTIF('PF176'!V10:V185,"SCB7_SDA (2)")</f>
        <v>0</v>
      </c>
    </row>
    <row r="48" spans="2:11" x14ac:dyDescent="0.55000000000000004">
      <c r="B48" s="133"/>
      <c r="C48" s="47" t="s">
        <v>1156</v>
      </c>
      <c r="D48" s="42">
        <f>COUNTIF('PF176'!V10:V185,"SCB0_SCL (0)")</f>
        <v>0</v>
      </c>
      <c r="E48" s="43">
        <f>COUNTIF('PF176'!V10:V185,"SCB1_SCL (0)")</f>
        <v>0</v>
      </c>
      <c r="F48" s="43">
        <f>COUNTIF('PF176'!V10:V185,"SCB2_SCL (0)")</f>
        <v>0</v>
      </c>
      <c r="G48" s="43">
        <f>COUNTIF('PF176'!V10:V185,"SCB3_SCL (0)")</f>
        <v>0</v>
      </c>
      <c r="H48" s="43">
        <f>COUNTIF('PF176'!V10:V185,"SCB4_SCL (0)")</f>
        <v>0</v>
      </c>
      <c r="I48" s="45">
        <f>COUNTIF('PF176'!V10:V185,"SCB5_SCL (0)")</f>
        <v>0</v>
      </c>
      <c r="J48" s="45">
        <f>COUNTIF('PF176'!V10:V185,"SCB6_SCL (0)")</f>
        <v>0</v>
      </c>
      <c r="K48" s="45">
        <f>COUNTIF('PF176'!V10:V185,"SCB7_SCL (0)")</f>
        <v>0</v>
      </c>
    </row>
    <row r="49" spans="2:66" x14ac:dyDescent="0.55000000000000004">
      <c r="B49" s="133"/>
      <c r="C49" s="47" t="s">
        <v>1157</v>
      </c>
      <c r="D49" s="42">
        <f>COUNTIF('PF176'!V10:V185,"SCB0_SCL (1)")</f>
        <v>0</v>
      </c>
      <c r="E49" s="43">
        <f>COUNTIF('PF176'!V10:V185,"SCB1_SCL (1)")</f>
        <v>0</v>
      </c>
      <c r="F49" s="43">
        <f>COUNTIF('PF176'!V10:V185,"SCB2_SCL (1)")</f>
        <v>0</v>
      </c>
      <c r="G49" s="43">
        <f>COUNTIF('PF176'!V10:V185,"SCB3_SCL (1)")</f>
        <v>0</v>
      </c>
      <c r="H49" s="43">
        <f>COUNTIF('PF176'!V10:V185,"SCB4_SCL (1)")</f>
        <v>0</v>
      </c>
      <c r="I49" s="45">
        <f>COUNTIF('PF176'!V10:V185,"SCB5_SCL (1)")</f>
        <v>0</v>
      </c>
      <c r="J49" s="45">
        <f>COUNTIF('PF176'!V10:V185,"SCB6_SCL (1)")</f>
        <v>0</v>
      </c>
      <c r="K49" s="45">
        <f>COUNTIF('PF176'!V10:V185,"SCB7_SCL (1)")</f>
        <v>0</v>
      </c>
    </row>
    <row r="50" spans="2:66" x14ac:dyDescent="0.55000000000000004">
      <c r="B50" s="134"/>
      <c r="C50" s="47" t="s">
        <v>1158</v>
      </c>
      <c r="D50" s="42">
        <f>COUNTIF('PF176'!V10:V185,"SCB0_SCL (2)")</f>
        <v>0</v>
      </c>
      <c r="E50" s="43">
        <f>COUNTIF('PF176'!V10:V185,"SCB1_SCL (2)")</f>
        <v>0</v>
      </c>
      <c r="F50" s="43">
        <f>COUNTIF('PF176'!V10:V185,"SCB2_SCL (2)")</f>
        <v>0</v>
      </c>
      <c r="G50" s="43">
        <f>COUNTIF('PF176'!V10:V185,"SCB3_SCL (2)")</f>
        <v>0</v>
      </c>
      <c r="H50" s="43">
        <f>COUNTIF('PF176'!V10:V185,"SCB4_SCL (2)")</f>
        <v>0</v>
      </c>
      <c r="I50" s="45">
        <f>COUNTIF('PF176'!V10:V185,"SCB5_SCL (2)")</f>
        <v>0</v>
      </c>
      <c r="J50" s="45">
        <f>COUNTIF('PF176'!V10:V185,"SCB6_SCL (2)")</f>
        <v>0</v>
      </c>
      <c r="K50" s="45">
        <f>COUNTIF('PF176'!V10:V185,"SCB7_SCL (2)")</f>
        <v>0</v>
      </c>
    </row>
    <row r="51" spans="2:66" x14ac:dyDescent="0.55000000000000004">
      <c r="B51" s="48"/>
      <c r="C51" s="49"/>
      <c r="D51" s="50"/>
      <c r="E51" s="50"/>
      <c r="F51" s="50"/>
      <c r="G51" s="50"/>
      <c r="H51" s="50"/>
      <c r="I51" s="51"/>
      <c r="J51" s="51"/>
      <c r="K51" s="51"/>
    </row>
    <row r="52" spans="2:66" hidden="1" x14ac:dyDescent="0.55000000000000004">
      <c r="B52" s="52" t="s">
        <v>376</v>
      </c>
      <c r="C52" s="52" t="s">
        <v>1191</v>
      </c>
      <c r="D52" s="53" t="s">
        <v>377</v>
      </c>
      <c r="E52" s="53" t="s">
        <v>378</v>
      </c>
      <c r="F52" s="53" t="s">
        <v>379</v>
      </c>
      <c r="G52" s="53" t="s">
        <v>380</v>
      </c>
      <c r="H52" s="53" t="s">
        <v>384</v>
      </c>
      <c r="I52" s="53" t="s">
        <v>383</v>
      </c>
      <c r="J52" s="53" t="s">
        <v>382</v>
      </c>
      <c r="K52" s="53" t="s">
        <v>381</v>
      </c>
    </row>
    <row r="53" spans="2:66" hidden="1" x14ac:dyDescent="0.55000000000000004">
      <c r="B53" s="54" t="s">
        <v>1192</v>
      </c>
      <c r="C53" s="55">
        <v>0</v>
      </c>
      <c r="D53" s="55">
        <f t="shared" ref="D53:K54" si="0">D23+D25+D27+D29+D31+D33+D35</f>
        <v>0</v>
      </c>
      <c r="E53" s="55">
        <f t="shared" si="0"/>
        <v>0</v>
      </c>
      <c r="F53" s="55">
        <f t="shared" si="0"/>
        <v>0</v>
      </c>
      <c r="G53" s="55">
        <f t="shared" si="0"/>
        <v>0</v>
      </c>
      <c r="H53" s="55">
        <f t="shared" si="0"/>
        <v>0</v>
      </c>
      <c r="I53" s="55">
        <f t="shared" si="0"/>
        <v>0</v>
      </c>
      <c r="J53" s="55">
        <f t="shared" si="0"/>
        <v>0</v>
      </c>
      <c r="K53" s="55">
        <f t="shared" si="0"/>
        <v>0</v>
      </c>
    </row>
    <row r="54" spans="2:66" hidden="1" x14ac:dyDescent="0.55000000000000004">
      <c r="B54" s="56"/>
      <c r="C54" s="55">
        <v>1</v>
      </c>
      <c r="D54" s="55">
        <f t="shared" si="0"/>
        <v>0</v>
      </c>
      <c r="E54" s="55">
        <f t="shared" si="0"/>
        <v>0</v>
      </c>
      <c r="F54" s="55">
        <f t="shared" si="0"/>
        <v>0</v>
      </c>
      <c r="G54" s="55">
        <f t="shared" si="0"/>
        <v>0</v>
      </c>
      <c r="H54" s="55">
        <f t="shared" si="0"/>
        <v>0</v>
      </c>
      <c r="I54" s="55">
        <f t="shared" si="0"/>
        <v>0</v>
      </c>
      <c r="J54" s="55">
        <f t="shared" si="0"/>
        <v>0</v>
      </c>
      <c r="K54" s="55">
        <f t="shared" si="0"/>
        <v>0</v>
      </c>
    </row>
    <row r="55" spans="2:66" hidden="1" x14ac:dyDescent="0.55000000000000004">
      <c r="B55" s="54" t="s">
        <v>1193</v>
      </c>
      <c r="C55" s="55">
        <v>0</v>
      </c>
      <c r="D55" s="55">
        <f t="shared" ref="D55:K56" si="1">D37+D39+D41+D43</f>
        <v>0</v>
      </c>
      <c r="E55" s="55">
        <f t="shared" si="1"/>
        <v>0</v>
      </c>
      <c r="F55" s="55">
        <f t="shared" si="1"/>
        <v>0</v>
      </c>
      <c r="G55" s="55">
        <f t="shared" si="1"/>
        <v>0</v>
      </c>
      <c r="H55" s="55">
        <f t="shared" si="1"/>
        <v>0</v>
      </c>
      <c r="I55" s="55">
        <f t="shared" si="1"/>
        <v>0</v>
      </c>
      <c r="J55" s="55">
        <f t="shared" si="1"/>
        <v>0</v>
      </c>
      <c r="K55" s="55">
        <f t="shared" si="1"/>
        <v>0</v>
      </c>
    </row>
    <row r="56" spans="2:66" hidden="1" x14ac:dyDescent="0.55000000000000004">
      <c r="B56" s="56"/>
      <c r="C56" s="55">
        <v>1</v>
      </c>
      <c r="D56" s="55">
        <f t="shared" si="1"/>
        <v>0</v>
      </c>
      <c r="E56" s="55">
        <f t="shared" si="1"/>
        <v>0</v>
      </c>
      <c r="F56" s="55">
        <f t="shared" si="1"/>
        <v>0</v>
      </c>
      <c r="G56" s="55">
        <f t="shared" si="1"/>
        <v>0</v>
      </c>
      <c r="H56" s="55">
        <f t="shared" si="1"/>
        <v>0</v>
      </c>
      <c r="I56" s="55">
        <f t="shared" si="1"/>
        <v>0</v>
      </c>
      <c r="J56" s="55">
        <f t="shared" si="1"/>
        <v>0</v>
      </c>
      <c r="K56" s="55">
        <f t="shared" si="1"/>
        <v>0</v>
      </c>
    </row>
    <row r="57" spans="2:66" hidden="1" x14ac:dyDescent="0.55000000000000004">
      <c r="B57" s="54" t="s">
        <v>1194</v>
      </c>
      <c r="C57" s="55">
        <v>0</v>
      </c>
      <c r="D57" s="55">
        <f t="shared" ref="D57:K57" si="2">D45+D48</f>
        <v>0</v>
      </c>
      <c r="E57" s="55">
        <f t="shared" si="2"/>
        <v>0</v>
      </c>
      <c r="F57" s="55">
        <f t="shared" si="2"/>
        <v>0</v>
      </c>
      <c r="G57" s="55">
        <f t="shared" si="2"/>
        <v>0</v>
      </c>
      <c r="H57" s="55">
        <f t="shared" si="2"/>
        <v>0</v>
      </c>
      <c r="I57" s="55">
        <f t="shared" si="2"/>
        <v>0</v>
      </c>
      <c r="J57" s="55">
        <f t="shared" si="2"/>
        <v>0</v>
      </c>
      <c r="K57" s="55">
        <f t="shared" si="2"/>
        <v>0</v>
      </c>
    </row>
    <row r="58" spans="2:66" hidden="1" x14ac:dyDescent="0.55000000000000004">
      <c r="B58" s="57"/>
      <c r="C58" s="55">
        <v>1</v>
      </c>
      <c r="D58" s="55">
        <f>D46+D49</f>
        <v>0</v>
      </c>
      <c r="E58" s="55">
        <f t="shared" ref="E58:K59" si="3">E46+E49</f>
        <v>0</v>
      </c>
      <c r="F58" s="55">
        <f t="shared" si="3"/>
        <v>0</v>
      </c>
      <c r="G58" s="55">
        <f t="shared" si="3"/>
        <v>0</v>
      </c>
      <c r="H58" s="55">
        <f t="shared" si="3"/>
        <v>0</v>
      </c>
      <c r="I58" s="55">
        <f t="shared" si="3"/>
        <v>0</v>
      </c>
      <c r="J58" s="55">
        <f t="shared" si="3"/>
        <v>0</v>
      </c>
      <c r="K58" s="55">
        <f t="shared" si="3"/>
        <v>0</v>
      </c>
    </row>
    <row r="59" spans="2:66" hidden="1" x14ac:dyDescent="0.55000000000000004">
      <c r="B59" s="56"/>
      <c r="C59" s="55">
        <v>2</v>
      </c>
      <c r="D59" s="55">
        <f>D47+D50</f>
        <v>0</v>
      </c>
      <c r="E59" s="55">
        <f t="shared" si="3"/>
        <v>0</v>
      </c>
      <c r="F59" s="55">
        <f t="shared" si="3"/>
        <v>0</v>
      </c>
      <c r="G59" s="55">
        <f t="shared" si="3"/>
        <v>0</v>
      </c>
      <c r="H59" s="55">
        <f t="shared" si="3"/>
        <v>0</v>
      </c>
      <c r="I59" s="55">
        <f t="shared" si="3"/>
        <v>0</v>
      </c>
      <c r="J59" s="55">
        <f t="shared" si="3"/>
        <v>0</v>
      </c>
      <c r="K59" s="55">
        <f t="shared" si="3"/>
        <v>0</v>
      </c>
    </row>
    <row r="60" spans="2:66" hidden="1" x14ac:dyDescent="0.55000000000000004">
      <c r="B60" s="58" t="s">
        <v>1195</v>
      </c>
      <c r="C60" s="59"/>
      <c r="D60" s="52">
        <f t="shared" ref="D60:K60" si="4">COUNTIF(D53:D59, "&lt;&gt;0")</f>
        <v>0</v>
      </c>
      <c r="E60" s="52">
        <f t="shared" si="4"/>
        <v>0</v>
      </c>
      <c r="F60" s="52">
        <f t="shared" si="4"/>
        <v>0</v>
      </c>
      <c r="G60" s="52">
        <f t="shared" si="4"/>
        <v>0</v>
      </c>
      <c r="H60" s="52">
        <f t="shared" si="4"/>
        <v>0</v>
      </c>
      <c r="I60" s="52">
        <f t="shared" si="4"/>
        <v>0</v>
      </c>
      <c r="J60" s="52">
        <f t="shared" si="4"/>
        <v>0</v>
      </c>
      <c r="K60" s="52">
        <f t="shared" si="4"/>
        <v>0</v>
      </c>
    </row>
    <row r="62" spans="2:66" x14ac:dyDescent="0.55000000000000004">
      <c r="B62" s="128" t="s">
        <v>430</v>
      </c>
      <c r="C62" s="129"/>
      <c r="D62" s="37" t="s">
        <v>420</v>
      </c>
      <c r="E62" s="37" t="s">
        <v>421</v>
      </c>
      <c r="F62" s="37" t="s">
        <v>422</v>
      </c>
      <c r="G62" s="37" t="s">
        <v>423</v>
      </c>
      <c r="H62" s="37" t="s">
        <v>424</v>
      </c>
      <c r="I62" s="37" t="s">
        <v>425</v>
      </c>
      <c r="J62" s="37" t="s">
        <v>426</v>
      </c>
      <c r="K62" s="37" t="s">
        <v>427</v>
      </c>
      <c r="L62" s="37" t="s">
        <v>428</v>
      </c>
      <c r="M62" s="37" t="s">
        <v>429</v>
      </c>
      <c r="N62" s="37" t="s">
        <v>431</v>
      </c>
      <c r="O62" s="37" t="s">
        <v>432</v>
      </c>
      <c r="P62" s="37" t="s">
        <v>435</v>
      </c>
      <c r="Q62" s="37" t="s">
        <v>436</v>
      </c>
      <c r="R62" s="37" t="s">
        <v>437</v>
      </c>
      <c r="S62" s="37" t="s">
        <v>438</v>
      </c>
      <c r="T62" s="37" t="s">
        <v>439</v>
      </c>
      <c r="U62" s="37" t="s">
        <v>440</v>
      </c>
      <c r="V62" s="37" t="s">
        <v>441</v>
      </c>
      <c r="W62" s="37" t="s">
        <v>442</v>
      </c>
      <c r="X62" s="37" t="s">
        <v>443</v>
      </c>
      <c r="Y62" s="37" t="s">
        <v>444</v>
      </c>
      <c r="Z62" s="37" t="s">
        <v>445</v>
      </c>
      <c r="AA62" s="37" t="s">
        <v>446</v>
      </c>
      <c r="AB62" s="37" t="s">
        <v>447</v>
      </c>
      <c r="AC62" s="37" t="s">
        <v>448</v>
      </c>
      <c r="AD62" s="37" t="s">
        <v>449</v>
      </c>
      <c r="AE62" s="37" t="s">
        <v>450</v>
      </c>
      <c r="AF62" s="37" t="s">
        <v>451</v>
      </c>
      <c r="AG62" s="37" t="s">
        <v>452</v>
      </c>
      <c r="AH62" s="37" t="s">
        <v>453</v>
      </c>
      <c r="AI62" s="37" t="s">
        <v>454</v>
      </c>
      <c r="AJ62" s="37" t="s">
        <v>455</v>
      </c>
      <c r="AK62" s="37" t="s">
        <v>456</v>
      </c>
      <c r="AL62" s="37" t="s">
        <v>457</v>
      </c>
      <c r="AM62" s="37" t="s">
        <v>458</v>
      </c>
      <c r="AN62" s="37" t="s">
        <v>459</v>
      </c>
      <c r="AO62" s="37" t="s">
        <v>460</v>
      </c>
      <c r="AP62" s="37" t="s">
        <v>461</v>
      </c>
      <c r="AQ62" s="37" t="s">
        <v>462</v>
      </c>
      <c r="AR62" s="37" t="s">
        <v>463</v>
      </c>
      <c r="AS62" s="37" t="s">
        <v>464</v>
      </c>
      <c r="AT62" s="37" t="s">
        <v>465</v>
      </c>
      <c r="AU62" s="37" t="s">
        <v>466</v>
      </c>
      <c r="AV62" s="37" t="s">
        <v>467</v>
      </c>
      <c r="AW62" s="37" t="s">
        <v>468</v>
      </c>
      <c r="AX62" s="37" t="s">
        <v>469</v>
      </c>
      <c r="AY62" s="37" t="s">
        <v>470</v>
      </c>
      <c r="AZ62" s="37" t="s">
        <v>471</v>
      </c>
      <c r="BA62" s="37" t="s">
        <v>472</v>
      </c>
      <c r="BB62" s="37" t="s">
        <v>473</v>
      </c>
      <c r="BC62" s="37" t="s">
        <v>474</v>
      </c>
      <c r="BD62" s="37" t="s">
        <v>475</v>
      </c>
      <c r="BE62" s="37" t="s">
        <v>476</v>
      </c>
      <c r="BF62" s="37" t="s">
        <v>477</v>
      </c>
      <c r="BG62" s="37" t="s">
        <v>478</v>
      </c>
      <c r="BH62" s="37" t="s">
        <v>479</v>
      </c>
      <c r="BI62" s="37" t="s">
        <v>480</v>
      </c>
      <c r="BJ62" s="37" t="s">
        <v>481</v>
      </c>
      <c r="BK62" s="37" t="s">
        <v>482</v>
      </c>
      <c r="BL62" s="37" t="s">
        <v>483</v>
      </c>
      <c r="BM62" s="37" t="s">
        <v>484</v>
      </c>
      <c r="BN62" s="37" t="s">
        <v>485</v>
      </c>
    </row>
    <row r="63" spans="2:66" x14ac:dyDescent="0.55000000000000004">
      <c r="B63" s="126" t="s">
        <v>417</v>
      </c>
      <c r="C63" s="38" t="s">
        <v>409</v>
      </c>
      <c r="D63" s="38">
        <f>COUNTIF('PF176'!V10:V185,"PWM0_0")</f>
        <v>0</v>
      </c>
      <c r="E63" s="38">
        <f>COUNTIF('PF176'!V10:V185,"PWM0_1")</f>
        <v>0</v>
      </c>
      <c r="F63" s="38">
        <f>COUNTIF('PF176'!V10:V185,"PWM0_2")</f>
        <v>0</v>
      </c>
      <c r="G63" s="38">
        <f>COUNTIF('PF176'!V10:V185,"PWM0_3")</f>
        <v>0</v>
      </c>
      <c r="H63" s="38">
        <f>COUNTIF('PF176'!V10:V185,"PWM0_4")</f>
        <v>0</v>
      </c>
      <c r="I63" s="38">
        <f>COUNTIF('PF176'!V10:V185,"PWM0_5")</f>
        <v>0</v>
      </c>
      <c r="J63" s="38">
        <f>COUNTIF('PF176'!V10:V185,"PWM0_6")</f>
        <v>0</v>
      </c>
      <c r="K63" s="38">
        <f>COUNTIF('PF176'!V10:V185,"PWM0_7")</f>
        <v>0</v>
      </c>
      <c r="L63" s="38">
        <f>COUNTIF('PF176'!V10:V185,"PWM0_8")</f>
        <v>0</v>
      </c>
      <c r="M63" s="38">
        <f>COUNTIF('PF176'!V10:V185,"PWM0_9")</f>
        <v>0</v>
      </c>
      <c r="N63" s="38">
        <f>COUNTIF('PF176'!V10:V185,"PWM0_10")</f>
        <v>0</v>
      </c>
      <c r="O63" s="38">
        <f>COUNTIF('PF176'!V10:V185,"PWM0_11")</f>
        <v>0</v>
      </c>
      <c r="P63" s="38">
        <f>COUNTIF('PF176'!V10:V185,"PWM0_12")</f>
        <v>0</v>
      </c>
      <c r="Q63" s="38">
        <f>COUNTIF('PF176'!V10:V185,"PWM0_13")</f>
        <v>0</v>
      </c>
      <c r="R63" s="38">
        <f>COUNTIF('PF176'!V10:V185,"PWM0_14")</f>
        <v>0</v>
      </c>
      <c r="S63" s="38">
        <f>COUNTIF('PF176'!V10:V185,"PWM0_15")</f>
        <v>0</v>
      </c>
      <c r="T63" s="38">
        <f>COUNTIF('PF176'!V10:V185,"PWM0_16")</f>
        <v>0</v>
      </c>
      <c r="U63" s="38">
        <f>COUNTIF('PF176'!V10:V185,"PWM0_17")</f>
        <v>0</v>
      </c>
      <c r="V63" s="38">
        <f>COUNTIF('PF176'!V10:V185,"PWM0_18")</f>
        <v>0</v>
      </c>
      <c r="W63" s="38">
        <f>COUNTIF('PF176'!V10:V185,"PWM0_19")</f>
        <v>0</v>
      </c>
      <c r="X63" s="38">
        <f>COUNTIF('PF176'!V10:V185,"PWM0_20")</f>
        <v>0</v>
      </c>
      <c r="Y63" s="38">
        <f>COUNTIF('PF176'!V10:V185,"PWM0_21")</f>
        <v>0</v>
      </c>
      <c r="Z63" s="38">
        <f>COUNTIF('PF176'!V10:V185,"PWM0_22")</f>
        <v>0</v>
      </c>
      <c r="AA63" s="38">
        <f>COUNTIF('PF176'!V10:V185,"PWM0_23")</f>
        <v>0</v>
      </c>
      <c r="AB63" s="38">
        <f>COUNTIF('PF176'!V10:V185,"PWM0_24")</f>
        <v>0</v>
      </c>
      <c r="AC63" s="38">
        <f>COUNTIF('PF176'!V10:V185,"PWM0_25")</f>
        <v>0</v>
      </c>
      <c r="AD63" s="38">
        <f>COUNTIF('PF176'!V10:V185,"PWM0_26")</f>
        <v>0</v>
      </c>
      <c r="AE63" s="38">
        <f>COUNTIF('PF176'!V10:V185,"PWM0_27")</f>
        <v>0</v>
      </c>
      <c r="AF63" s="38">
        <f>COUNTIF('PF176'!V10:V185,"PWM0_28")</f>
        <v>0</v>
      </c>
      <c r="AG63" s="38">
        <f>COUNTIF('PF176'!V10:V185,"PWM0_29")</f>
        <v>0</v>
      </c>
      <c r="AH63" s="38">
        <f>COUNTIF('PF176'!V10:V185,"PWM0_30")</f>
        <v>0</v>
      </c>
      <c r="AI63" s="38">
        <f>COUNTIF('PF176'!V10:V185,"PWM0_31")</f>
        <v>0</v>
      </c>
      <c r="AJ63" s="38">
        <f>COUNTIF('PF176'!V10:V185,"PWM0_32")</f>
        <v>0</v>
      </c>
      <c r="AK63" s="38">
        <f>COUNTIF('PF176'!V10:V185,"PWM0_33")</f>
        <v>0</v>
      </c>
      <c r="AL63" s="38">
        <f>COUNTIF('PF176'!V10:V185,"PWM0_34")</f>
        <v>0</v>
      </c>
      <c r="AM63" s="38">
        <f>COUNTIF('PF176'!V10:V185,"PWM0_35")</f>
        <v>0</v>
      </c>
      <c r="AN63" s="38">
        <f>COUNTIF('PF176'!V10:V185,"PWM0_36")</f>
        <v>0</v>
      </c>
      <c r="AO63" s="38">
        <f>COUNTIF('PF176'!V10:V185,"PWM0_37")</f>
        <v>0</v>
      </c>
      <c r="AP63" s="38">
        <f>COUNTIF('PF176'!V10:V185,"PWM0_38")</f>
        <v>0</v>
      </c>
      <c r="AQ63" s="38">
        <f>COUNTIF('PF176'!V10:V185,"PWM0_39")</f>
        <v>0</v>
      </c>
      <c r="AR63" s="38">
        <f>COUNTIF('PF176'!V10:V185,"PWM0_40")</f>
        <v>0</v>
      </c>
      <c r="AS63" s="38">
        <f>COUNTIF('PF176'!V10:V185,"PWM0_41")</f>
        <v>0</v>
      </c>
      <c r="AT63" s="38">
        <f>COUNTIF('PF176'!V10:V185,"PWM0_42")</f>
        <v>0</v>
      </c>
      <c r="AU63" s="38">
        <f>COUNTIF('PF176'!V10:V185,"PWM0_43")</f>
        <v>0</v>
      </c>
      <c r="AV63" s="38">
        <f>COUNTIF('PF176'!V10:V185,"PWM0_44")</f>
        <v>0</v>
      </c>
      <c r="AW63" s="38">
        <f>COUNTIF('PF176'!V10:V185,"PWM0_45")</f>
        <v>0</v>
      </c>
      <c r="AX63" s="38">
        <f>COUNTIF('PF176'!V10:V185,"PWM0_46")</f>
        <v>0</v>
      </c>
      <c r="AY63" s="38">
        <f>COUNTIF('PF176'!V10:V185,"PWM0_47")</f>
        <v>0</v>
      </c>
      <c r="AZ63" s="38">
        <f>COUNTIF('PF176'!V10:V185,"PWM0_48")</f>
        <v>0</v>
      </c>
      <c r="BA63" s="38">
        <f>COUNTIF('PF176'!V10:V185,"PWM0_49")</f>
        <v>0</v>
      </c>
      <c r="BB63" s="38">
        <f>COUNTIF('PF176'!V10:V185,"PWM0_50")</f>
        <v>0</v>
      </c>
      <c r="BC63" s="38">
        <f>COUNTIF('PF176'!V10:V185,"PWM0_51")</f>
        <v>0</v>
      </c>
      <c r="BD63" s="38">
        <f>COUNTIF('PF176'!V10:V185,"PWM0_52")</f>
        <v>0</v>
      </c>
      <c r="BE63" s="38">
        <f>COUNTIF('PF176'!V10:V185,"PWM0_53")</f>
        <v>0</v>
      </c>
      <c r="BF63" s="38">
        <f>COUNTIF('PF176'!V10:V185,"PWM0_54")</f>
        <v>0</v>
      </c>
      <c r="BG63" s="38">
        <f>COUNTIF('PF176'!V10:V185,"PWM0_55")</f>
        <v>0</v>
      </c>
      <c r="BH63" s="38">
        <f>COUNTIF('PF176'!V10:V185,"PWM0_56")</f>
        <v>0</v>
      </c>
      <c r="BI63" s="38">
        <f>COUNTIF('PF176'!V10:V185,"PWM0_57")</f>
        <v>0</v>
      </c>
      <c r="BJ63" s="38">
        <f>COUNTIF('PF176'!V10:V185,"PWM0_58")</f>
        <v>0</v>
      </c>
      <c r="BK63" s="38">
        <f>COUNTIF('PF176'!V10:V185,"PWM0_59")</f>
        <v>0</v>
      </c>
      <c r="BL63" s="38">
        <f>COUNTIF('PF176'!V10:V185,"PWM0_60")</f>
        <v>0</v>
      </c>
      <c r="BM63" s="38">
        <f>COUNTIF('PF176'!V10:V185,"PWM0_61")</f>
        <v>0</v>
      </c>
      <c r="BN63" s="38">
        <f>COUNTIF('PF176'!V10:V185,"PWM0_62")</f>
        <v>0</v>
      </c>
    </row>
    <row r="64" spans="2:66" x14ac:dyDescent="0.55000000000000004">
      <c r="B64" s="127"/>
      <c r="C64" s="38" t="s">
        <v>412</v>
      </c>
      <c r="D64" s="38">
        <f>COUNTIF('PF176'!V10:V185,"PWM0_0_N")</f>
        <v>0</v>
      </c>
      <c r="E64" s="38">
        <f>COUNTIF('PF176'!V10:V185,"PWM0_1_N")</f>
        <v>0</v>
      </c>
      <c r="F64" s="38">
        <f>COUNTIF('PF176'!V10:V185,"PWM0_2_N")</f>
        <v>0</v>
      </c>
      <c r="G64" s="38">
        <f>COUNTIF('PF176'!V10:V185,"PWM0_3_N")</f>
        <v>0</v>
      </c>
      <c r="H64" s="38">
        <f>COUNTIF('PF176'!V10:V185,"PWM0_4_N")</f>
        <v>0</v>
      </c>
      <c r="I64" s="38">
        <f>COUNTIF('PF176'!V10:V185,"PWM0_5_N")</f>
        <v>0</v>
      </c>
      <c r="J64" s="38">
        <f>COUNTIF('PF176'!V10:V185,"PWM0_6_N")</f>
        <v>0</v>
      </c>
      <c r="K64" s="38">
        <f>COUNTIF('PF176'!V10:V185,"PWM0_7_N")</f>
        <v>0</v>
      </c>
      <c r="L64" s="38">
        <f>COUNTIF('PF176'!V10:V185,"PWM0_8_N")</f>
        <v>0</v>
      </c>
      <c r="M64" s="38">
        <f>COUNTIF('PF176'!V10:V185,"PWM0_9_N")</f>
        <v>0</v>
      </c>
      <c r="N64" s="38">
        <f>COUNTIF('PF176'!V10:V185,"PWM0_10_N")</f>
        <v>0</v>
      </c>
      <c r="O64" s="38">
        <f>COUNTIF('PF176'!V10:V185,"PWM0_11_N")</f>
        <v>0</v>
      </c>
      <c r="P64" s="38">
        <f>COUNTIF('PF176'!V10:V185,"PWM0_12_N")</f>
        <v>0</v>
      </c>
      <c r="Q64" s="38">
        <f>COUNTIF('PF176'!V10:V185,"PWM0_13_N")</f>
        <v>0</v>
      </c>
      <c r="R64" s="38">
        <f>COUNTIF('PF176'!V10:V185,"PWM0_14_N")</f>
        <v>0</v>
      </c>
      <c r="S64" s="38">
        <f>COUNTIF('PF176'!V10:V185,"PWM0_15_N")</f>
        <v>0</v>
      </c>
      <c r="T64" s="38">
        <f>COUNTIF('PF176'!V10:V185,"PWM0_16_N")</f>
        <v>0</v>
      </c>
      <c r="U64" s="38">
        <f>COUNTIF('PF176'!V10:V185,"PWM0_17_N")</f>
        <v>0</v>
      </c>
      <c r="V64" s="38">
        <f>COUNTIF('PF176'!V10:V185,"PWM0_18_N")</f>
        <v>0</v>
      </c>
      <c r="W64" s="38">
        <f>COUNTIF('PF176'!V10:V185,"PWM0_19_N")</f>
        <v>0</v>
      </c>
      <c r="X64" s="38">
        <f>COUNTIF('PF176'!V10:V185,"PWM0_20_N")</f>
        <v>0</v>
      </c>
      <c r="Y64" s="38">
        <f>COUNTIF('PF176'!V10:V185,"PWM0_21_N")</f>
        <v>0</v>
      </c>
      <c r="Z64" s="38">
        <f>COUNTIF('PF176'!V10:V185,"PWM0_22_N")</f>
        <v>0</v>
      </c>
      <c r="AA64" s="38">
        <f>COUNTIF('PF176'!V10:V185,"PWM0_23_N")</f>
        <v>0</v>
      </c>
      <c r="AB64" s="38">
        <f>COUNTIF('PF176'!V10:V185,"PWM0_24_N")</f>
        <v>0</v>
      </c>
      <c r="AC64" s="38">
        <f>COUNTIF('PF176'!V10:V185,"PWM0_25_N")</f>
        <v>0</v>
      </c>
      <c r="AD64" s="38">
        <f>COUNTIF('PF176'!V10:V185,"PWM0_26_N")</f>
        <v>0</v>
      </c>
      <c r="AE64" s="38">
        <f>COUNTIF('PF176'!V10:V185,"PWM0_27_N")</f>
        <v>0</v>
      </c>
      <c r="AF64" s="38">
        <f>COUNTIF('PF176'!V10:V185,"PWM0_28_N")</f>
        <v>0</v>
      </c>
      <c r="AG64" s="38">
        <f>COUNTIF('PF176'!V10:V185,"PWM0_29_N")</f>
        <v>0</v>
      </c>
      <c r="AH64" s="38">
        <f>COUNTIF('PF176'!V10:V185,"PWM0_30_N")</f>
        <v>0</v>
      </c>
      <c r="AI64" s="38">
        <f>COUNTIF('PF176'!V10:V185,"PWM0_31_N")</f>
        <v>0</v>
      </c>
      <c r="AJ64" s="38">
        <f>COUNTIF('PF176'!V10:V185,"PWM0_32_N")</f>
        <v>0</v>
      </c>
      <c r="AK64" s="38">
        <f>COUNTIF('PF176'!V10:V185,"PWM0_33_N")</f>
        <v>0</v>
      </c>
      <c r="AL64" s="38">
        <f>COUNTIF('PF176'!V10:V185,"PWM0_34_N")</f>
        <v>0</v>
      </c>
      <c r="AM64" s="38">
        <f>COUNTIF('PF176'!V10:V185,"PWM0_35_N")</f>
        <v>0</v>
      </c>
      <c r="AN64" s="38">
        <f>COUNTIF('PF176'!V10:V185,"PWM0_36_N")</f>
        <v>0</v>
      </c>
      <c r="AO64" s="38">
        <f>COUNTIF('PF176'!V10:V185,"PWM0_37_N")</f>
        <v>0</v>
      </c>
      <c r="AP64" s="38">
        <f>COUNTIF('PF176'!V10:V185,"PWM0_38_N")</f>
        <v>0</v>
      </c>
      <c r="AQ64" s="38">
        <f>COUNTIF('PF176'!V10:V185,"PWM0_39_N")</f>
        <v>0</v>
      </c>
      <c r="AR64" s="38">
        <f>COUNTIF('PF176'!V10:V185,"PWM0_40_N")</f>
        <v>0</v>
      </c>
      <c r="AS64" s="38">
        <f>COUNTIF('PF176'!V10:V185,"PWM0_41_N")</f>
        <v>0</v>
      </c>
      <c r="AT64" s="38">
        <f>COUNTIF('PF176'!V10:V185,"PWM0_42_N")</f>
        <v>0</v>
      </c>
      <c r="AU64" s="38">
        <f>COUNTIF('PF176'!V10:V185,"PWM0_43_N")</f>
        <v>0</v>
      </c>
      <c r="AV64" s="38">
        <f>COUNTIF('PF176'!V10:V185,"PWM0_44_N")</f>
        <v>0</v>
      </c>
      <c r="AW64" s="38">
        <f>COUNTIF('PF176'!V10:V185,"PWM0_45_N")</f>
        <v>0</v>
      </c>
      <c r="AX64" s="38">
        <f>COUNTIF('PF176'!V10:V185,"PWM0_46_N")</f>
        <v>0</v>
      </c>
      <c r="AY64" s="38">
        <f>COUNTIF('PF176'!V10:V185,"PWM0_47_N")</f>
        <v>0</v>
      </c>
      <c r="AZ64" s="38">
        <f>COUNTIF('PF176'!V10:V185,"PWM0_48_N")</f>
        <v>0</v>
      </c>
      <c r="BA64" s="38">
        <f>COUNTIF('PF176'!V10:V185,"PWM0_49_N")</f>
        <v>0</v>
      </c>
      <c r="BB64" s="38">
        <f>COUNTIF('PF176'!V10:V185,"PWM0_50_N")</f>
        <v>0</v>
      </c>
      <c r="BC64" s="38">
        <f>COUNTIF('PF176'!V10:V185,"PWM0_51_N")</f>
        <v>0</v>
      </c>
      <c r="BD64" s="38">
        <f>COUNTIF('PF176'!V10:V185,"PWM0_52_N")</f>
        <v>0</v>
      </c>
      <c r="BE64" s="38">
        <f>COUNTIF('PF176'!V10:V185,"PWM0_53_N")</f>
        <v>0</v>
      </c>
      <c r="BF64" s="38">
        <f>COUNTIF('PF176'!V10:V185,"PWM0_54_N")</f>
        <v>0</v>
      </c>
      <c r="BG64" s="38">
        <f>COUNTIF('PF176'!V10:V185,"PWM0_55_N")</f>
        <v>0</v>
      </c>
      <c r="BH64" s="38">
        <f>COUNTIF('PF176'!V10:V185,"PWM0_56_N")</f>
        <v>0</v>
      </c>
      <c r="BI64" s="38">
        <f>COUNTIF('PF176'!V10:V185,"PWM0_57_N")</f>
        <v>0</v>
      </c>
      <c r="BJ64" s="38">
        <f>COUNTIF('PF176'!V10:V185,"PWM0_58_N")</f>
        <v>0</v>
      </c>
      <c r="BK64" s="38">
        <f>COUNTIF('PF176'!V10:V185,"PWM0_59_N")</f>
        <v>0</v>
      </c>
      <c r="BL64" s="38">
        <f>COUNTIF('PF176'!V10:V185,"PWM0_60_N")</f>
        <v>0</v>
      </c>
      <c r="BM64" s="38">
        <f>COUNTIF('PF176'!V10:V185,"PWM0_61_N")</f>
        <v>0</v>
      </c>
      <c r="BN64" s="38">
        <f>COUNTIF('PF176'!V10:V185,"PWM0_62_N")</f>
        <v>0</v>
      </c>
    </row>
    <row r="65" spans="2:66" x14ac:dyDescent="0.55000000000000004">
      <c r="B65" s="126" t="s">
        <v>418</v>
      </c>
      <c r="C65" s="38" t="s">
        <v>410</v>
      </c>
      <c r="D65" s="38">
        <f>COUNTIF('PF176'!V10:V185,"TC0_0_TR0")</f>
        <v>0</v>
      </c>
      <c r="E65" s="38">
        <f>COUNTIF('PF176'!V10:V185,"TC0_1_TR0")</f>
        <v>0</v>
      </c>
      <c r="F65" s="38">
        <f>COUNTIF('PF176'!V10:V185,"TC0_2_TR0")</f>
        <v>0</v>
      </c>
      <c r="G65" s="38">
        <f>COUNTIF('PF176'!V10:V185,"TC0_3_TR0")</f>
        <v>0</v>
      </c>
      <c r="H65" s="38">
        <f>COUNTIF('PF176'!V10:V185,"TC0_4_TR0")</f>
        <v>0</v>
      </c>
      <c r="I65" s="38">
        <f>COUNTIF('PF176'!V10:V185,"TC0_5_TR0")</f>
        <v>0</v>
      </c>
      <c r="J65" s="38">
        <f>COUNTIF('PF176'!V10:V185,"TC0_6_TR0")</f>
        <v>0</v>
      </c>
      <c r="K65" s="38">
        <f>COUNTIF('PF176'!V10:V185,"TC0_7_TR0")</f>
        <v>0</v>
      </c>
      <c r="L65" s="38">
        <f>COUNTIF('PF176'!V10:V185,"TC0_8_TR0")</f>
        <v>0</v>
      </c>
      <c r="M65" s="38">
        <f>COUNTIF('PF176'!V10:V185,"TC0_9_TR0")</f>
        <v>0</v>
      </c>
      <c r="N65" s="38">
        <f>COUNTIF('PF176'!V10:V185,"TC0_10_TR0")</f>
        <v>0</v>
      </c>
      <c r="O65" s="38">
        <f>COUNTIF('PF176'!V10:V185,"TC0_11_TR0")</f>
        <v>0</v>
      </c>
      <c r="P65" s="38">
        <f>COUNTIF('PF176'!V10:V185,"TC0_12_TR0")</f>
        <v>0</v>
      </c>
      <c r="Q65" s="38">
        <f>COUNTIF('PF176'!V10:V185,"TC0_13_TR0")</f>
        <v>0</v>
      </c>
      <c r="R65" s="38">
        <f>COUNTIF('PF176'!V10:V185,"TC0_14_TR0")</f>
        <v>0</v>
      </c>
      <c r="S65" s="38">
        <f>COUNTIF('PF176'!V10:V185,"TC0_15_TR0")</f>
        <v>0</v>
      </c>
      <c r="T65" s="38">
        <f>COUNTIF('PF176'!V10:V185,"TC0_16_TR0")</f>
        <v>0</v>
      </c>
      <c r="U65" s="38">
        <f>COUNTIF('PF176'!V10:V185,"TC0_17_TR0")</f>
        <v>0</v>
      </c>
      <c r="V65" s="38">
        <f>COUNTIF('PF176'!V10:V185,"TC0_18_TR0")</f>
        <v>0</v>
      </c>
      <c r="W65" s="38">
        <f>COUNTIF('PF176'!V10:V185,"TC0_19_TR0")</f>
        <v>0</v>
      </c>
      <c r="X65" s="38">
        <f>COUNTIF('PF176'!V10:V185,"TC0_20_TR0")</f>
        <v>0</v>
      </c>
      <c r="Y65" s="38">
        <f>COUNTIF('PF176'!V10:V185,"TC0_21_TR0")</f>
        <v>0</v>
      </c>
      <c r="Z65" s="38">
        <f>COUNTIF('PF176'!V10:V185,"TC0_22_TR0")</f>
        <v>0</v>
      </c>
      <c r="AA65" s="38">
        <f>COUNTIF('PF176'!V10:V185,"TC0_23_TR0")</f>
        <v>0</v>
      </c>
      <c r="AB65" s="38">
        <f>COUNTIF('PF176'!V10:V185,"TC0_24_TR0")</f>
        <v>0</v>
      </c>
      <c r="AC65" s="38">
        <f>COUNTIF('PF176'!V10:V185,"TC0_25_TR0")</f>
        <v>0</v>
      </c>
      <c r="AD65" s="38">
        <f>COUNTIF('PF176'!V10:V185,"TC0_26_TR0")</f>
        <v>0</v>
      </c>
      <c r="AE65" s="38">
        <f>COUNTIF('PF176'!V10:V185,"TC0_27_TR0")</f>
        <v>0</v>
      </c>
      <c r="AF65" s="38">
        <f>COUNTIF('PF176'!V10:V185,"TC0_28_TR0")</f>
        <v>0</v>
      </c>
      <c r="AG65" s="38">
        <f>COUNTIF('PF176'!V10:V185,"TC0_29_TR0")</f>
        <v>0</v>
      </c>
      <c r="AH65" s="38">
        <f>COUNTIF('PF176'!V10:V185,"TC0_30_TR0")</f>
        <v>0</v>
      </c>
      <c r="AI65" s="38">
        <f>COUNTIF('PF176'!V10:V185,"TC0_31_TR0")</f>
        <v>0</v>
      </c>
      <c r="AJ65" s="38">
        <f>COUNTIF('PF176'!V10:V185,"TC0_32_TR0")</f>
        <v>0</v>
      </c>
      <c r="AK65" s="38">
        <f>COUNTIF('PF176'!V10:V185,"TC0_33_TR0")</f>
        <v>0</v>
      </c>
      <c r="AL65" s="38">
        <f>COUNTIF('PF176'!V10:V185,"TC0_34_TR0")</f>
        <v>0</v>
      </c>
      <c r="AM65" s="38">
        <f>COUNTIF('PF176'!V10:V185,"TC0_35_TR0")</f>
        <v>0</v>
      </c>
      <c r="AN65" s="38">
        <f>COUNTIF('PF176'!V10:V185,"TC0_36_TR0")</f>
        <v>0</v>
      </c>
      <c r="AO65" s="38">
        <f>COUNTIF('PF176'!V10:V185,"TC0_37_TR0")</f>
        <v>0</v>
      </c>
      <c r="AP65" s="38">
        <f>COUNTIF('PF176'!V10:V185,"TC0_38_TR0")</f>
        <v>0</v>
      </c>
      <c r="AQ65" s="38">
        <f>COUNTIF('PF176'!V10:V185,"TC0_39_TR0")</f>
        <v>0</v>
      </c>
      <c r="AR65" s="38">
        <f>COUNTIF('PF176'!V10:V185,"TC0_40_TR0")</f>
        <v>0</v>
      </c>
      <c r="AS65" s="38">
        <f>COUNTIF('PF176'!V10:V185,"TC0_41_TR0")</f>
        <v>0</v>
      </c>
      <c r="AT65" s="38">
        <f>COUNTIF('PF176'!V10:V185,"TC0_42_TR0")</f>
        <v>0</v>
      </c>
      <c r="AU65" s="38">
        <f>COUNTIF('PF176'!V10:V185,"TC0_43_TR0")</f>
        <v>0</v>
      </c>
      <c r="AV65" s="38">
        <f>COUNTIF('PF176'!V10:V185,"TC0_44_TR0")</f>
        <v>0</v>
      </c>
      <c r="AW65" s="38">
        <f>COUNTIF('PF176'!V10:V185,"TC0_45_TR0")</f>
        <v>0</v>
      </c>
      <c r="AX65" s="38">
        <f>COUNTIF('PF176'!V10:V185,"TC0_46_TR0")</f>
        <v>0</v>
      </c>
      <c r="AY65" s="38">
        <f>COUNTIF('PF176'!V10:V185,"TC0_47_TR0")</f>
        <v>0</v>
      </c>
      <c r="AZ65" s="38">
        <f>COUNTIF('PF176'!V10:V185,"TC0_48_TR0")</f>
        <v>0</v>
      </c>
      <c r="BA65" s="38">
        <f>COUNTIF('PF176'!V10:V185,"TC0_49_TR0")</f>
        <v>0</v>
      </c>
      <c r="BB65" s="38">
        <f>COUNTIF('PF176'!V10:V185,"TC0_50_TR0")</f>
        <v>0</v>
      </c>
      <c r="BC65" s="38">
        <f>COUNTIF('PF176'!V10:V185,"TC0_51_TR0")</f>
        <v>0</v>
      </c>
      <c r="BD65" s="38">
        <f>COUNTIF('PF176'!V10:V185,"TC0_52_TR0")</f>
        <v>0</v>
      </c>
      <c r="BE65" s="38">
        <f>COUNTIF('PF176'!V10:V185,"TC0_53_TR0")</f>
        <v>0</v>
      </c>
      <c r="BF65" s="38">
        <f>COUNTIF('PF176'!V10:V185,"TC0_54_TR0")</f>
        <v>0</v>
      </c>
      <c r="BG65" s="38">
        <f>COUNTIF('PF176'!V10:V185,"TC0_55_TR0")</f>
        <v>0</v>
      </c>
      <c r="BH65" s="38">
        <f>COUNTIF('PF176'!V10:V185,"TC0_56_TR0")</f>
        <v>0</v>
      </c>
      <c r="BI65" s="38">
        <f>COUNTIF('PF176'!V10:V185,"TC0_57_TR0")</f>
        <v>0</v>
      </c>
      <c r="BJ65" s="38">
        <f>COUNTIF('PF176'!V10:V185,"TC0_58_TR0")</f>
        <v>0</v>
      </c>
      <c r="BK65" s="38">
        <f>COUNTIF('PF176'!V10:V185,"TC0_59_TR0")</f>
        <v>0</v>
      </c>
      <c r="BL65" s="38">
        <f>COUNTIF('PF176'!V10:V185,"TC0_60_TR0")</f>
        <v>0</v>
      </c>
      <c r="BM65" s="38">
        <f>COUNTIF('PF176'!V10:V185,"TC0_61_TR0")</f>
        <v>0</v>
      </c>
      <c r="BN65" s="38">
        <f>COUNTIF('PF176'!V10:V185,"TC0_62_TR0")</f>
        <v>0</v>
      </c>
    </row>
    <row r="66" spans="2:66" x14ac:dyDescent="0.55000000000000004">
      <c r="B66" s="127"/>
      <c r="C66" s="38" t="s">
        <v>411</v>
      </c>
      <c r="D66" s="38">
        <f>COUNTIF('PF176'!V10:V185,"TC0_0_TR1")</f>
        <v>0</v>
      </c>
      <c r="E66" s="38">
        <f>COUNTIF('PF176'!V10:V185,"TC0_1_TR1")</f>
        <v>0</v>
      </c>
      <c r="F66" s="38">
        <f>COUNTIF('PF176'!V10:V185,"TC0_2_TR1")</f>
        <v>0</v>
      </c>
      <c r="G66" s="38">
        <f>COUNTIF('PF176'!V10:V185,"TC0_3_TR1")</f>
        <v>0</v>
      </c>
      <c r="H66" s="38">
        <f>COUNTIF('PF176'!V10:V185,"TC0_4_TR1")</f>
        <v>0</v>
      </c>
      <c r="I66" s="38">
        <f>COUNTIF('PF176'!V10:V185,"TC0_5_TR1")</f>
        <v>0</v>
      </c>
      <c r="J66" s="38">
        <f>COUNTIF('PF176'!V10:V185,"TC0_6_TR1")</f>
        <v>0</v>
      </c>
      <c r="K66" s="38">
        <f>COUNTIF('PF176'!V10:V185,"TC0_7_TR1")</f>
        <v>0</v>
      </c>
      <c r="L66" s="38">
        <f>COUNTIF('PF176'!V10:V185,"TC0_8_TR1")</f>
        <v>0</v>
      </c>
      <c r="M66" s="38">
        <f>COUNTIF('PF176'!V10:V185,"TC0_9_TR1")</f>
        <v>0</v>
      </c>
      <c r="N66" s="38">
        <f>COUNTIF('PF176'!V10:V185,"TC0_10_TR1")</f>
        <v>0</v>
      </c>
      <c r="O66" s="38">
        <f>COUNTIF('PF176'!V10:V185,"TC0_11_TR1")</f>
        <v>0</v>
      </c>
      <c r="P66" s="38">
        <f>COUNTIF('PF176'!V10:V185,"TC0_12_TR1")</f>
        <v>0</v>
      </c>
      <c r="Q66" s="38">
        <f>COUNTIF('PF176'!V10:V185,"TC0_13_TR1")</f>
        <v>0</v>
      </c>
      <c r="R66" s="38">
        <f>COUNTIF('PF176'!V10:V185,"TC0_14_TR1")</f>
        <v>0</v>
      </c>
      <c r="S66" s="38">
        <f>COUNTIF('PF176'!V10:V185,"TC0_15_TR1")</f>
        <v>0</v>
      </c>
      <c r="T66" s="38">
        <f>COUNTIF('PF176'!V10:V185,"TC0_16_TR1")</f>
        <v>0</v>
      </c>
      <c r="U66" s="38">
        <f>COUNTIF('PF176'!V10:V185,"TC0_17_TR1")</f>
        <v>0</v>
      </c>
      <c r="V66" s="38">
        <f>COUNTIF('PF176'!V10:V185,"TC0_18_TR1")</f>
        <v>0</v>
      </c>
      <c r="W66" s="38">
        <f>COUNTIF('PF176'!V10:V185,"TC0_19_TR1")</f>
        <v>0</v>
      </c>
      <c r="X66" s="38">
        <f>COUNTIF('PF176'!V10:V185,"TC0_20_TR1")</f>
        <v>0</v>
      </c>
      <c r="Y66" s="38">
        <f>COUNTIF('PF176'!V10:V185,"TC0_21_TR1")</f>
        <v>0</v>
      </c>
      <c r="Z66" s="38">
        <f>COUNTIF('PF176'!V10:V185,"TC0_22_TR1")</f>
        <v>0</v>
      </c>
      <c r="AA66" s="38">
        <f>COUNTIF('PF176'!V10:V185,"TC0_23_TR1")</f>
        <v>0</v>
      </c>
      <c r="AB66" s="38">
        <f>COUNTIF('PF176'!V10:V185,"TC0_24_TR1")</f>
        <v>0</v>
      </c>
      <c r="AC66" s="38">
        <f>COUNTIF('PF176'!V10:V185,"TC0_25_TR1")</f>
        <v>0</v>
      </c>
      <c r="AD66" s="38">
        <f>COUNTIF('PF176'!V10:V185,"TC0_26_TR1")</f>
        <v>0</v>
      </c>
      <c r="AE66" s="38">
        <f>COUNTIF('PF176'!V10:V185,"TC0_27_TR1")</f>
        <v>0</v>
      </c>
      <c r="AF66" s="38">
        <f>COUNTIF('PF176'!V10:V185,"TC0_28_TR1")</f>
        <v>0</v>
      </c>
      <c r="AG66" s="38">
        <f>COUNTIF('PF176'!V10:V185,"TC0_29_TR1")</f>
        <v>0</v>
      </c>
      <c r="AH66" s="38">
        <f>COUNTIF('PF176'!V10:V185,"TC0_30_TR1")</f>
        <v>0</v>
      </c>
      <c r="AI66" s="38">
        <f>COUNTIF('PF176'!V10:V185,"TC0_31_TR1")</f>
        <v>0</v>
      </c>
      <c r="AJ66" s="38">
        <f>COUNTIF('PF176'!V10:V185,"TC0_32_TR1")</f>
        <v>0</v>
      </c>
      <c r="AK66" s="38">
        <f>COUNTIF('PF176'!V10:V185,"TC0_33_TR1")</f>
        <v>0</v>
      </c>
      <c r="AL66" s="38">
        <f>COUNTIF('PF176'!V10:V185,"TC0_34_TR1")</f>
        <v>0</v>
      </c>
      <c r="AM66" s="38">
        <f>COUNTIF('PF176'!V10:V185,"TC0_35_TR1")</f>
        <v>0</v>
      </c>
      <c r="AN66" s="38">
        <f>COUNTIF('PF176'!V10:V185,"TC0_36_TR1")</f>
        <v>0</v>
      </c>
      <c r="AO66" s="38">
        <f>COUNTIF('PF176'!V10:V185,"TC0_37_TR1")</f>
        <v>0</v>
      </c>
      <c r="AP66" s="38">
        <f>COUNTIF('PF176'!V10:V185,"TC0_38_TR1")</f>
        <v>0</v>
      </c>
      <c r="AQ66" s="38">
        <f>COUNTIF('PF176'!V10:V185,"TC0_39_TR1")</f>
        <v>0</v>
      </c>
      <c r="AR66" s="38">
        <f>COUNTIF('PF176'!V10:V185,"TC0_40_TR1")</f>
        <v>0</v>
      </c>
      <c r="AS66" s="38">
        <f>COUNTIF('PF176'!V10:V185,"TC0_41_TR1")</f>
        <v>0</v>
      </c>
      <c r="AT66" s="38">
        <f>COUNTIF('PF176'!V10:V185,"TC0_42_TR1")</f>
        <v>0</v>
      </c>
      <c r="AU66" s="38">
        <f>COUNTIF('PF176'!V10:V185,"TC0_43_TR1")</f>
        <v>0</v>
      </c>
      <c r="AV66" s="38">
        <f>COUNTIF('PF176'!V10:V185,"TC0_44_TR1")</f>
        <v>0</v>
      </c>
      <c r="AW66" s="38">
        <f>COUNTIF('PF176'!V10:V185,"TC0_45_TR1")</f>
        <v>0</v>
      </c>
      <c r="AX66" s="38">
        <f>COUNTIF('PF176'!V10:V185,"TC0_46_TR1")</f>
        <v>0</v>
      </c>
      <c r="AY66" s="38">
        <f>COUNTIF('PF176'!V10:V185,"TC0_47_TR1")</f>
        <v>0</v>
      </c>
      <c r="AZ66" s="38">
        <f>COUNTIF('PF176'!V10:V185,"TC0_48_TR1")</f>
        <v>0</v>
      </c>
      <c r="BA66" s="38">
        <f>COUNTIF('PF176'!V10:V185,"TC0_49_TR1")</f>
        <v>0</v>
      </c>
      <c r="BB66" s="38">
        <f>COUNTIF('PF176'!V10:V185,"TC0_50_TR1")</f>
        <v>0</v>
      </c>
      <c r="BC66" s="38">
        <f>COUNTIF('PF176'!V10:V185,"TC0_51_TR1")</f>
        <v>0</v>
      </c>
      <c r="BD66" s="38">
        <f>COUNTIF('PF176'!V10:V185,"TC0_52_TR1")</f>
        <v>0</v>
      </c>
      <c r="BE66" s="38">
        <f>COUNTIF('PF176'!V10:V185,"TC0_53_TR1")</f>
        <v>0</v>
      </c>
      <c r="BF66" s="38">
        <f>COUNTIF('PF176'!V10:V185,"TC0_54_TR1")</f>
        <v>0</v>
      </c>
      <c r="BG66" s="38">
        <f>COUNTIF('PF176'!V10:V185,"TC0_55_TR1")</f>
        <v>0</v>
      </c>
      <c r="BH66" s="38">
        <f>COUNTIF('PF176'!V10:V185,"TC0_56_TR1")</f>
        <v>0</v>
      </c>
      <c r="BI66" s="38">
        <f>COUNTIF('PF176'!V10:V185,"TC0_57_TR1")</f>
        <v>0</v>
      </c>
      <c r="BJ66" s="38">
        <f>COUNTIF('PF176'!V10:V185,"TC0_58_TR1")</f>
        <v>0</v>
      </c>
      <c r="BK66" s="38">
        <f>COUNTIF('PF176'!V10:V185,"TC0_59_TR1")</f>
        <v>0</v>
      </c>
      <c r="BL66" s="38">
        <f>COUNTIF('PF176'!V10:V185,"TC0_60_TR1")</f>
        <v>0</v>
      </c>
      <c r="BM66" s="38">
        <f>COUNTIF('PF176'!V10:V185,"TC0_61_TR1")</f>
        <v>0</v>
      </c>
      <c r="BN66" s="38">
        <f>COUNTIF('PF176'!V10:V185,"TC0_62_TR1")</f>
        <v>0</v>
      </c>
    </row>
    <row r="68" spans="2:66" x14ac:dyDescent="0.55000000000000004">
      <c r="B68" s="128" t="s">
        <v>433</v>
      </c>
      <c r="C68" s="129"/>
      <c r="D68" s="37" t="s">
        <v>420</v>
      </c>
      <c r="E68" s="37" t="s">
        <v>421</v>
      </c>
      <c r="F68" s="37" t="s">
        <v>422</v>
      </c>
      <c r="G68" s="37" t="s">
        <v>423</v>
      </c>
      <c r="H68" s="37" t="s">
        <v>424</v>
      </c>
      <c r="I68" s="37" t="s">
        <v>425</v>
      </c>
      <c r="J68" s="37" t="s">
        <v>426</v>
      </c>
      <c r="K68" s="37" t="s">
        <v>427</v>
      </c>
      <c r="L68" s="37" t="s">
        <v>428</v>
      </c>
      <c r="M68" s="37" t="s">
        <v>429</v>
      </c>
      <c r="N68" s="37" t="s">
        <v>431</v>
      </c>
      <c r="O68" s="37" t="s">
        <v>432</v>
      </c>
      <c r="P68" s="60"/>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row>
    <row r="69" spans="2:66" x14ac:dyDescent="0.55000000000000004">
      <c r="B69" s="126" t="s">
        <v>417</v>
      </c>
      <c r="C69" s="38" t="s">
        <v>409</v>
      </c>
      <c r="D69" s="38">
        <f>COUNTIF('PF176'!V10:V185,"PWM0_M_0")</f>
        <v>0</v>
      </c>
      <c r="E69" s="38">
        <f>COUNTIF('PF176'!V10:V185,"PWM0_M_1")</f>
        <v>0</v>
      </c>
      <c r="F69" s="38">
        <f>COUNTIF('PF176'!V10:V185,"PWM0_M_2")</f>
        <v>0</v>
      </c>
      <c r="G69" s="38">
        <f>COUNTIF('PF176'!V10:V185,"PWM0_M_3")</f>
        <v>0</v>
      </c>
      <c r="H69" s="38">
        <f>COUNTIF('PF176'!V10:V185,"PWM0_M_4")</f>
        <v>0</v>
      </c>
      <c r="I69" s="38">
        <f>COUNTIF('PF176'!V10:V185,"PWM0_M_5")</f>
        <v>0</v>
      </c>
      <c r="J69" s="38">
        <f>COUNTIF('PF176'!V10:V185,"PWM0_M_6")</f>
        <v>0</v>
      </c>
      <c r="K69" s="38">
        <f>COUNTIF('PF176'!V10:V185,"PWM0_M_7")</f>
        <v>0</v>
      </c>
      <c r="L69" s="38">
        <f>COUNTIF('PF176'!V10:V185,"PWM0_M_8")</f>
        <v>0</v>
      </c>
      <c r="M69" s="38">
        <f>COUNTIF('PF176'!V10:V185,"PWM0_M_9")</f>
        <v>0</v>
      </c>
      <c r="N69" s="38">
        <f>COUNTIF('PF176'!V10:V185,"PWM0_M_10")</f>
        <v>0</v>
      </c>
      <c r="O69" s="38">
        <f>COUNTIF('PF176'!V10:V185,"PWM0_M_11")</f>
        <v>0</v>
      </c>
      <c r="P69" s="61"/>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row>
    <row r="70" spans="2:66" x14ac:dyDescent="0.55000000000000004">
      <c r="B70" s="127"/>
      <c r="C70" s="38" t="s">
        <v>412</v>
      </c>
      <c r="D70" s="38">
        <f>COUNTIF('PF176'!V10:V185,"PWM0_M_0_N")</f>
        <v>0</v>
      </c>
      <c r="E70" s="38">
        <f>COUNTIF('PF176'!V10:V185,"PWM0_M_1_N")</f>
        <v>0</v>
      </c>
      <c r="F70" s="38">
        <f>COUNTIF('PF176'!V10:V185,"PWM0_M_2_N")</f>
        <v>0</v>
      </c>
      <c r="G70" s="38">
        <f>COUNTIF('PF176'!V10:V185,"PWM0_M_3_N")</f>
        <v>0</v>
      </c>
      <c r="H70" s="38">
        <f>COUNTIF('PF176'!V10:V185,"PWM0_M_4_N")</f>
        <v>0</v>
      </c>
      <c r="I70" s="38">
        <f>COUNTIF('PF176'!V10:V185,"PWM0_M_5_N")</f>
        <v>0</v>
      </c>
      <c r="J70" s="38">
        <f>COUNTIF('PF176'!V10:V185,"PWM0_M_6_N")</f>
        <v>0</v>
      </c>
      <c r="K70" s="38">
        <f>COUNTIF('PF176'!V10:V185,"PWM0_M_7_N")</f>
        <v>0</v>
      </c>
      <c r="L70" s="38">
        <f>COUNTIF('PF176'!V10:V185,"PWM0_M_8_N")</f>
        <v>0</v>
      </c>
      <c r="M70" s="38">
        <f>COUNTIF('PF176'!V10:V185,"PWM0_M_9_N")</f>
        <v>0</v>
      </c>
      <c r="N70" s="38">
        <f>COUNTIF('PF176'!V10:V185,"PWM0_M_10_N")</f>
        <v>0</v>
      </c>
      <c r="O70" s="38">
        <f>COUNTIF('PF176'!V10:V185,"PWM0_M_11_N")</f>
        <v>0</v>
      </c>
      <c r="P70" s="61"/>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row>
    <row r="71" spans="2:66" x14ac:dyDescent="0.55000000000000004">
      <c r="B71" s="126" t="s">
        <v>418</v>
      </c>
      <c r="C71" s="38" t="s">
        <v>410</v>
      </c>
      <c r="D71" s="38">
        <f>COUNTIF('PF176'!V10:V185,"TC0_M_0_TR0")</f>
        <v>0</v>
      </c>
      <c r="E71" s="38">
        <f>COUNTIF('PF176'!V10:V185,"TC0_M_1_TR0")</f>
        <v>0</v>
      </c>
      <c r="F71" s="38">
        <f>COUNTIF('PF176'!V10:V185,"TC0_M_2_TR0")</f>
        <v>0</v>
      </c>
      <c r="G71" s="38">
        <f>COUNTIF('PF176'!V10:V185,"TC0_M_3_TR0")</f>
        <v>0</v>
      </c>
      <c r="H71" s="38">
        <f>COUNTIF('PF176'!V10:V185,"TC0_M_4_TR0")</f>
        <v>0</v>
      </c>
      <c r="I71" s="38">
        <f>COUNTIF('PF176'!V10:V185,"TC0_M_5_TR0")</f>
        <v>0</v>
      </c>
      <c r="J71" s="38">
        <f>COUNTIF('PF176'!V10:V185,"TC0_M_6_TR0")</f>
        <v>0</v>
      </c>
      <c r="K71" s="38">
        <f>COUNTIF('PF176'!V10:V185,"TC0_M_7_TR0")</f>
        <v>0</v>
      </c>
      <c r="L71" s="38">
        <f>COUNTIF('PF176'!V10:V185,"TC0_M_8_TR0")</f>
        <v>0</v>
      </c>
      <c r="M71" s="38">
        <f>COUNTIF('PF176'!V10:V185,"TC0_M_9_TR0")</f>
        <v>0</v>
      </c>
      <c r="N71" s="38">
        <f>COUNTIF('PF176'!V10:V185,"TC0_M_10_TR0")</f>
        <v>0</v>
      </c>
      <c r="O71" s="38">
        <f>COUNTIF('PF176'!V10:V185,"TC0_M_11_TR0")</f>
        <v>0</v>
      </c>
      <c r="P71" s="61"/>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row>
    <row r="72" spans="2:66" x14ac:dyDescent="0.55000000000000004">
      <c r="B72" s="127"/>
      <c r="C72" s="38" t="s">
        <v>411</v>
      </c>
      <c r="D72" s="38">
        <f>COUNTIF('PF176'!V10:V185,"TC0_M_0_TR1")</f>
        <v>0</v>
      </c>
      <c r="E72" s="38">
        <f>COUNTIF('PF176'!V10:V185,"TC0_M_1_TR1")</f>
        <v>0</v>
      </c>
      <c r="F72" s="38">
        <f>COUNTIF('PF176'!V10:V185,"TC0_M_2_TR1")</f>
        <v>0</v>
      </c>
      <c r="G72" s="38">
        <f>COUNTIF('PF176'!V10:V185,"TC0_M_3_TR1")</f>
        <v>0</v>
      </c>
      <c r="H72" s="38">
        <f>COUNTIF('PF176'!V10:V185,"TC0_M_4_TR1")</f>
        <v>0</v>
      </c>
      <c r="I72" s="38">
        <f>COUNTIF('PF176'!V10:V185,"TC0_M_5_TR1")</f>
        <v>0</v>
      </c>
      <c r="J72" s="38">
        <f>COUNTIF('PF176'!V10:V185,"TC0_M_6_TR1")</f>
        <v>0</v>
      </c>
      <c r="K72" s="38">
        <f>COUNTIF('PF176'!V10:V185,"TC0_M_7_TR1")</f>
        <v>0</v>
      </c>
      <c r="L72" s="38">
        <f>COUNTIF('PF176'!V10:V185,"TC0_M_8_TR1")</f>
        <v>0</v>
      </c>
      <c r="M72" s="38">
        <f>COUNTIF('PF176'!V10:V185,"TC0_M_9_TR1")</f>
        <v>0</v>
      </c>
      <c r="N72" s="38">
        <f>COUNTIF('PF176'!V10:V185,"TC0_M_10_TR1")</f>
        <v>0</v>
      </c>
      <c r="O72" s="38">
        <f>COUNTIF('PF176'!V10:V185,"TC0_M_11_TR1")</f>
        <v>0</v>
      </c>
      <c r="P72" s="61"/>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row>
    <row r="73" spans="2:66" x14ac:dyDescent="0.55000000000000004">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row>
    <row r="74" spans="2:66" x14ac:dyDescent="0.55000000000000004">
      <c r="B74" s="128" t="s">
        <v>434</v>
      </c>
      <c r="C74" s="129"/>
      <c r="D74" s="37" t="s">
        <v>420</v>
      </c>
      <c r="E74" s="37" t="s">
        <v>421</v>
      </c>
      <c r="F74" s="37" t="s">
        <v>422</v>
      </c>
      <c r="G74" s="37" t="s">
        <v>423</v>
      </c>
      <c r="H74" s="37" t="s">
        <v>424</v>
      </c>
      <c r="I74" s="37" t="s">
        <v>425</v>
      </c>
      <c r="J74" s="37" t="s">
        <v>426</v>
      </c>
      <c r="K74" s="37" t="s">
        <v>427</v>
      </c>
      <c r="Q74" s="40"/>
      <c r="R74" s="40"/>
      <c r="S74" s="40"/>
      <c r="T74" s="40"/>
      <c r="U74" s="40"/>
      <c r="V74" s="40"/>
      <c r="W74" s="40"/>
      <c r="X74" s="40"/>
      <c r="Y74" s="40"/>
      <c r="Z74" s="40"/>
      <c r="AA74" s="40"/>
      <c r="AB74" s="40"/>
      <c r="AC74" s="40"/>
      <c r="AD74" s="40"/>
      <c r="AE74" s="40"/>
      <c r="AF74" s="40"/>
      <c r="AG74" s="40"/>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row>
    <row r="75" spans="2:66" x14ac:dyDescent="0.55000000000000004">
      <c r="B75" s="126" t="s">
        <v>417</v>
      </c>
      <c r="C75" s="38" t="s">
        <v>409</v>
      </c>
      <c r="D75" s="38">
        <f>COUNTIF('PF176'!V10:V185,"PWM0_H_0")</f>
        <v>0</v>
      </c>
      <c r="E75" s="38">
        <f>COUNTIF('PF176'!V10:V185,"PWM0_H_1")</f>
        <v>0</v>
      </c>
      <c r="F75" s="38">
        <f>COUNTIF('PF176'!V10:V185,"PWM0_H_2")</f>
        <v>0</v>
      </c>
      <c r="G75" s="38">
        <f>COUNTIF('PF176'!V10:V185,"PWM0_H_3")</f>
        <v>0</v>
      </c>
      <c r="H75" s="38">
        <f>COUNTIF('PF176'!V10:V185,"PWM0_H_4")</f>
        <v>0</v>
      </c>
      <c r="I75" s="38">
        <f>COUNTIF('PF176'!V10:V185,"PWM0_H_5")</f>
        <v>0</v>
      </c>
      <c r="J75" s="38">
        <f>COUNTIF('PF176'!V10:V185,"PWM0_H_6")</f>
        <v>0</v>
      </c>
      <c r="K75" s="38">
        <f>COUNTIF('PF176'!V10:V185,"PWM0_H_7")</f>
        <v>0</v>
      </c>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row>
    <row r="76" spans="2:66" x14ac:dyDescent="0.55000000000000004">
      <c r="B76" s="127"/>
      <c r="C76" s="38" t="s">
        <v>412</v>
      </c>
      <c r="D76" s="38">
        <f>COUNTIF('PF176'!V10:V185,"PWM0_H_0_N")</f>
        <v>0</v>
      </c>
      <c r="E76" s="38">
        <f>COUNTIF('PF176'!V10:V185,"PWM0_H_1_N")</f>
        <v>0</v>
      </c>
      <c r="F76" s="38">
        <f>COUNTIF('PF176'!V10:V185,"PWM0_H_2_N")</f>
        <v>0</v>
      </c>
      <c r="G76" s="38">
        <f>COUNTIF('PF176'!V10:V185,"PWM0_H_3_N")</f>
        <v>0</v>
      </c>
      <c r="H76" s="38">
        <f>COUNTIF('PF176'!V10:V185,"PWM0_H_4_N")</f>
        <v>0</v>
      </c>
      <c r="I76" s="38">
        <f>COUNTIF('PF176'!V10:V185,"PWM0_H_5_N")</f>
        <v>0</v>
      </c>
      <c r="J76" s="38">
        <f>COUNTIF('PF176'!V10:V185,"PWM0_H_6_N")</f>
        <v>0</v>
      </c>
      <c r="K76" s="38">
        <f>COUNTIF('PF176'!V10:V185,"PWM0_H_7_N")</f>
        <v>0</v>
      </c>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row>
    <row r="77" spans="2:66" x14ac:dyDescent="0.55000000000000004">
      <c r="B77" s="126" t="s">
        <v>418</v>
      </c>
      <c r="C77" s="38" t="s">
        <v>410</v>
      </c>
      <c r="D77" s="38">
        <f>COUNTIF('PF176'!V10:V185,"TC0_H_0_TR0")</f>
        <v>0</v>
      </c>
      <c r="E77" s="38">
        <f>COUNTIF('PF176'!V10:V185,"TC0_H_1_TR0")</f>
        <v>0</v>
      </c>
      <c r="F77" s="38">
        <f>COUNTIF('PF176'!V10:V185,"TC0_H_2_TR0")</f>
        <v>0</v>
      </c>
      <c r="G77" s="38">
        <f>COUNTIF('PF176'!V10:V185,"TC0_H_3_TR0")</f>
        <v>0</v>
      </c>
      <c r="H77" s="38">
        <f>COUNTIF('PF176'!V10:V185,"TC0_H_4_TR0")</f>
        <v>0</v>
      </c>
      <c r="I77" s="38">
        <f>COUNTIF('PF176'!V10:V185,"TC0_H_5_TR0")</f>
        <v>0</v>
      </c>
      <c r="J77" s="38">
        <f>COUNTIF('PF176'!V10:V185,"TC0_H_6_TR0")</f>
        <v>0</v>
      </c>
      <c r="K77" s="38">
        <f>COUNTIF('PF176'!V10:V185,"TC0_H_7_TR0")</f>
        <v>0</v>
      </c>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row>
    <row r="78" spans="2:66" x14ac:dyDescent="0.55000000000000004">
      <c r="B78" s="127"/>
      <c r="C78" s="38" t="s">
        <v>411</v>
      </c>
      <c r="D78" s="38">
        <f>COUNTIF('PF176'!V10:V185,"TC0_H_0_TR1")</f>
        <v>0</v>
      </c>
      <c r="E78" s="38">
        <f>COUNTIF('PF176'!V10:V185,"TC0_H_1_TR1")</f>
        <v>0</v>
      </c>
      <c r="F78" s="38">
        <f>COUNTIF('PF176'!V10:V185,"TC0_H_2_TR1")</f>
        <v>0</v>
      </c>
      <c r="G78" s="38">
        <f>COUNTIF('PF176'!V10:V185,"TC0_H_3_TR1")</f>
        <v>0</v>
      </c>
      <c r="H78" s="38">
        <f>COUNTIF('PF176'!V10:V185,"TC0_H_4_TR1")</f>
        <v>0</v>
      </c>
      <c r="I78" s="38">
        <f>COUNTIF('PF176'!V10:V185,"TC0_H_5_TR1")</f>
        <v>0</v>
      </c>
      <c r="J78" s="38">
        <f>COUNTIF('PF176'!V10:V185,"TC0_H_6_TR1")</f>
        <v>0</v>
      </c>
      <c r="K78" s="38">
        <f>COUNTIF('PF176'!V10:V185,"TC0_H_7_TR1")</f>
        <v>0</v>
      </c>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row>
    <row r="79" spans="2:66" ht="10" customHeight="1" x14ac:dyDescent="0.55000000000000004"/>
    <row r="81" spans="2:6" x14ac:dyDescent="0.55000000000000004">
      <c r="B81" s="128" t="s">
        <v>405</v>
      </c>
      <c r="C81" s="129"/>
      <c r="D81" s="37" t="s">
        <v>406</v>
      </c>
      <c r="E81" s="37" t="s">
        <v>407</v>
      </c>
      <c r="F81" s="37" t="s">
        <v>408</v>
      </c>
    </row>
    <row r="82" spans="2:6" x14ac:dyDescent="0.55000000000000004">
      <c r="B82" s="123" t="s">
        <v>398</v>
      </c>
      <c r="C82" s="38" t="s">
        <v>486</v>
      </c>
      <c r="D82" s="38">
        <f>COUNTIF('PF176'!V10:V185,"ADC[0]_0")</f>
        <v>0</v>
      </c>
      <c r="E82" s="38">
        <f>COUNTIF('PF176'!V10:V185,"ADC[1]_0")</f>
        <v>0</v>
      </c>
      <c r="F82" s="38">
        <f>COUNTIF('PF176'!V10:V185,"ADC[2]_0")</f>
        <v>0</v>
      </c>
    </row>
    <row r="83" spans="2:6" x14ac:dyDescent="0.55000000000000004">
      <c r="B83" s="124"/>
      <c r="C83" s="38" t="s">
        <v>487</v>
      </c>
      <c r="D83" s="38">
        <f>COUNTIF('PF176'!V10:V185,"ADC[0]_1")</f>
        <v>0</v>
      </c>
      <c r="E83" s="38">
        <f>COUNTIF('PF176'!V10:V185,"ADC[1]_1")</f>
        <v>0</v>
      </c>
      <c r="F83" s="38">
        <f>COUNTIF('PF176'!V10:V185,"ADC[2]_1")</f>
        <v>0</v>
      </c>
    </row>
    <row r="84" spans="2:6" x14ac:dyDescent="0.55000000000000004">
      <c r="B84" s="124"/>
      <c r="C84" s="38" t="s">
        <v>488</v>
      </c>
      <c r="D84" s="38">
        <f>COUNTIF('PF176'!V10:V185,"ADC[0]_2")</f>
        <v>0</v>
      </c>
      <c r="E84" s="38">
        <f>COUNTIF('PF176'!V10:V185,"ADC[1]_2")</f>
        <v>0</v>
      </c>
      <c r="F84" s="38">
        <f>COUNTIF('PF176'!V10:V185,"ADC[2]_2")</f>
        <v>0</v>
      </c>
    </row>
    <row r="85" spans="2:6" x14ac:dyDescent="0.55000000000000004">
      <c r="B85" s="124"/>
      <c r="C85" s="38" t="s">
        <v>489</v>
      </c>
      <c r="D85" s="38">
        <f>COUNTIF('PF176'!V10:V185,"ADC[0]_3")</f>
        <v>0</v>
      </c>
      <c r="E85" s="38">
        <f>COUNTIF('PF176'!V10:V185,"ADC[1]_3")</f>
        <v>0</v>
      </c>
      <c r="F85" s="38">
        <f>COUNTIF('PF176'!V10:V185,"ADC[2]_3")</f>
        <v>0</v>
      </c>
    </row>
    <row r="86" spans="2:6" x14ac:dyDescent="0.55000000000000004">
      <c r="B86" s="124"/>
      <c r="C86" s="38" t="s">
        <v>490</v>
      </c>
      <c r="D86" s="38">
        <f>COUNTIF('PF176'!V10:V185,"ADC[0]_4")</f>
        <v>0</v>
      </c>
      <c r="E86" s="38">
        <f>COUNTIF('PF176'!V10:V185,"ADC[1]_4")</f>
        <v>0</v>
      </c>
      <c r="F86" s="38">
        <f>COUNTIF('PF176'!V10:V185,"ADC[2]_4")</f>
        <v>0</v>
      </c>
    </row>
    <row r="87" spans="2:6" x14ac:dyDescent="0.55000000000000004">
      <c r="B87" s="124"/>
      <c r="C87" s="38" t="s">
        <v>491</v>
      </c>
      <c r="D87" s="38">
        <f>COUNTIF('PF176'!V10:V185,"ADC[0]_5")</f>
        <v>0</v>
      </c>
      <c r="E87" s="38">
        <f>COUNTIF('PF176'!V10:V185,"ADC[1]_5")</f>
        <v>0</v>
      </c>
      <c r="F87" s="38">
        <f>COUNTIF('PF176'!V10:V185,"ADC[2]_5")</f>
        <v>0</v>
      </c>
    </row>
    <row r="88" spans="2:6" x14ac:dyDescent="0.55000000000000004">
      <c r="B88" s="124"/>
      <c r="C88" s="38" t="s">
        <v>492</v>
      </c>
      <c r="D88" s="38">
        <f>COUNTIF('PF176'!V10:V185,"ADC[0]_6")</f>
        <v>0</v>
      </c>
      <c r="E88" s="38">
        <f>COUNTIF('PF176'!V10:V185,"ADC[1]_6")</f>
        <v>0</v>
      </c>
      <c r="F88" s="38">
        <f>COUNTIF('PF176'!V10:V185,"ADC[2]_6")</f>
        <v>0</v>
      </c>
    </row>
    <row r="89" spans="2:6" x14ac:dyDescent="0.55000000000000004">
      <c r="B89" s="124"/>
      <c r="C89" s="38" t="s">
        <v>493</v>
      </c>
      <c r="D89" s="38">
        <f>COUNTIF('PF176'!V10:V185,"ADC[0]_7")</f>
        <v>0</v>
      </c>
      <c r="E89" s="38">
        <f>COUNTIF('PF176'!V10:V185,"ADC[1]_7")</f>
        <v>0</v>
      </c>
      <c r="F89" s="38">
        <f>COUNTIF('PF176'!V10:V185,"ADC[2]_7")</f>
        <v>0</v>
      </c>
    </row>
    <row r="90" spans="2:6" x14ac:dyDescent="0.55000000000000004">
      <c r="B90" s="124"/>
      <c r="C90" s="38" t="s">
        <v>494</v>
      </c>
      <c r="D90" s="38">
        <f>COUNTIF('PF176'!V10:V185,"ADC[0]_8")</f>
        <v>0</v>
      </c>
      <c r="E90" s="38">
        <f>COUNTIF('PF176'!V10:V185,"ADC[1]_8")</f>
        <v>0</v>
      </c>
      <c r="F90" s="38">
        <f>COUNTIF('PF176'!V10:V185,"ADC[2]_8")</f>
        <v>0</v>
      </c>
    </row>
    <row r="91" spans="2:6" x14ac:dyDescent="0.55000000000000004">
      <c r="B91" s="124"/>
      <c r="C91" s="38" t="s">
        <v>495</v>
      </c>
      <c r="D91" s="38">
        <f>COUNTIF('PF176'!V10:V185,"ADC[0]_9")</f>
        <v>0</v>
      </c>
      <c r="E91" s="38">
        <f>COUNTIF('PF176'!V10:V185,"ADC[1]_9")</f>
        <v>0</v>
      </c>
      <c r="F91" s="38">
        <f>COUNTIF('PF176'!V10:V185,"ADC[2]_9")</f>
        <v>0</v>
      </c>
    </row>
    <row r="92" spans="2:6" x14ac:dyDescent="0.55000000000000004">
      <c r="B92" s="124"/>
      <c r="C92" s="38" t="s">
        <v>496</v>
      </c>
      <c r="D92" s="38">
        <f>COUNTIF('PF176'!V10:V185,"ADC[0]_10")</f>
        <v>0</v>
      </c>
      <c r="E92" s="38">
        <f>COUNTIF('PF176'!V10:V185,"ADC[1]_10")</f>
        <v>0</v>
      </c>
      <c r="F92" s="38">
        <f>COUNTIF('PF176'!V10:V185,"ADC[2]_10")</f>
        <v>0</v>
      </c>
    </row>
    <row r="93" spans="2:6" x14ac:dyDescent="0.55000000000000004">
      <c r="B93" s="124"/>
      <c r="C93" s="38" t="s">
        <v>497</v>
      </c>
      <c r="D93" s="38">
        <f>COUNTIF('PF176'!V10:V185,"ADC[0]_11")</f>
        <v>0</v>
      </c>
      <c r="E93" s="38">
        <f>COUNTIF('PF176'!V10:V185,"ADC[1]_11")</f>
        <v>0</v>
      </c>
      <c r="F93" s="38">
        <f>COUNTIF('PF176'!V10:V185,"ADC[2]_11")</f>
        <v>0</v>
      </c>
    </row>
    <row r="94" spans="2:6" x14ac:dyDescent="0.55000000000000004">
      <c r="B94" s="124"/>
      <c r="C94" s="38" t="s">
        <v>498</v>
      </c>
      <c r="D94" s="38">
        <f>COUNTIF('PF176'!V10:V185,"ADC[0]_12")</f>
        <v>0</v>
      </c>
      <c r="E94" s="38">
        <f>COUNTIF('PF176'!V10:V185,"ADC[1]_12")</f>
        <v>0</v>
      </c>
      <c r="F94" s="38">
        <f>COUNTIF('PF176'!V10:V185,"ADC[2]_12")</f>
        <v>0</v>
      </c>
    </row>
    <row r="95" spans="2:6" x14ac:dyDescent="0.55000000000000004">
      <c r="B95" s="124"/>
      <c r="C95" s="38" t="s">
        <v>499</v>
      </c>
      <c r="D95" s="38">
        <f>COUNTIF('PF176'!V10:V185,"ADC[0]_13")</f>
        <v>0</v>
      </c>
      <c r="E95" s="38">
        <f>COUNTIF('PF176'!V10:V185,"ADC[1]_13")</f>
        <v>0</v>
      </c>
      <c r="F95" s="38">
        <f>COUNTIF('PF176'!V10:V185,"ADC[2]_13")</f>
        <v>0</v>
      </c>
    </row>
    <row r="96" spans="2:6" x14ac:dyDescent="0.55000000000000004">
      <c r="B96" s="124"/>
      <c r="C96" s="38" t="s">
        <v>500</v>
      </c>
      <c r="D96" s="38">
        <f>COUNTIF('PF176'!V10:V185,"ADC[0]_14")</f>
        <v>0</v>
      </c>
      <c r="E96" s="38">
        <f>COUNTIF('PF176'!V10:V185,"ADC[1]_14")</f>
        <v>0</v>
      </c>
      <c r="F96" s="38">
        <f>COUNTIF('PF176'!V10:V185,"ADC[2]_14")</f>
        <v>0</v>
      </c>
    </row>
    <row r="97" spans="2:6" x14ac:dyDescent="0.55000000000000004">
      <c r="B97" s="124"/>
      <c r="C97" s="38" t="s">
        <v>501</v>
      </c>
      <c r="D97" s="38">
        <f>COUNTIF('PF176'!V10:V185,"ADC[0]_15")</f>
        <v>0</v>
      </c>
      <c r="E97" s="38">
        <f>COUNTIF('PF176'!V10:V185,"ADC[1]_15")</f>
        <v>0</v>
      </c>
      <c r="F97" s="38">
        <f>COUNTIF('PF176'!V10:V185,"ADC[2]_15")</f>
        <v>0</v>
      </c>
    </row>
    <row r="98" spans="2:6" x14ac:dyDescent="0.55000000000000004">
      <c r="B98" s="124"/>
      <c r="C98" s="38" t="s">
        <v>502</v>
      </c>
      <c r="D98" s="38">
        <f>COUNTIF('PF176'!V10:V185,"ADC[0]_16")</f>
        <v>0</v>
      </c>
      <c r="E98" s="38">
        <f>COUNTIF('PF176'!V10:V185,"ADC[1]_16")</f>
        <v>0</v>
      </c>
      <c r="F98" s="38">
        <f>COUNTIF('PF176'!V10:V185,"ADC[2]_16")</f>
        <v>0</v>
      </c>
    </row>
    <row r="99" spans="2:6" x14ac:dyDescent="0.55000000000000004">
      <c r="B99" s="124"/>
      <c r="C99" s="38" t="s">
        <v>503</v>
      </c>
      <c r="D99" s="38">
        <f>COUNTIF('PF176'!V10:V185,"ADC[0]_17")</f>
        <v>0</v>
      </c>
      <c r="E99" s="38">
        <f>COUNTIF('PF176'!V10:V185,"ADC[1]_17")</f>
        <v>0</v>
      </c>
      <c r="F99" s="38">
        <f>COUNTIF('PF176'!V10:V185,"ADC[2]_17")</f>
        <v>0</v>
      </c>
    </row>
    <row r="100" spans="2:6" x14ac:dyDescent="0.55000000000000004">
      <c r="B100" s="124"/>
      <c r="C100" s="38" t="s">
        <v>504</v>
      </c>
      <c r="D100" s="38">
        <f>COUNTIF('PF176'!V10:V185,"ADC[0]_18")</f>
        <v>0</v>
      </c>
      <c r="E100" s="38">
        <f>COUNTIF('PF176'!V10:V185,"ADC[1]_18")</f>
        <v>0</v>
      </c>
      <c r="F100" s="38">
        <f>COUNTIF('PF176'!V10:V185,"ADC[2]_18")</f>
        <v>0</v>
      </c>
    </row>
    <row r="101" spans="2:6" x14ac:dyDescent="0.55000000000000004">
      <c r="B101" s="124"/>
      <c r="C101" s="38" t="s">
        <v>505</v>
      </c>
      <c r="D101" s="38">
        <f>COUNTIF('PF176'!V10:V185,"ADC[0]_19")</f>
        <v>0</v>
      </c>
      <c r="E101" s="38">
        <f>COUNTIF('PF176'!V10:V185,"ADC[1]_19")</f>
        <v>0</v>
      </c>
      <c r="F101" s="38">
        <f>COUNTIF('PF176'!V10:V185,"ADC[2]_19")</f>
        <v>0</v>
      </c>
    </row>
    <row r="102" spans="2:6" x14ac:dyDescent="0.55000000000000004">
      <c r="B102" s="124"/>
      <c r="C102" s="38" t="s">
        <v>506</v>
      </c>
      <c r="D102" s="38">
        <f>COUNTIF('PF176'!V10:V185,"ADC[0]_20")</f>
        <v>0</v>
      </c>
      <c r="E102" s="38">
        <f>COUNTIF('PF176'!V10:V185,"ADC[1]_20")</f>
        <v>0</v>
      </c>
      <c r="F102" s="38">
        <f>COUNTIF('PF176'!V10:V185,"ADC[2]_20")</f>
        <v>0</v>
      </c>
    </row>
    <row r="103" spans="2:6" x14ac:dyDescent="0.55000000000000004">
      <c r="B103" s="124"/>
      <c r="C103" s="38" t="s">
        <v>507</v>
      </c>
      <c r="D103" s="38">
        <f>COUNTIF('PF176'!V10:V185,"ADC[0]_21")</f>
        <v>0</v>
      </c>
      <c r="E103" s="38">
        <f>COUNTIF('PF176'!V10:V185,"ADC[1]_21")</f>
        <v>0</v>
      </c>
      <c r="F103" s="38">
        <f>COUNTIF('PF176'!V10:V185,"ADC[2]_21")</f>
        <v>0</v>
      </c>
    </row>
    <row r="104" spans="2:6" x14ac:dyDescent="0.55000000000000004">
      <c r="B104" s="124"/>
      <c r="C104" s="38" t="s">
        <v>508</v>
      </c>
      <c r="D104" s="38">
        <f>COUNTIF('PF176'!V10:V185,"ADC[0]_22")</f>
        <v>0</v>
      </c>
      <c r="E104" s="38">
        <f>COUNTIF('PF176'!V10:V185,"ADC[1]_22")</f>
        <v>0</v>
      </c>
      <c r="F104" s="38">
        <f>COUNTIF('PF176'!V10:V185,"ADC[2]_22")</f>
        <v>0</v>
      </c>
    </row>
    <row r="105" spans="2:6" x14ac:dyDescent="0.55000000000000004">
      <c r="B105" s="124"/>
      <c r="C105" s="38" t="s">
        <v>509</v>
      </c>
      <c r="D105" s="38">
        <f>COUNTIF('PF176'!V10:V185,"ADC[0]_23")</f>
        <v>0</v>
      </c>
      <c r="E105" s="38">
        <f>COUNTIF('PF176'!V10:V185,"ADC[1]_23")</f>
        <v>0</v>
      </c>
      <c r="F105" s="38">
        <f>COUNTIF('PF176'!V10:V185,"ADC[2]_23")</f>
        <v>0</v>
      </c>
    </row>
    <row r="106" spans="2:6" x14ac:dyDescent="0.55000000000000004">
      <c r="B106" s="124"/>
      <c r="C106" s="38" t="s">
        <v>510</v>
      </c>
      <c r="D106" s="38">
        <f>COUNTIF('PF176'!V10:V185,"ADC[0]_24")</f>
        <v>0</v>
      </c>
      <c r="E106" s="38">
        <f>COUNTIF('PF176'!V10:V185,"ADC[1]_24")</f>
        <v>0</v>
      </c>
      <c r="F106" s="38">
        <f>COUNTIF('PF176'!V10:V185,"ADC[2]_24")</f>
        <v>0</v>
      </c>
    </row>
    <row r="107" spans="2:6" x14ac:dyDescent="0.55000000000000004">
      <c r="B107" s="124"/>
      <c r="C107" s="38" t="s">
        <v>511</v>
      </c>
      <c r="D107" s="38">
        <f>COUNTIF('PF176'!V10:V185,"ADC[0]_25")</f>
        <v>0</v>
      </c>
      <c r="E107" s="38">
        <f>COUNTIF('PF176'!V10:V185,"ADC[1]_25")</f>
        <v>0</v>
      </c>
      <c r="F107" s="38">
        <f>COUNTIF('PF176'!V10:V185,"ADC[2]_25")</f>
        <v>0</v>
      </c>
    </row>
    <row r="108" spans="2:6" x14ac:dyDescent="0.55000000000000004">
      <c r="B108" s="124"/>
      <c r="C108" s="38" t="s">
        <v>512</v>
      </c>
      <c r="D108" s="38">
        <f>COUNTIF('PF176'!V10:V185,"ADC[0]_26")</f>
        <v>0</v>
      </c>
      <c r="E108" s="38">
        <f>COUNTIF('PF176'!V10:V185,"ADC[1]_26")</f>
        <v>0</v>
      </c>
      <c r="F108" s="38">
        <f>COUNTIF('PF176'!V10:V185,"ADC[2]_26")</f>
        <v>0</v>
      </c>
    </row>
    <row r="109" spans="2:6" x14ac:dyDescent="0.55000000000000004">
      <c r="B109" s="124"/>
      <c r="C109" s="38" t="s">
        <v>513</v>
      </c>
      <c r="D109" s="38">
        <f>COUNTIF('PF176'!V10:V185,"ADC[0]_27")</f>
        <v>0</v>
      </c>
      <c r="E109" s="38">
        <f>COUNTIF('PF176'!V10:V185,"ADC[1]_27")</f>
        <v>0</v>
      </c>
      <c r="F109" s="38">
        <f>COUNTIF('PF176'!V10:V185,"ADC[2]_27")</f>
        <v>0</v>
      </c>
    </row>
    <row r="110" spans="2:6" x14ac:dyDescent="0.55000000000000004">
      <c r="B110" s="124"/>
      <c r="C110" s="38" t="s">
        <v>514</v>
      </c>
      <c r="D110" s="38">
        <f>COUNTIF('PF176'!V10:V185,"ADC[0]_28")</f>
        <v>0</v>
      </c>
      <c r="E110" s="38">
        <f>COUNTIF('PF176'!V10:V185,"ADC[1]_28")</f>
        <v>0</v>
      </c>
      <c r="F110" s="38">
        <f>COUNTIF('PF176'!V10:V185,"ADC[2]_28")</f>
        <v>0</v>
      </c>
    </row>
    <row r="111" spans="2:6" x14ac:dyDescent="0.55000000000000004">
      <c r="B111" s="124"/>
      <c r="C111" s="38" t="s">
        <v>515</v>
      </c>
      <c r="D111" s="38">
        <f>COUNTIF('PF176'!V10:V185,"ADC[0]_29")</f>
        <v>0</v>
      </c>
      <c r="E111" s="38">
        <f>COUNTIF('PF176'!V10:V185,"ADC[1]_29")</f>
        <v>0</v>
      </c>
      <c r="F111" s="38">
        <f>COUNTIF('PF176'!V10:V185,"ADC[2]_29")</f>
        <v>0</v>
      </c>
    </row>
    <row r="112" spans="2:6" x14ac:dyDescent="0.55000000000000004">
      <c r="B112" s="124"/>
      <c r="C112" s="38" t="s">
        <v>516</v>
      </c>
      <c r="D112" s="38">
        <f>COUNTIF('PF176'!V10:V185,"ADC[0]_30")</f>
        <v>0</v>
      </c>
      <c r="E112" s="38">
        <f>COUNTIF('PF176'!V10:V185,"ADC[1]_30")</f>
        <v>0</v>
      </c>
      <c r="F112" s="38">
        <f>COUNTIF('PF176'!V10:V185,"ADC[2]_30")</f>
        <v>0</v>
      </c>
    </row>
    <row r="113" spans="2:7" x14ac:dyDescent="0.55000000000000004">
      <c r="B113" s="130"/>
      <c r="C113" s="38" t="s">
        <v>517</v>
      </c>
      <c r="D113" s="38">
        <f>COUNTIF('PF176'!V10:V185,"ADC[0]_31")</f>
        <v>0</v>
      </c>
      <c r="E113" s="38">
        <f>COUNTIF('PF176'!V10:V185,"ADC[1]_31")</f>
        <v>0</v>
      </c>
      <c r="F113" s="38">
        <f>COUNTIF('PF176'!V10:V185,"ADC[2]_31")</f>
        <v>0</v>
      </c>
    </row>
    <row r="114" spans="2:7" ht="20" x14ac:dyDescent="0.55000000000000004">
      <c r="B114" s="62" t="s">
        <v>518</v>
      </c>
      <c r="C114" s="63" t="s">
        <v>419</v>
      </c>
      <c r="D114" s="38">
        <f>COUNTIF('PF176'!V10:V185,"ADC[0]_M")</f>
        <v>0</v>
      </c>
      <c r="E114" s="38">
        <f>COUNTIF('PF176'!V10:V185,"ADC[1]_M")</f>
        <v>0</v>
      </c>
      <c r="F114" s="38">
        <f>COUNTIF('PF176'!V10:V185,"ADC[2]_M")</f>
        <v>0</v>
      </c>
    </row>
    <row r="117" spans="2:7" x14ac:dyDescent="0.55000000000000004">
      <c r="B117" s="128" t="s">
        <v>1201</v>
      </c>
      <c r="C117" s="129"/>
      <c r="D117" s="37" t="s">
        <v>1203</v>
      </c>
      <c r="E117" s="37" t="s">
        <v>1204</v>
      </c>
      <c r="F117" s="37" t="s">
        <v>1205</v>
      </c>
      <c r="G117" s="37" t="s">
        <v>1207</v>
      </c>
    </row>
    <row r="118" spans="2:7" x14ac:dyDescent="0.55000000000000004">
      <c r="B118" s="123" t="s">
        <v>398</v>
      </c>
      <c r="C118" s="38" t="s">
        <v>386</v>
      </c>
      <c r="D118" s="38">
        <f>COUNTIF('PF176'!V10:V185,"CXPI0_RX")</f>
        <v>0</v>
      </c>
      <c r="E118" s="38">
        <f>COUNTIF('PF176'!V10:V185,"CXPI1_RX")</f>
        <v>0</v>
      </c>
      <c r="F118" s="38">
        <f>COUNTIF('PF176'!V10:V185,"CXPI2_RX")</f>
        <v>0</v>
      </c>
      <c r="G118" s="38">
        <f>COUNTIF('PF176'!V10:V185,"CXPI3_RX")</f>
        <v>0</v>
      </c>
    </row>
    <row r="119" spans="2:7" x14ac:dyDescent="0.55000000000000004">
      <c r="B119" s="124"/>
      <c r="C119" s="38" t="s">
        <v>385</v>
      </c>
      <c r="D119" s="38">
        <f>COUNTIF('PF176'!V10:V185,"CXPI0_TX")</f>
        <v>0</v>
      </c>
      <c r="E119" s="38">
        <f>COUNTIF('PF176'!V10:V185,"CXPI1_TX")</f>
        <v>0</v>
      </c>
      <c r="F119" s="38">
        <f>COUNTIF('PF176'!V10:V185,"CXPI2_TX")</f>
        <v>0</v>
      </c>
      <c r="G119" s="38">
        <f>COUNTIF('PF176'!V10:V185,"CXPI3_TX")</f>
        <v>0</v>
      </c>
    </row>
    <row r="120" spans="2:7" x14ac:dyDescent="0.55000000000000004">
      <c r="B120" s="125"/>
      <c r="C120" s="38" t="s">
        <v>1202</v>
      </c>
      <c r="D120" s="38">
        <f>COUNTIF('PF176'!V10:V185,"CXPI0_EN")</f>
        <v>0</v>
      </c>
      <c r="E120" s="38">
        <f>COUNTIF('PF176'!V10:V185,"CXPI1_EN")</f>
        <v>0</v>
      </c>
      <c r="F120" s="38">
        <f>COUNTIF('PF176'!V10:V185,"CXPI2_EN")</f>
        <v>0</v>
      </c>
      <c r="G120" s="38">
        <f>COUNTIF('PF176'!V10:V185,"CXPI3_EN")</f>
        <v>0</v>
      </c>
    </row>
    <row r="131" spans="2:21" ht="14.5" x14ac:dyDescent="0.35">
      <c r="B131" s="118" t="s">
        <v>1216</v>
      </c>
      <c r="C131" s="118"/>
      <c r="D131" s="118"/>
      <c r="E131" s="118"/>
      <c r="F131" s="118"/>
      <c r="G131" s="118"/>
      <c r="H131" s="118"/>
      <c r="I131" s="118"/>
      <c r="J131" s="118"/>
      <c r="K131" s="118"/>
      <c r="L131" s="118"/>
      <c r="M131" s="118"/>
      <c r="N131" s="118"/>
      <c r="O131" s="118"/>
      <c r="P131" s="118"/>
      <c r="Q131" s="118"/>
      <c r="R131" s="118"/>
      <c r="S131" s="118"/>
      <c r="T131" s="118"/>
      <c r="U131" s="118"/>
    </row>
    <row r="132" spans="2:21" ht="172" customHeight="1" x14ac:dyDescent="0.55000000000000004">
      <c r="B132" s="119" t="s">
        <v>1217</v>
      </c>
      <c r="C132" s="119"/>
      <c r="D132" s="119"/>
      <c r="E132" s="119"/>
      <c r="F132" s="119"/>
      <c r="G132" s="119"/>
      <c r="H132" s="119"/>
      <c r="I132" s="119"/>
      <c r="J132" s="119"/>
      <c r="K132" s="119"/>
      <c r="L132" s="119"/>
      <c r="M132" s="119"/>
      <c r="N132" s="119"/>
      <c r="O132" s="119"/>
      <c r="P132" s="119"/>
      <c r="Q132" s="119"/>
      <c r="R132" s="119"/>
      <c r="S132" s="119"/>
      <c r="T132" s="119"/>
      <c r="U132" s="119"/>
    </row>
  </sheetData>
  <sheetProtection algorithmName="SHA-512" hashValue="bhxcJANWMJHrR/Z7gzC3XbeXKQNhUrmjXAA1U20dFxMTiFttUsODGjMmub35g6OliKN+bUkxFFa5uMJ1qo6Vhw==" saltValue="/jf3byPtfbKf3HmKoVy2TA==" spinCount="100000" sheet="1" objects="1" scenarios="1" formatCells="0" formatColumns="0" formatRows="0" insertColumns="0" insertRows="0" insertHyperlinks="0" deleteColumns="0" deleteRows="0" selectLockedCells="1" sort="0" autoFilter="0" pivotTables="0" selectUnlockedCells="1"/>
  <mergeCells count="25">
    <mergeCell ref="B131:U131"/>
    <mergeCell ref="B132:U132"/>
    <mergeCell ref="B17:B19"/>
    <mergeCell ref="B7:C7"/>
    <mergeCell ref="B8:B9"/>
    <mergeCell ref="B11:C11"/>
    <mergeCell ref="B12:B13"/>
    <mergeCell ref="B16:C16"/>
    <mergeCell ref="B69:B70"/>
    <mergeCell ref="B71:B72"/>
    <mergeCell ref="B74:C74"/>
    <mergeCell ref="B75:B76"/>
    <mergeCell ref="B22:C22"/>
    <mergeCell ref="B62:C62"/>
    <mergeCell ref="B63:B64"/>
    <mergeCell ref="B37:B44"/>
    <mergeCell ref="B118:B120"/>
    <mergeCell ref="B77:B78"/>
    <mergeCell ref="B81:C81"/>
    <mergeCell ref="B82:B113"/>
    <mergeCell ref="B23:B36"/>
    <mergeCell ref="B45:B50"/>
    <mergeCell ref="B65:B66"/>
    <mergeCell ref="B68:C68"/>
    <mergeCell ref="B117:C117"/>
  </mergeCells>
  <phoneticPr fontId="3"/>
  <conditionalFormatting sqref="E51:K51">
    <cfRule type="cellIs" dxfId="385" priority="192" operator="greaterThanOrEqual">
      <formula>2</formula>
    </cfRule>
    <cfRule type="cellIs" dxfId="384" priority="222" operator="notEqual">
      <formula>0</formula>
    </cfRule>
  </conditionalFormatting>
  <conditionalFormatting sqref="D20:K20">
    <cfRule type="cellIs" dxfId="383" priority="193" operator="greaterThanOrEqual">
      <formula>2</formula>
    </cfRule>
    <cfRule type="cellIs" dxfId="382" priority="207" operator="notEqual">
      <formula>0</formula>
    </cfRule>
  </conditionalFormatting>
  <conditionalFormatting sqref="D8:F9">
    <cfRule type="cellIs" dxfId="381" priority="195" operator="greaterThanOrEqual">
      <formula>2</formula>
    </cfRule>
    <cfRule type="cellIs" dxfId="380" priority="200" operator="notEqual">
      <formula>0</formula>
    </cfRule>
  </conditionalFormatting>
  <conditionalFormatting sqref="D12:F14">
    <cfRule type="cellIs" dxfId="379" priority="194" operator="greaterThanOrEqual">
      <formula>2</formula>
    </cfRule>
    <cfRule type="cellIs" dxfId="378" priority="199" operator="notEqual">
      <formula>0</formula>
    </cfRule>
  </conditionalFormatting>
  <conditionalFormatting sqref="D75:G78 H75:K75 H77:K78">
    <cfRule type="cellIs" dxfId="377" priority="190" operator="greaterThanOrEqual">
      <formula>2</formula>
    </cfRule>
    <cfRule type="cellIs" dxfId="376" priority="191" operator="notEqual">
      <formula>0</formula>
    </cfRule>
  </conditionalFormatting>
  <conditionalFormatting sqref="D69:O72">
    <cfRule type="cellIs" dxfId="375" priority="188" operator="greaterThanOrEqual">
      <formula>2</formula>
    </cfRule>
    <cfRule type="cellIs" dxfId="374" priority="189" operator="notEqual">
      <formula>0</formula>
    </cfRule>
  </conditionalFormatting>
  <conditionalFormatting sqref="D63:E66 Y63:BN66">
    <cfRule type="cellIs" dxfId="373" priority="186" operator="greaterThanOrEqual">
      <formula>2</formula>
    </cfRule>
    <cfRule type="cellIs" dxfId="372" priority="187" operator="notEqual">
      <formula>0</formula>
    </cfRule>
  </conditionalFormatting>
  <conditionalFormatting sqref="D82:F114">
    <cfRule type="cellIs" dxfId="371" priority="184" operator="greaterThanOrEqual">
      <formula>2</formula>
    </cfRule>
    <cfRule type="cellIs" dxfId="370" priority="185" operator="notEqual">
      <formula>0</formula>
    </cfRule>
  </conditionalFormatting>
  <conditionalFormatting sqref="D37:K37">
    <cfRule type="cellIs" dxfId="369" priority="97" operator="greaterThanOrEqual">
      <formula>2</formula>
    </cfRule>
    <cfRule type="cellIs" dxfId="368" priority="98" operator="notEqual">
      <formula>0</formula>
    </cfRule>
  </conditionalFormatting>
  <conditionalFormatting sqref="D38:K38">
    <cfRule type="cellIs" dxfId="367" priority="95" operator="greaterThanOrEqual">
      <formula>2</formula>
    </cfRule>
    <cfRule type="cellIs" dxfId="366" priority="96" operator="notEqual">
      <formula>0</formula>
    </cfRule>
  </conditionalFormatting>
  <conditionalFormatting sqref="D44:K44">
    <cfRule type="cellIs" dxfId="365" priority="75" operator="greaterThanOrEqual">
      <formula>2</formula>
    </cfRule>
    <cfRule type="cellIs" dxfId="364" priority="76" operator="notEqual">
      <formula>0</formula>
    </cfRule>
  </conditionalFormatting>
  <conditionalFormatting sqref="D42:K42">
    <cfRule type="cellIs" dxfId="363" priority="77" operator="greaterThanOrEqual">
      <formula>2</formula>
    </cfRule>
    <cfRule type="cellIs" dxfId="362" priority="78" operator="notEqual">
      <formula>0</formula>
    </cfRule>
  </conditionalFormatting>
  <conditionalFormatting sqref="D39:K39 D41:K41 D43:K43">
    <cfRule type="cellIs" dxfId="361" priority="81" operator="greaterThanOrEqual">
      <formula>2</formula>
    </cfRule>
    <cfRule type="cellIs" dxfId="360" priority="82" operator="notEqual">
      <formula>0</formula>
    </cfRule>
  </conditionalFormatting>
  <conditionalFormatting sqref="D40:K40">
    <cfRule type="cellIs" dxfId="359" priority="79" operator="greaterThanOrEqual">
      <formula>2</formula>
    </cfRule>
    <cfRule type="cellIs" dxfId="358" priority="80" operator="notEqual">
      <formula>0</formula>
    </cfRule>
  </conditionalFormatting>
  <conditionalFormatting sqref="D51">
    <cfRule type="cellIs" dxfId="357" priority="71" operator="greaterThanOrEqual">
      <formula>2</formula>
    </cfRule>
    <cfRule type="cellIs" dxfId="356" priority="72" operator="notEqual">
      <formula>0</formula>
    </cfRule>
  </conditionalFormatting>
  <conditionalFormatting sqref="D45:K50">
    <cfRule type="cellIs" dxfId="355" priority="37" operator="greaterThanOrEqual">
      <formula>2</formula>
    </cfRule>
    <cfRule type="cellIs" dxfId="354" priority="38" operator="notEqual">
      <formula>0</formula>
    </cfRule>
  </conditionalFormatting>
  <conditionalFormatting sqref="D24:K24">
    <cfRule type="cellIs" dxfId="353" priority="51" operator="greaterThanOrEqual">
      <formula>2</formula>
    </cfRule>
    <cfRule type="cellIs" dxfId="352" priority="52" operator="notEqual">
      <formula>0</formula>
    </cfRule>
  </conditionalFormatting>
  <conditionalFormatting sqref="D26:K26">
    <cfRule type="cellIs" dxfId="351" priority="49" operator="greaterThanOrEqual">
      <formula>2</formula>
    </cfRule>
    <cfRule type="cellIs" dxfId="350" priority="50" operator="notEqual">
      <formula>0</formula>
    </cfRule>
  </conditionalFormatting>
  <conditionalFormatting sqref="D28:K28">
    <cfRule type="cellIs" dxfId="349" priority="47" operator="greaterThanOrEqual">
      <formula>2</formula>
    </cfRule>
    <cfRule type="cellIs" dxfId="348" priority="48" operator="notEqual">
      <formula>0</formula>
    </cfRule>
  </conditionalFormatting>
  <conditionalFormatting sqref="D30:K30">
    <cfRule type="cellIs" dxfId="347" priority="45" operator="greaterThanOrEqual">
      <formula>2</formula>
    </cfRule>
    <cfRule type="cellIs" dxfId="346" priority="46" operator="notEqual">
      <formula>0</formula>
    </cfRule>
  </conditionalFormatting>
  <conditionalFormatting sqref="D32:K32">
    <cfRule type="cellIs" dxfId="345" priority="43" operator="greaterThanOrEqual">
      <formula>2</formula>
    </cfRule>
    <cfRule type="cellIs" dxfId="344" priority="44" operator="notEqual">
      <formula>0</formula>
    </cfRule>
  </conditionalFormatting>
  <conditionalFormatting sqref="D34:K34">
    <cfRule type="cellIs" dxfId="343" priority="41" operator="greaterThanOrEqual">
      <formula>2</formula>
    </cfRule>
    <cfRule type="cellIs" dxfId="342" priority="42" operator="notEqual">
      <formula>0</formula>
    </cfRule>
  </conditionalFormatting>
  <conditionalFormatting sqref="D36:K36">
    <cfRule type="cellIs" dxfId="341" priority="39" operator="greaterThanOrEqual">
      <formula>2</formula>
    </cfRule>
    <cfRule type="cellIs" dxfId="340" priority="40" operator="notEqual">
      <formula>0</formula>
    </cfRule>
  </conditionalFormatting>
  <conditionalFormatting sqref="D23:K23 D25:K25 D27:K27 D29:K29 D31:K31 D33:K33 D35:K35">
    <cfRule type="cellIs" dxfId="339" priority="53" operator="greaterThanOrEqual">
      <formula>2</formula>
    </cfRule>
    <cfRule type="cellIs" dxfId="338" priority="54" operator="notEqual">
      <formula>0</formula>
    </cfRule>
  </conditionalFormatting>
  <conditionalFormatting sqref="D17:K19">
    <cfRule type="cellIs" dxfId="337" priority="35" operator="greaterThanOrEqual">
      <formula>2</formula>
    </cfRule>
    <cfRule type="cellIs" dxfId="336" priority="36" operator="notEqual">
      <formula>0</formula>
    </cfRule>
  </conditionalFormatting>
  <conditionalFormatting sqref="F64:X66 F63:R63 T63:X63">
    <cfRule type="cellIs" dxfId="335" priority="33" operator="greaterThanOrEqual">
      <formula>2</formula>
    </cfRule>
    <cfRule type="cellIs" dxfId="334" priority="34" operator="notEqual">
      <formula>0</formula>
    </cfRule>
  </conditionalFormatting>
  <conditionalFormatting sqref="S63">
    <cfRule type="cellIs" dxfId="333" priority="31" operator="greaterThanOrEqual">
      <formula>2</formula>
    </cfRule>
    <cfRule type="cellIs" dxfId="332" priority="32" operator="notEqual">
      <formula>0</formula>
    </cfRule>
  </conditionalFormatting>
  <conditionalFormatting sqref="D118:F119">
    <cfRule type="cellIs" dxfId="331" priority="29" operator="greaterThanOrEqual">
      <formula>2</formula>
    </cfRule>
    <cfRule type="cellIs" dxfId="330" priority="30" operator="notEqual">
      <formula>0</formula>
    </cfRule>
  </conditionalFormatting>
  <conditionalFormatting sqref="D120:F120">
    <cfRule type="cellIs" dxfId="329" priority="27" operator="greaterThanOrEqual">
      <formula>2</formula>
    </cfRule>
    <cfRule type="cellIs" dxfId="328" priority="28" operator="notEqual">
      <formula>0</formula>
    </cfRule>
  </conditionalFormatting>
  <conditionalFormatting sqref="G118:G119">
    <cfRule type="cellIs" dxfId="327" priority="25" operator="greaterThanOrEqual">
      <formula>2</formula>
    </cfRule>
    <cfRule type="cellIs" dxfId="326" priority="26" operator="notEqual">
      <formula>0</formula>
    </cfRule>
  </conditionalFormatting>
  <conditionalFormatting sqref="G120">
    <cfRule type="cellIs" dxfId="325" priority="23" operator="greaterThanOrEqual">
      <formula>2</formula>
    </cfRule>
    <cfRule type="cellIs" dxfId="324" priority="24" operator="notEqual">
      <formula>0</formula>
    </cfRule>
  </conditionalFormatting>
  <conditionalFormatting sqref="H76">
    <cfRule type="cellIs" dxfId="323" priority="21" operator="greaterThanOrEqual">
      <formula>2</formula>
    </cfRule>
    <cfRule type="cellIs" dxfId="322" priority="22" operator="notEqual">
      <formula>0</formula>
    </cfRule>
  </conditionalFormatting>
  <conditionalFormatting sqref="I76">
    <cfRule type="cellIs" dxfId="321" priority="19" operator="greaterThanOrEqual">
      <formula>2</formula>
    </cfRule>
    <cfRule type="cellIs" dxfId="320" priority="20" operator="notEqual">
      <formula>0</formula>
    </cfRule>
  </conditionalFormatting>
  <conditionalFormatting sqref="J76">
    <cfRule type="cellIs" dxfId="319" priority="17" operator="greaterThanOrEqual">
      <formula>2</formula>
    </cfRule>
    <cfRule type="cellIs" dxfId="318" priority="18" operator="notEqual">
      <formula>0</formula>
    </cfRule>
  </conditionalFormatting>
  <conditionalFormatting sqref="K76">
    <cfRule type="cellIs" dxfId="317" priority="15" operator="greaterThanOrEqual">
      <formula>2</formula>
    </cfRule>
    <cfRule type="cellIs" dxfId="316" priority="16" operator="notEqual">
      <formula>0</formula>
    </cfRule>
  </conditionalFormatting>
  <conditionalFormatting sqref="G8:G9">
    <cfRule type="cellIs" dxfId="315" priority="13" operator="greaterThanOrEqual">
      <formula>2</formula>
    </cfRule>
    <cfRule type="cellIs" dxfId="314" priority="14" operator="notEqual">
      <formula>0</formula>
    </cfRule>
  </conditionalFormatting>
  <conditionalFormatting sqref="G12:G13">
    <cfRule type="cellIs" dxfId="313" priority="11" operator="greaterThanOrEqual">
      <formula>2</formula>
    </cfRule>
    <cfRule type="cellIs" dxfId="312" priority="12" operator="notEqual">
      <formula>0</formula>
    </cfRule>
  </conditionalFormatting>
  <conditionalFormatting sqref="L17:L19">
    <cfRule type="cellIs" dxfId="311" priority="9" operator="greaterThanOrEqual">
      <formula>2</formula>
    </cfRule>
    <cfRule type="cellIs" dxfId="310" priority="10" operator="notEqual">
      <formula>0</formula>
    </cfRule>
  </conditionalFormatting>
  <conditionalFormatting sqref="M17:M19">
    <cfRule type="cellIs" dxfId="309" priority="7" operator="greaterThanOrEqual">
      <formula>2</formula>
    </cfRule>
    <cfRule type="cellIs" dxfId="308" priority="8" operator="notEqual">
      <formula>0</formula>
    </cfRule>
  </conditionalFormatting>
  <conditionalFormatting sqref="N17:N19">
    <cfRule type="cellIs" dxfId="307" priority="5" operator="greaterThanOrEqual">
      <formula>2</formula>
    </cfRule>
    <cfRule type="cellIs" dxfId="306" priority="6" operator="notEqual">
      <formula>0</formula>
    </cfRule>
  </conditionalFormatting>
  <conditionalFormatting sqref="O17:O19">
    <cfRule type="cellIs" dxfId="305" priority="3" operator="greaterThanOrEqual">
      <formula>2</formula>
    </cfRule>
    <cfRule type="cellIs" dxfId="304" priority="4" operator="notEqual">
      <formula>0</formula>
    </cfRule>
  </conditionalFormatting>
  <pageMargins left="0.7" right="0.7" top="0.75" bottom="0.75" header="0.3" footer="0.3"/>
  <pageSetup paperSize="9" orientation="portrait" r:id="rId1"/>
  <ignoredErrors>
    <ignoredError sqref="D10:O10 D67:O68 D63:E64 F63:G64 BF63:BN66 AR63:BE66 AE63:AQ66 O63:AD66 H63:N66 D65:G66 D73:O73 D69:O72 D79:O121 L75:O75 G76 L77:O77 L78:O78 D75:F75 D77:G78 D76:F76 G75 L74:O74 H75:K75 L76:O76 H76:K76 H77:K77 H78:K78 D8:F9 H8:O9 D14:O15 D11:F13 H11:O13 G8:G9 G12:G13 D20:O62 D17:K17 D16:K16 D18:K19 L17:O18 L19:O19" unlocked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54D2D-73A4-4B3F-ACEF-84CC6AD76492}">
  <dimension ref="A1:BC68"/>
  <sheetViews>
    <sheetView zoomScale="45" zoomScaleNormal="45" workbookViewId="0">
      <selection activeCell="BD5" sqref="BD5"/>
    </sheetView>
  </sheetViews>
  <sheetFormatPr defaultColWidth="8.83203125" defaultRowHeight="10" x14ac:dyDescent="0.55000000000000004"/>
  <cols>
    <col min="1" max="2" width="8.83203125" style="35"/>
    <col min="3" max="3" width="18.58203125" style="35" customWidth="1"/>
    <col min="4" max="5" width="3.33203125" style="35" customWidth="1"/>
    <col min="6" max="49" width="2.33203125" style="35" customWidth="1"/>
    <col min="50" max="51" width="3.33203125" style="35" customWidth="1"/>
    <col min="52" max="52" width="18.58203125" style="35" customWidth="1"/>
    <col min="53" max="55" width="8.58203125" style="35" customWidth="1"/>
    <col min="56" max="277" width="8.83203125" style="35"/>
    <col min="278" max="278" width="14.33203125" style="35" customWidth="1"/>
    <col min="279" max="280" width="3.33203125" style="35" customWidth="1"/>
    <col min="281" max="305" width="2.4140625" style="35" customWidth="1"/>
    <col min="306" max="307" width="3.33203125" style="35" customWidth="1"/>
    <col min="308" max="308" width="14.33203125" style="35" customWidth="1"/>
    <col min="309" max="533" width="8.83203125" style="35"/>
    <col min="534" max="534" width="14.33203125" style="35" customWidth="1"/>
    <col min="535" max="536" width="3.33203125" style="35" customWidth="1"/>
    <col min="537" max="561" width="2.4140625" style="35" customWidth="1"/>
    <col min="562" max="563" width="3.33203125" style="35" customWidth="1"/>
    <col min="564" max="564" width="14.33203125" style="35" customWidth="1"/>
    <col min="565" max="789" width="8.83203125" style="35"/>
    <col min="790" max="790" width="14.33203125" style="35" customWidth="1"/>
    <col min="791" max="792" width="3.33203125" style="35" customWidth="1"/>
    <col min="793" max="817" width="2.4140625" style="35" customWidth="1"/>
    <col min="818" max="819" width="3.33203125" style="35" customWidth="1"/>
    <col min="820" max="820" width="14.33203125" style="35" customWidth="1"/>
    <col min="821" max="1045" width="8.83203125" style="35"/>
    <col min="1046" max="1046" width="14.33203125" style="35" customWidth="1"/>
    <col min="1047" max="1048" width="3.33203125" style="35" customWidth="1"/>
    <col min="1049" max="1073" width="2.4140625" style="35" customWidth="1"/>
    <col min="1074" max="1075" width="3.33203125" style="35" customWidth="1"/>
    <col min="1076" max="1076" width="14.33203125" style="35" customWidth="1"/>
    <col min="1077" max="1301" width="8.83203125" style="35"/>
    <col min="1302" max="1302" width="14.33203125" style="35" customWidth="1"/>
    <col min="1303" max="1304" width="3.33203125" style="35" customWidth="1"/>
    <col min="1305" max="1329" width="2.4140625" style="35" customWidth="1"/>
    <col min="1330" max="1331" width="3.33203125" style="35" customWidth="1"/>
    <col min="1332" max="1332" width="14.33203125" style="35" customWidth="1"/>
    <col min="1333" max="1557" width="8.83203125" style="35"/>
    <col min="1558" max="1558" width="14.33203125" style="35" customWidth="1"/>
    <col min="1559" max="1560" width="3.33203125" style="35" customWidth="1"/>
    <col min="1561" max="1585" width="2.4140625" style="35" customWidth="1"/>
    <col min="1586" max="1587" width="3.33203125" style="35" customWidth="1"/>
    <col min="1588" max="1588" width="14.33203125" style="35" customWidth="1"/>
    <col min="1589" max="1813" width="8.83203125" style="35"/>
    <col min="1814" max="1814" width="14.33203125" style="35" customWidth="1"/>
    <col min="1815" max="1816" width="3.33203125" style="35" customWidth="1"/>
    <col min="1817" max="1841" width="2.4140625" style="35" customWidth="1"/>
    <col min="1842" max="1843" width="3.33203125" style="35" customWidth="1"/>
    <col min="1844" max="1844" width="14.33203125" style="35" customWidth="1"/>
    <col min="1845" max="2069" width="8.83203125" style="35"/>
    <col min="2070" max="2070" width="14.33203125" style="35" customWidth="1"/>
    <col min="2071" max="2072" width="3.33203125" style="35" customWidth="1"/>
    <col min="2073" max="2097" width="2.4140625" style="35" customWidth="1"/>
    <col min="2098" max="2099" width="3.33203125" style="35" customWidth="1"/>
    <col min="2100" max="2100" width="14.33203125" style="35" customWidth="1"/>
    <col min="2101" max="2325" width="8.83203125" style="35"/>
    <col min="2326" max="2326" width="14.33203125" style="35" customWidth="1"/>
    <col min="2327" max="2328" width="3.33203125" style="35" customWidth="1"/>
    <col min="2329" max="2353" width="2.4140625" style="35" customWidth="1"/>
    <col min="2354" max="2355" width="3.33203125" style="35" customWidth="1"/>
    <col min="2356" max="2356" width="14.33203125" style="35" customWidth="1"/>
    <col min="2357" max="2581" width="8.83203125" style="35"/>
    <col min="2582" max="2582" width="14.33203125" style="35" customWidth="1"/>
    <col min="2583" max="2584" width="3.33203125" style="35" customWidth="1"/>
    <col min="2585" max="2609" width="2.4140625" style="35" customWidth="1"/>
    <col min="2610" max="2611" width="3.33203125" style="35" customWidth="1"/>
    <col min="2612" max="2612" width="14.33203125" style="35" customWidth="1"/>
    <col min="2613" max="2837" width="8.83203125" style="35"/>
    <col min="2838" max="2838" width="14.33203125" style="35" customWidth="1"/>
    <col min="2839" max="2840" width="3.33203125" style="35" customWidth="1"/>
    <col min="2841" max="2865" width="2.4140625" style="35" customWidth="1"/>
    <col min="2866" max="2867" width="3.33203125" style="35" customWidth="1"/>
    <col min="2868" max="2868" width="14.33203125" style="35" customWidth="1"/>
    <col min="2869" max="3093" width="8.83203125" style="35"/>
    <col min="3094" max="3094" width="14.33203125" style="35" customWidth="1"/>
    <col min="3095" max="3096" width="3.33203125" style="35" customWidth="1"/>
    <col min="3097" max="3121" width="2.4140625" style="35" customWidth="1"/>
    <col min="3122" max="3123" width="3.33203125" style="35" customWidth="1"/>
    <col min="3124" max="3124" width="14.33203125" style="35" customWidth="1"/>
    <col min="3125" max="3349" width="8.83203125" style="35"/>
    <col min="3350" max="3350" width="14.33203125" style="35" customWidth="1"/>
    <col min="3351" max="3352" width="3.33203125" style="35" customWidth="1"/>
    <col min="3353" max="3377" width="2.4140625" style="35" customWidth="1"/>
    <col min="3378" max="3379" width="3.33203125" style="35" customWidth="1"/>
    <col min="3380" max="3380" width="14.33203125" style="35" customWidth="1"/>
    <col min="3381" max="3605" width="8.83203125" style="35"/>
    <col min="3606" max="3606" width="14.33203125" style="35" customWidth="1"/>
    <col min="3607" max="3608" width="3.33203125" style="35" customWidth="1"/>
    <col min="3609" max="3633" width="2.4140625" style="35" customWidth="1"/>
    <col min="3634" max="3635" width="3.33203125" style="35" customWidth="1"/>
    <col min="3636" max="3636" width="14.33203125" style="35" customWidth="1"/>
    <col min="3637" max="3861" width="8.83203125" style="35"/>
    <col min="3862" max="3862" width="14.33203125" style="35" customWidth="1"/>
    <col min="3863" max="3864" width="3.33203125" style="35" customWidth="1"/>
    <col min="3865" max="3889" width="2.4140625" style="35" customWidth="1"/>
    <col min="3890" max="3891" width="3.33203125" style="35" customWidth="1"/>
    <col min="3892" max="3892" width="14.33203125" style="35" customWidth="1"/>
    <col min="3893" max="4117" width="8.83203125" style="35"/>
    <col min="4118" max="4118" width="14.33203125" style="35" customWidth="1"/>
    <col min="4119" max="4120" width="3.33203125" style="35" customWidth="1"/>
    <col min="4121" max="4145" width="2.4140625" style="35" customWidth="1"/>
    <col min="4146" max="4147" width="3.33203125" style="35" customWidth="1"/>
    <col min="4148" max="4148" width="14.33203125" style="35" customWidth="1"/>
    <col min="4149" max="4373" width="8.83203125" style="35"/>
    <col min="4374" max="4374" width="14.33203125" style="35" customWidth="1"/>
    <col min="4375" max="4376" width="3.33203125" style="35" customWidth="1"/>
    <col min="4377" max="4401" width="2.4140625" style="35" customWidth="1"/>
    <col min="4402" max="4403" width="3.33203125" style="35" customWidth="1"/>
    <col min="4404" max="4404" width="14.33203125" style="35" customWidth="1"/>
    <col min="4405" max="4629" width="8.83203125" style="35"/>
    <col min="4630" max="4630" width="14.33203125" style="35" customWidth="1"/>
    <col min="4631" max="4632" width="3.33203125" style="35" customWidth="1"/>
    <col min="4633" max="4657" width="2.4140625" style="35" customWidth="1"/>
    <col min="4658" max="4659" width="3.33203125" style="35" customWidth="1"/>
    <col min="4660" max="4660" width="14.33203125" style="35" customWidth="1"/>
    <col min="4661" max="4885" width="8.83203125" style="35"/>
    <col min="4886" max="4886" width="14.33203125" style="35" customWidth="1"/>
    <col min="4887" max="4888" width="3.33203125" style="35" customWidth="1"/>
    <col min="4889" max="4913" width="2.4140625" style="35" customWidth="1"/>
    <col min="4914" max="4915" width="3.33203125" style="35" customWidth="1"/>
    <col min="4916" max="4916" width="14.33203125" style="35" customWidth="1"/>
    <col min="4917" max="5141" width="8.83203125" style="35"/>
    <col min="5142" max="5142" width="14.33203125" style="35" customWidth="1"/>
    <col min="5143" max="5144" width="3.33203125" style="35" customWidth="1"/>
    <col min="5145" max="5169" width="2.4140625" style="35" customWidth="1"/>
    <col min="5170" max="5171" width="3.33203125" style="35" customWidth="1"/>
    <col min="5172" max="5172" width="14.33203125" style="35" customWidth="1"/>
    <col min="5173" max="5397" width="8.83203125" style="35"/>
    <col min="5398" max="5398" width="14.33203125" style="35" customWidth="1"/>
    <col min="5399" max="5400" width="3.33203125" style="35" customWidth="1"/>
    <col min="5401" max="5425" width="2.4140625" style="35" customWidth="1"/>
    <col min="5426" max="5427" width="3.33203125" style="35" customWidth="1"/>
    <col min="5428" max="5428" width="14.33203125" style="35" customWidth="1"/>
    <col min="5429" max="5653" width="8.83203125" style="35"/>
    <col min="5654" max="5654" width="14.33203125" style="35" customWidth="1"/>
    <col min="5655" max="5656" width="3.33203125" style="35" customWidth="1"/>
    <col min="5657" max="5681" width="2.4140625" style="35" customWidth="1"/>
    <col min="5682" max="5683" width="3.33203125" style="35" customWidth="1"/>
    <col min="5684" max="5684" width="14.33203125" style="35" customWidth="1"/>
    <col min="5685" max="5909" width="8.83203125" style="35"/>
    <col min="5910" max="5910" width="14.33203125" style="35" customWidth="1"/>
    <col min="5911" max="5912" width="3.33203125" style="35" customWidth="1"/>
    <col min="5913" max="5937" width="2.4140625" style="35" customWidth="1"/>
    <col min="5938" max="5939" width="3.33203125" style="35" customWidth="1"/>
    <col min="5940" max="5940" width="14.33203125" style="35" customWidth="1"/>
    <col min="5941" max="6165" width="8.83203125" style="35"/>
    <col min="6166" max="6166" width="14.33203125" style="35" customWidth="1"/>
    <col min="6167" max="6168" width="3.33203125" style="35" customWidth="1"/>
    <col min="6169" max="6193" width="2.4140625" style="35" customWidth="1"/>
    <col min="6194" max="6195" width="3.33203125" style="35" customWidth="1"/>
    <col min="6196" max="6196" width="14.33203125" style="35" customWidth="1"/>
    <col min="6197" max="6421" width="8.83203125" style="35"/>
    <col min="6422" max="6422" width="14.33203125" style="35" customWidth="1"/>
    <col min="6423" max="6424" width="3.33203125" style="35" customWidth="1"/>
    <col min="6425" max="6449" width="2.4140625" style="35" customWidth="1"/>
    <col min="6450" max="6451" width="3.33203125" style="35" customWidth="1"/>
    <col min="6452" max="6452" width="14.33203125" style="35" customWidth="1"/>
    <col min="6453" max="6677" width="8.83203125" style="35"/>
    <col min="6678" max="6678" width="14.33203125" style="35" customWidth="1"/>
    <col min="6679" max="6680" width="3.33203125" style="35" customWidth="1"/>
    <col min="6681" max="6705" width="2.4140625" style="35" customWidth="1"/>
    <col min="6706" max="6707" width="3.33203125" style="35" customWidth="1"/>
    <col min="6708" max="6708" width="14.33203125" style="35" customWidth="1"/>
    <col min="6709" max="6933" width="8.83203125" style="35"/>
    <col min="6934" max="6934" width="14.33203125" style="35" customWidth="1"/>
    <col min="6935" max="6936" width="3.33203125" style="35" customWidth="1"/>
    <col min="6937" max="6961" width="2.4140625" style="35" customWidth="1"/>
    <col min="6962" max="6963" width="3.33203125" style="35" customWidth="1"/>
    <col min="6964" max="6964" width="14.33203125" style="35" customWidth="1"/>
    <col min="6965" max="7189" width="8.83203125" style="35"/>
    <col min="7190" max="7190" width="14.33203125" style="35" customWidth="1"/>
    <col min="7191" max="7192" width="3.33203125" style="35" customWidth="1"/>
    <col min="7193" max="7217" width="2.4140625" style="35" customWidth="1"/>
    <col min="7218" max="7219" width="3.33203125" style="35" customWidth="1"/>
    <col min="7220" max="7220" width="14.33203125" style="35" customWidth="1"/>
    <col min="7221" max="7445" width="8.83203125" style="35"/>
    <col min="7446" max="7446" width="14.33203125" style="35" customWidth="1"/>
    <col min="7447" max="7448" width="3.33203125" style="35" customWidth="1"/>
    <col min="7449" max="7473" width="2.4140625" style="35" customWidth="1"/>
    <col min="7474" max="7475" width="3.33203125" style="35" customWidth="1"/>
    <col min="7476" max="7476" width="14.33203125" style="35" customWidth="1"/>
    <col min="7477" max="7701" width="8.83203125" style="35"/>
    <col min="7702" max="7702" width="14.33203125" style="35" customWidth="1"/>
    <col min="7703" max="7704" width="3.33203125" style="35" customWidth="1"/>
    <col min="7705" max="7729" width="2.4140625" style="35" customWidth="1"/>
    <col min="7730" max="7731" width="3.33203125" style="35" customWidth="1"/>
    <col min="7732" max="7732" width="14.33203125" style="35" customWidth="1"/>
    <col min="7733" max="7957" width="8.83203125" style="35"/>
    <col min="7958" max="7958" width="14.33203125" style="35" customWidth="1"/>
    <col min="7959" max="7960" width="3.33203125" style="35" customWidth="1"/>
    <col min="7961" max="7985" width="2.4140625" style="35" customWidth="1"/>
    <col min="7986" max="7987" width="3.33203125" style="35" customWidth="1"/>
    <col min="7988" max="7988" width="14.33203125" style="35" customWidth="1"/>
    <col min="7989" max="8213" width="8.83203125" style="35"/>
    <col min="8214" max="8214" width="14.33203125" style="35" customWidth="1"/>
    <col min="8215" max="8216" width="3.33203125" style="35" customWidth="1"/>
    <col min="8217" max="8241" width="2.4140625" style="35" customWidth="1"/>
    <col min="8242" max="8243" width="3.33203125" style="35" customWidth="1"/>
    <col min="8244" max="8244" width="14.33203125" style="35" customWidth="1"/>
    <col min="8245" max="8469" width="8.83203125" style="35"/>
    <col min="8470" max="8470" width="14.33203125" style="35" customWidth="1"/>
    <col min="8471" max="8472" width="3.33203125" style="35" customWidth="1"/>
    <col min="8473" max="8497" width="2.4140625" style="35" customWidth="1"/>
    <col min="8498" max="8499" width="3.33203125" style="35" customWidth="1"/>
    <col min="8500" max="8500" width="14.33203125" style="35" customWidth="1"/>
    <col min="8501" max="8725" width="8.83203125" style="35"/>
    <col min="8726" max="8726" width="14.33203125" style="35" customWidth="1"/>
    <col min="8727" max="8728" width="3.33203125" style="35" customWidth="1"/>
    <col min="8729" max="8753" width="2.4140625" style="35" customWidth="1"/>
    <col min="8754" max="8755" width="3.33203125" style="35" customWidth="1"/>
    <col min="8756" max="8756" width="14.33203125" style="35" customWidth="1"/>
    <col min="8757" max="8981" width="8.83203125" style="35"/>
    <col min="8982" max="8982" width="14.33203125" style="35" customWidth="1"/>
    <col min="8983" max="8984" width="3.33203125" style="35" customWidth="1"/>
    <col min="8985" max="9009" width="2.4140625" style="35" customWidth="1"/>
    <col min="9010" max="9011" width="3.33203125" style="35" customWidth="1"/>
    <col min="9012" max="9012" width="14.33203125" style="35" customWidth="1"/>
    <col min="9013" max="9237" width="8.83203125" style="35"/>
    <col min="9238" max="9238" width="14.33203125" style="35" customWidth="1"/>
    <col min="9239" max="9240" width="3.33203125" style="35" customWidth="1"/>
    <col min="9241" max="9265" width="2.4140625" style="35" customWidth="1"/>
    <col min="9266" max="9267" width="3.33203125" style="35" customWidth="1"/>
    <col min="9268" max="9268" width="14.33203125" style="35" customWidth="1"/>
    <col min="9269" max="9493" width="8.83203125" style="35"/>
    <col min="9494" max="9494" width="14.33203125" style="35" customWidth="1"/>
    <col min="9495" max="9496" width="3.33203125" style="35" customWidth="1"/>
    <col min="9497" max="9521" width="2.4140625" style="35" customWidth="1"/>
    <col min="9522" max="9523" width="3.33203125" style="35" customWidth="1"/>
    <col min="9524" max="9524" width="14.33203125" style="35" customWidth="1"/>
    <col min="9525" max="9749" width="8.83203125" style="35"/>
    <col min="9750" max="9750" width="14.33203125" style="35" customWidth="1"/>
    <col min="9751" max="9752" width="3.33203125" style="35" customWidth="1"/>
    <col min="9753" max="9777" width="2.4140625" style="35" customWidth="1"/>
    <col min="9778" max="9779" width="3.33203125" style="35" customWidth="1"/>
    <col min="9780" max="9780" width="14.33203125" style="35" customWidth="1"/>
    <col min="9781" max="10005" width="8.83203125" style="35"/>
    <col min="10006" max="10006" width="14.33203125" style="35" customWidth="1"/>
    <col min="10007" max="10008" width="3.33203125" style="35" customWidth="1"/>
    <col min="10009" max="10033" width="2.4140625" style="35" customWidth="1"/>
    <col min="10034" max="10035" width="3.33203125" style="35" customWidth="1"/>
    <col min="10036" max="10036" width="14.33203125" style="35" customWidth="1"/>
    <col min="10037" max="10261" width="8.83203125" style="35"/>
    <col min="10262" max="10262" width="14.33203125" style="35" customWidth="1"/>
    <col min="10263" max="10264" width="3.33203125" style="35" customWidth="1"/>
    <col min="10265" max="10289" width="2.4140625" style="35" customWidth="1"/>
    <col min="10290" max="10291" width="3.33203125" style="35" customWidth="1"/>
    <col min="10292" max="10292" width="14.33203125" style="35" customWidth="1"/>
    <col min="10293" max="10517" width="8.83203125" style="35"/>
    <col min="10518" max="10518" width="14.33203125" style="35" customWidth="1"/>
    <col min="10519" max="10520" width="3.33203125" style="35" customWidth="1"/>
    <col min="10521" max="10545" width="2.4140625" style="35" customWidth="1"/>
    <col min="10546" max="10547" width="3.33203125" style="35" customWidth="1"/>
    <col min="10548" max="10548" width="14.33203125" style="35" customWidth="1"/>
    <col min="10549" max="10773" width="8.83203125" style="35"/>
    <col min="10774" max="10774" width="14.33203125" style="35" customWidth="1"/>
    <col min="10775" max="10776" width="3.33203125" style="35" customWidth="1"/>
    <col min="10777" max="10801" width="2.4140625" style="35" customWidth="1"/>
    <col min="10802" max="10803" width="3.33203125" style="35" customWidth="1"/>
    <col min="10804" max="10804" width="14.33203125" style="35" customWidth="1"/>
    <col min="10805" max="11029" width="8.83203125" style="35"/>
    <col min="11030" max="11030" width="14.33203125" style="35" customWidth="1"/>
    <col min="11031" max="11032" width="3.33203125" style="35" customWidth="1"/>
    <col min="11033" max="11057" width="2.4140625" style="35" customWidth="1"/>
    <col min="11058" max="11059" width="3.33203125" style="35" customWidth="1"/>
    <col min="11060" max="11060" width="14.33203125" style="35" customWidth="1"/>
    <col min="11061" max="11285" width="8.83203125" style="35"/>
    <col min="11286" max="11286" width="14.33203125" style="35" customWidth="1"/>
    <col min="11287" max="11288" width="3.33203125" style="35" customWidth="1"/>
    <col min="11289" max="11313" width="2.4140625" style="35" customWidth="1"/>
    <col min="11314" max="11315" width="3.33203125" style="35" customWidth="1"/>
    <col min="11316" max="11316" width="14.33203125" style="35" customWidth="1"/>
    <col min="11317" max="11541" width="8.83203125" style="35"/>
    <col min="11542" max="11542" width="14.33203125" style="35" customWidth="1"/>
    <col min="11543" max="11544" width="3.33203125" style="35" customWidth="1"/>
    <col min="11545" max="11569" width="2.4140625" style="35" customWidth="1"/>
    <col min="11570" max="11571" width="3.33203125" style="35" customWidth="1"/>
    <col min="11572" max="11572" width="14.33203125" style="35" customWidth="1"/>
    <col min="11573" max="11797" width="8.83203125" style="35"/>
    <col min="11798" max="11798" width="14.33203125" style="35" customWidth="1"/>
    <col min="11799" max="11800" width="3.33203125" style="35" customWidth="1"/>
    <col min="11801" max="11825" width="2.4140625" style="35" customWidth="1"/>
    <col min="11826" max="11827" width="3.33203125" style="35" customWidth="1"/>
    <col min="11828" max="11828" width="14.33203125" style="35" customWidth="1"/>
    <col min="11829" max="12053" width="8.83203125" style="35"/>
    <col min="12054" max="12054" width="14.33203125" style="35" customWidth="1"/>
    <col min="12055" max="12056" width="3.33203125" style="35" customWidth="1"/>
    <col min="12057" max="12081" width="2.4140625" style="35" customWidth="1"/>
    <col min="12082" max="12083" width="3.33203125" style="35" customWidth="1"/>
    <col min="12084" max="12084" width="14.33203125" style="35" customWidth="1"/>
    <col min="12085" max="12309" width="8.83203125" style="35"/>
    <col min="12310" max="12310" width="14.33203125" style="35" customWidth="1"/>
    <col min="12311" max="12312" width="3.33203125" style="35" customWidth="1"/>
    <col min="12313" max="12337" width="2.4140625" style="35" customWidth="1"/>
    <col min="12338" max="12339" width="3.33203125" style="35" customWidth="1"/>
    <col min="12340" max="12340" width="14.33203125" style="35" customWidth="1"/>
    <col min="12341" max="12565" width="8.83203125" style="35"/>
    <col min="12566" max="12566" width="14.33203125" style="35" customWidth="1"/>
    <col min="12567" max="12568" width="3.33203125" style="35" customWidth="1"/>
    <col min="12569" max="12593" width="2.4140625" style="35" customWidth="1"/>
    <col min="12594" max="12595" width="3.33203125" style="35" customWidth="1"/>
    <col min="12596" max="12596" width="14.33203125" style="35" customWidth="1"/>
    <col min="12597" max="12821" width="8.83203125" style="35"/>
    <col min="12822" max="12822" width="14.33203125" style="35" customWidth="1"/>
    <col min="12823" max="12824" width="3.33203125" style="35" customWidth="1"/>
    <col min="12825" max="12849" width="2.4140625" style="35" customWidth="1"/>
    <col min="12850" max="12851" width="3.33203125" style="35" customWidth="1"/>
    <col min="12852" max="12852" width="14.33203125" style="35" customWidth="1"/>
    <col min="12853" max="13077" width="8.83203125" style="35"/>
    <col min="13078" max="13078" width="14.33203125" style="35" customWidth="1"/>
    <col min="13079" max="13080" width="3.33203125" style="35" customWidth="1"/>
    <col min="13081" max="13105" width="2.4140625" style="35" customWidth="1"/>
    <col min="13106" max="13107" width="3.33203125" style="35" customWidth="1"/>
    <col min="13108" max="13108" width="14.33203125" style="35" customWidth="1"/>
    <col min="13109" max="13333" width="8.83203125" style="35"/>
    <col min="13334" max="13334" width="14.33203125" style="35" customWidth="1"/>
    <col min="13335" max="13336" width="3.33203125" style="35" customWidth="1"/>
    <col min="13337" max="13361" width="2.4140625" style="35" customWidth="1"/>
    <col min="13362" max="13363" width="3.33203125" style="35" customWidth="1"/>
    <col min="13364" max="13364" width="14.33203125" style="35" customWidth="1"/>
    <col min="13365" max="13589" width="8.83203125" style="35"/>
    <col min="13590" max="13590" width="14.33203125" style="35" customWidth="1"/>
    <col min="13591" max="13592" width="3.33203125" style="35" customWidth="1"/>
    <col min="13593" max="13617" width="2.4140625" style="35" customWidth="1"/>
    <col min="13618" max="13619" width="3.33203125" style="35" customWidth="1"/>
    <col min="13620" max="13620" width="14.33203125" style="35" customWidth="1"/>
    <col min="13621" max="13845" width="8.83203125" style="35"/>
    <col min="13846" max="13846" width="14.33203125" style="35" customWidth="1"/>
    <col min="13847" max="13848" width="3.33203125" style="35" customWidth="1"/>
    <col min="13849" max="13873" width="2.4140625" style="35" customWidth="1"/>
    <col min="13874" max="13875" width="3.33203125" style="35" customWidth="1"/>
    <col min="13876" max="13876" width="14.33203125" style="35" customWidth="1"/>
    <col min="13877" max="14101" width="8.83203125" style="35"/>
    <col min="14102" max="14102" width="14.33203125" style="35" customWidth="1"/>
    <col min="14103" max="14104" width="3.33203125" style="35" customWidth="1"/>
    <col min="14105" max="14129" width="2.4140625" style="35" customWidth="1"/>
    <col min="14130" max="14131" width="3.33203125" style="35" customWidth="1"/>
    <col min="14132" max="14132" width="14.33203125" style="35" customWidth="1"/>
    <col min="14133" max="14357" width="8.83203125" style="35"/>
    <col min="14358" max="14358" width="14.33203125" style="35" customWidth="1"/>
    <col min="14359" max="14360" width="3.33203125" style="35" customWidth="1"/>
    <col min="14361" max="14385" width="2.4140625" style="35" customWidth="1"/>
    <col min="14386" max="14387" width="3.33203125" style="35" customWidth="1"/>
    <col min="14388" max="14388" width="14.33203125" style="35" customWidth="1"/>
    <col min="14389" max="14613" width="8.83203125" style="35"/>
    <col min="14614" max="14614" width="14.33203125" style="35" customWidth="1"/>
    <col min="14615" max="14616" width="3.33203125" style="35" customWidth="1"/>
    <col min="14617" max="14641" width="2.4140625" style="35" customWidth="1"/>
    <col min="14642" max="14643" width="3.33203125" style="35" customWidth="1"/>
    <col min="14644" max="14644" width="14.33203125" style="35" customWidth="1"/>
    <col min="14645" max="14869" width="8.83203125" style="35"/>
    <col min="14870" max="14870" width="14.33203125" style="35" customWidth="1"/>
    <col min="14871" max="14872" width="3.33203125" style="35" customWidth="1"/>
    <col min="14873" max="14897" width="2.4140625" style="35" customWidth="1"/>
    <col min="14898" max="14899" width="3.33203125" style="35" customWidth="1"/>
    <col min="14900" max="14900" width="14.33203125" style="35" customWidth="1"/>
    <col min="14901" max="15125" width="8.83203125" style="35"/>
    <col min="15126" max="15126" width="14.33203125" style="35" customWidth="1"/>
    <col min="15127" max="15128" width="3.33203125" style="35" customWidth="1"/>
    <col min="15129" max="15153" width="2.4140625" style="35" customWidth="1"/>
    <col min="15154" max="15155" width="3.33203125" style="35" customWidth="1"/>
    <col min="15156" max="15156" width="14.33203125" style="35" customWidth="1"/>
    <col min="15157" max="15381" width="8.83203125" style="35"/>
    <col min="15382" max="15382" width="14.33203125" style="35" customWidth="1"/>
    <col min="15383" max="15384" width="3.33203125" style="35" customWidth="1"/>
    <col min="15385" max="15409" width="2.4140625" style="35" customWidth="1"/>
    <col min="15410" max="15411" width="3.33203125" style="35" customWidth="1"/>
    <col min="15412" max="15412" width="14.33203125" style="35" customWidth="1"/>
    <col min="15413" max="15637" width="8.83203125" style="35"/>
    <col min="15638" max="15638" width="14.33203125" style="35" customWidth="1"/>
    <col min="15639" max="15640" width="3.33203125" style="35" customWidth="1"/>
    <col min="15641" max="15665" width="2.4140625" style="35" customWidth="1"/>
    <col min="15666" max="15667" width="3.33203125" style="35" customWidth="1"/>
    <col min="15668" max="15668" width="14.33203125" style="35" customWidth="1"/>
    <col min="15669" max="15893" width="8.83203125" style="35"/>
    <col min="15894" max="15894" width="14.33203125" style="35" customWidth="1"/>
    <col min="15895" max="15896" width="3.33203125" style="35" customWidth="1"/>
    <col min="15897" max="15921" width="2.4140625" style="35" customWidth="1"/>
    <col min="15922" max="15923" width="3.33203125" style="35" customWidth="1"/>
    <col min="15924" max="15924" width="14.33203125" style="35" customWidth="1"/>
    <col min="15925" max="16149" width="8.83203125" style="35"/>
    <col min="16150" max="16150" width="14.33203125" style="35" customWidth="1"/>
    <col min="16151" max="16152" width="3.33203125" style="35" customWidth="1"/>
    <col min="16153" max="16177" width="2.4140625" style="35" customWidth="1"/>
    <col min="16178" max="16179" width="3.33203125" style="35" customWidth="1"/>
    <col min="16180" max="16180" width="14.33203125" style="35" customWidth="1"/>
    <col min="16181" max="16384" width="8.83203125" style="35"/>
  </cols>
  <sheetData>
    <row r="1" spans="1:55" ht="25" customHeight="1" x14ac:dyDescent="0.55000000000000004">
      <c r="A1" s="34" t="s">
        <v>366</v>
      </c>
      <c r="BA1" s="4"/>
      <c r="BB1" s="4"/>
      <c r="BC1" s="4"/>
    </row>
    <row r="2" spans="1:55" ht="25" customHeight="1" x14ac:dyDescent="0.55000000000000004">
      <c r="A2" s="34"/>
      <c r="BA2" s="4"/>
      <c r="BB2" s="4"/>
      <c r="BC2" s="4"/>
    </row>
    <row r="3" spans="1:55" ht="25" customHeight="1" x14ac:dyDescent="0.55000000000000004">
      <c r="A3" s="34"/>
      <c r="BA3" s="4"/>
      <c r="BB3" s="4"/>
      <c r="BC3" s="4"/>
    </row>
    <row r="4" spans="1:55" ht="25" customHeight="1" x14ac:dyDescent="0.55000000000000004">
      <c r="A4" s="34"/>
      <c r="BA4" s="4"/>
      <c r="BB4" s="4"/>
      <c r="BC4" s="4"/>
    </row>
    <row r="5" spans="1:55" ht="25" customHeight="1" x14ac:dyDescent="0.55000000000000004">
      <c r="A5" s="34"/>
      <c r="BA5" s="4"/>
      <c r="BB5" s="4"/>
      <c r="BC5" s="24" t="s">
        <v>1185</v>
      </c>
    </row>
    <row r="7" spans="1:55" ht="105" customHeight="1" x14ac:dyDescent="0.55000000000000004">
      <c r="F7" s="68" t="str">
        <f>'PF176'!V185</f>
        <v>VDDD</v>
      </c>
      <c r="G7" s="69">
        <f>'PF176'!V184</f>
        <v>0</v>
      </c>
      <c r="H7" s="69">
        <f>'PF176'!V183</f>
        <v>0</v>
      </c>
      <c r="I7" s="69">
        <f>'PF176'!V182</f>
        <v>0</v>
      </c>
      <c r="J7" s="69">
        <f>'PF176'!V181</f>
        <v>0</v>
      </c>
      <c r="K7" s="69">
        <f>'PF176'!V180</f>
        <v>0</v>
      </c>
      <c r="L7" s="69">
        <f>'PF176'!V179</f>
        <v>0</v>
      </c>
      <c r="M7" s="69">
        <f>'PF176'!V178</f>
        <v>0</v>
      </c>
      <c r="N7" s="69">
        <f>'PF176'!V177</f>
        <v>0</v>
      </c>
      <c r="O7" s="69">
        <f>'PF176'!V176</f>
        <v>0</v>
      </c>
      <c r="P7" s="69">
        <f>'PF176'!V175</f>
        <v>0</v>
      </c>
      <c r="Q7" s="69">
        <f>'PF176'!V174</f>
        <v>0</v>
      </c>
      <c r="R7" s="69">
        <f>'PF176'!V173</f>
        <v>0</v>
      </c>
      <c r="S7" s="69">
        <f>'PF176'!V172</f>
        <v>0</v>
      </c>
      <c r="T7" s="69">
        <f>'PF176'!V171</f>
        <v>0</v>
      </c>
      <c r="U7" s="69">
        <f>'PF176'!V170</f>
        <v>0</v>
      </c>
      <c r="V7" s="69">
        <f>'PF176'!V169</f>
        <v>0</v>
      </c>
      <c r="W7" s="69">
        <f>'PF176'!V168</f>
        <v>0</v>
      </c>
      <c r="X7" s="69">
        <f>'PF176'!V167</f>
        <v>0</v>
      </c>
      <c r="Y7" s="69">
        <f>'PF176'!V166</f>
        <v>0</v>
      </c>
      <c r="Z7" s="68" t="str">
        <f>'PF176'!V165</f>
        <v>VCCD</v>
      </c>
      <c r="AA7" s="70" t="str">
        <f>'PF176'!V164</f>
        <v>VSSD</v>
      </c>
      <c r="AB7" s="70" t="str">
        <f>'PF176'!V163</f>
        <v>VSSD</v>
      </c>
      <c r="AC7" s="68" t="str">
        <f>'PF176'!V162</f>
        <v>VDDD</v>
      </c>
      <c r="AD7" s="71" t="str">
        <f>'PF176'!V161</f>
        <v>XRES_L</v>
      </c>
      <c r="AE7" s="69">
        <f>'PF176'!V160</f>
        <v>0</v>
      </c>
      <c r="AF7" s="69">
        <f>'PF176'!V159</f>
        <v>0</v>
      </c>
      <c r="AG7" s="69">
        <f>'PF176'!V158</f>
        <v>0</v>
      </c>
      <c r="AH7" s="69">
        <f>'PF176'!V157</f>
        <v>0</v>
      </c>
      <c r="AI7" s="69">
        <f>'PF176'!V156</f>
        <v>0</v>
      </c>
      <c r="AJ7" s="69">
        <f>'PF176'!V155</f>
        <v>0</v>
      </c>
      <c r="AK7" s="69">
        <f>'PF176'!V154</f>
        <v>0</v>
      </c>
      <c r="AL7" s="69">
        <f>'PF176'!V153</f>
        <v>0</v>
      </c>
      <c r="AM7" s="69">
        <f>'PF176'!V152</f>
        <v>0</v>
      </c>
      <c r="AN7" s="69">
        <f>'PF176'!V151</f>
        <v>0</v>
      </c>
      <c r="AO7" s="69">
        <f>'PF176'!V150</f>
        <v>0</v>
      </c>
      <c r="AP7" s="69">
        <f>'PF176'!V149</f>
        <v>0</v>
      </c>
      <c r="AQ7" s="69">
        <f>'PF176'!V148</f>
        <v>0</v>
      </c>
      <c r="AR7" s="69">
        <f>'PF176'!V147</f>
        <v>0</v>
      </c>
      <c r="AS7" s="69">
        <f>'PF176'!V146</f>
        <v>0</v>
      </c>
      <c r="AT7" s="69">
        <f>'PF176'!V145</f>
        <v>0</v>
      </c>
      <c r="AU7" s="69">
        <f>'PF176'!V144</f>
        <v>0</v>
      </c>
      <c r="AV7" s="69">
        <f>'PF176'!V143</f>
        <v>0</v>
      </c>
      <c r="AW7" s="70" t="str">
        <f>'PF176'!V142</f>
        <v>VSSD</v>
      </c>
    </row>
    <row r="8" spans="1:55" ht="15" customHeight="1" x14ac:dyDescent="0.55000000000000004">
      <c r="D8" s="72"/>
      <c r="E8" s="73"/>
      <c r="F8" s="73">
        <v>176</v>
      </c>
      <c r="G8" s="73">
        <v>175</v>
      </c>
      <c r="H8" s="73">
        <v>174</v>
      </c>
      <c r="I8" s="73">
        <v>173</v>
      </c>
      <c r="J8" s="73">
        <v>172</v>
      </c>
      <c r="K8" s="73">
        <v>171</v>
      </c>
      <c r="L8" s="73">
        <v>170</v>
      </c>
      <c r="M8" s="73">
        <v>169</v>
      </c>
      <c r="N8" s="73">
        <v>168</v>
      </c>
      <c r="O8" s="73">
        <v>167</v>
      </c>
      <c r="P8" s="73">
        <v>166</v>
      </c>
      <c r="Q8" s="73">
        <v>165</v>
      </c>
      <c r="R8" s="73">
        <v>164</v>
      </c>
      <c r="S8" s="73">
        <v>163</v>
      </c>
      <c r="T8" s="73">
        <v>162</v>
      </c>
      <c r="U8" s="73">
        <v>161</v>
      </c>
      <c r="V8" s="73">
        <v>160</v>
      </c>
      <c r="W8" s="73">
        <v>159</v>
      </c>
      <c r="X8" s="73">
        <v>158</v>
      </c>
      <c r="Y8" s="73">
        <v>157</v>
      </c>
      <c r="Z8" s="73">
        <v>156</v>
      </c>
      <c r="AA8" s="73">
        <v>155</v>
      </c>
      <c r="AB8" s="73">
        <v>154</v>
      </c>
      <c r="AC8" s="73">
        <v>153</v>
      </c>
      <c r="AD8" s="73">
        <v>152</v>
      </c>
      <c r="AE8" s="73">
        <v>151</v>
      </c>
      <c r="AF8" s="73">
        <v>150</v>
      </c>
      <c r="AG8" s="73">
        <v>149</v>
      </c>
      <c r="AH8" s="73">
        <v>148</v>
      </c>
      <c r="AI8" s="73">
        <v>147</v>
      </c>
      <c r="AJ8" s="73">
        <v>146</v>
      </c>
      <c r="AK8" s="73">
        <v>145</v>
      </c>
      <c r="AL8" s="73">
        <v>144</v>
      </c>
      <c r="AM8" s="73">
        <v>143</v>
      </c>
      <c r="AN8" s="73">
        <v>142</v>
      </c>
      <c r="AO8" s="73">
        <v>141</v>
      </c>
      <c r="AP8" s="73">
        <v>140</v>
      </c>
      <c r="AQ8" s="73">
        <v>139</v>
      </c>
      <c r="AR8" s="73">
        <v>138</v>
      </c>
      <c r="AS8" s="73">
        <v>137</v>
      </c>
      <c r="AT8" s="73">
        <v>136</v>
      </c>
      <c r="AU8" s="73">
        <v>135</v>
      </c>
      <c r="AV8" s="73">
        <v>134</v>
      </c>
      <c r="AW8" s="73">
        <v>133</v>
      </c>
      <c r="AX8" s="73"/>
      <c r="AY8" s="74"/>
    </row>
    <row r="9" spans="1:55" ht="15" customHeight="1" x14ac:dyDescent="0.55000000000000004">
      <c r="D9" s="75"/>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7"/>
    </row>
    <row r="10" spans="1:55" ht="15" customHeight="1" x14ac:dyDescent="0.55000000000000004">
      <c r="B10" s="78"/>
      <c r="C10" s="79" t="str">
        <f>'PF176'!V10</f>
        <v>VSSD</v>
      </c>
      <c r="D10" s="75">
        <v>1</v>
      </c>
      <c r="E10" s="76"/>
      <c r="F10" s="136" t="s">
        <v>358</v>
      </c>
      <c r="G10" s="136"/>
      <c r="H10" s="136"/>
      <c r="I10" s="136"/>
      <c r="J10" s="136"/>
      <c r="K10" s="136"/>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76"/>
      <c r="AY10" s="77">
        <v>132</v>
      </c>
      <c r="AZ10" s="80" t="str">
        <f>'PF176'!V141</f>
        <v>VDDD</v>
      </c>
    </row>
    <row r="11" spans="1:55" ht="15" customHeight="1" x14ac:dyDescent="0.55000000000000004">
      <c r="B11" s="78"/>
      <c r="C11" s="81">
        <f>'PF176'!V11</f>
        <v>0</v>
      </c>
      <c r="D11" s="75">
        <v>2</v>
      </c>
      <c r="E11" s="76"/>
      <c r="F11" s="136"/>
      <c r="G11" s="136"/>
      <c r="H11" s="136"/>
      <c r="I11" s="136"/>
      <c r="J11" s="136"/>
      <c r="K11" s="136"/>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76"/>
      <c r="AY11" s="77">
        <v>131</v>
      </c>
      <c r="AZ11" s="82">
        <f>'PF176'!V140</f>
        <v>0</v>
      </c>
    </row>
    <row r="12" spans="1:55" ht="15" customHeight="1" x14ac:dyDescent="0.55000000000000004">
      <c r="B12" s="78"/>
      <c r="C12" s="81">
        <f>'PF176'!V12</f>
        <v>0</v>
      </c>
      <c r="D12" s="75">
        <v>3</v>
      </c>
      <c r="E12" s="7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76"/>
      <c r="AY12" s="77">
        <v>130</v>
      </c>
      <c r="AZ12" s="82">
        <f>'PF176'!V139</f>
        <v>0</v>
      </c>
    </row>
    <row r="13" spans="1:55" ht="15" customHeight="1" x14ac:dyDescent="0.55000000000000004">
      <c r="B13" s="78"/>
      <c r="C13" s="81">
        <f>'PF176'!V13</f>
        <v>0</v>
      </c>
      <c r="D13" s="75">
        <v>4</v>
      </c>
      <c r="E13" s="76"/>
      <c r="F13" s="136"/>
      <c r="G13" s="136"/>
      <c r="H13" s="136"/>
      <c r="I13" s="136"/>
      <c r="J13" s="136"/>
      <c r="K13" s="136"/>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76"/>
      <c r="AY13" s="77">
        <v>129</v>
      </c>
      <c r="AZ13" s="82">
        <f>'PF176'!V138</f>
        <v>0</v>
      </c>
    </row>
    <row r="14" spans="1:55" ht="15" customHeight="1" x14ac:dyDescent="0.55000000000000004">
      <c r="B14" s="78"/>
      <c r="C14" s="81">
        <f>'PF176'!V14</f>
        <v>0</v>
      </c>
      <c r="D14" s="75">
        <v>5</v>
      </c>
      <c r="E14" s="7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76"/>
      <c r="AY14" s="77">
        <v>128</v>
      </c>
      <c r="AZ14" s="82">
        <f>'PF176'!V137</f>
        <v>0</v>
      </c>
    </row>
    <row r="15" spans="1:55" ht="15" customHeight="1" x14ac:dyDescent="0.55000000000000004">
      <c r="B15" s="78"/>
      <c r="C15" s="81">
        <f>'PF176'!V15</f>
        <v>0</v>
      </c>
      <c r="D15" s="75">
        <v>6</v>
      </c>
      <c r="E15" s="76"/>
      <c r="F15" s="136"/>
      <c r="G15" s="136"/>
      <c r="H15" s="136"/>
      <c r="I15" s="136"/>
      <c r="J15" s="136"/>
      <c r="K15" s="136"/>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76"/>
      <c r="AY15" s="77">
        <v>127</v>
      </c>
      <c r="AZ15" s="82">
        <f>'PF176'!V136</f>
        <v>0</v>
      </c>
    </row>
    <row r="16" spans="1:55" ht="15" customHeight="1" x14ac:dyDescent="0.55000000000000004">
      <c r="B16" s="78"/>
      <c r="C16" s="81">
        <f>'PF176'!V16</f>
        <v>0</v>
      </c>
      <c r="D16" s="75">
        <v>7</v>
      </c>
      <c r="E16" s="76"/>
      <c r="F16" s="136"/>
      <c r="G16" s="136"/>
      <c r="H16" s="136"/>
      <c r="I16" s="136"/>
      <c r="J16" s="136"/>
      <c r="K16" s="136"/>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76"/>
      <c r="AY16" s="77">
        <v>126</v>
      </c>
      <c r="AZ16" s="82">
        <f>'PF176'!V135</f>
        <v>0</v>
      </c>
    </row>
    <row r="17" spans="2:52" ht="15" customHeight="1" x14ac:dyDescent="0.55000000000000004">
      <c r="B17" s="78"/>
      <c r="C17" s="81">
        <f>'PF176'!V17</f>
        <v>0</v>
      </c>
      <c r="D17" s="75">
        <v>8</v>
      </c>
      <c r="E17" s="76"/>
      <c r="F17" s="136"/>
      <c r="G17" s="136"/>
      <c r="H17" s="136"/>
      <c r="I17" s="136"/>
      <c r="J17" s="136"/>
      <c r="K17" s="136"/>
      <c r="L17" s="136"/>
      <c r="M17" s="136"/>
      <c r="N17" s="136"/>
      <c r="O17" s="136"/>
      <c r="P17" s="136"/>
      <c r="Q17" s="136"/>
      <c r="R17" s="136"/>
      <c r="S17" s="136"/>
      <c r="T17" s="136"/>
      <c r="U17" s="136"/>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76"/>
      <c r="AY17" s="77">
        <v>125</v>
      </c>
      <c r="AZ17" s="82">
        <f>'PF176'!V134</f>
        <v>0</v>
      </c>
    </row>
    <row r="18" spans="2:52" ht="15" customHeight="1" x14ac:dyDescent="0.55000000000000004">
      <c r="B18" s="78"/>
      <c r="C18" s="81">
        <f>'PF176'!V18</f>
        <v>0</v>
      </c>
      <c r="D18" s="75">
        <v>9</v>
      </c>
      <c r="E18" s="76"/>
      <c r="F18" s="136"/>
      <c r="G18" s="136"/>
      <c r="H18" s="136"/>
      <c r="I18" s="136"/>
      <c r="J18" s="136"/>
      <c r="K18" s="136"/>
      <c r="L18" s="136"/>
      <c r="M18" s="136"/>
      <c r="N18" s="136"/>
      <c r="O18" s="136"/>
      <c r="P18" s="136"/>
      <c r="Q18" s="136"/>
      <c r="R18" s="136"/>
      <c r="S18" s="136"/>
      <c r="T18" s="136"/>
      <c r="U18" s="136"/>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76"/>
      <c r="AY18" s="77">
        <v>124</v>
      </c>
      <c r="AZ18" s="82">
        <f>'PF176'!V133</f>
        <v>0</v>
      </c>
    </row>
    <row r="19" spans="2:52" ht="15" customHeight="1" x14ac:dyDescent="0.55000000000000004">
      <c r="B19" s="78"/>
      <c r="C19" s="81">
        <f>'PF176'!V19</f>
        <v>0</v>
      </c>
      <c r="D19" s="75">
        <v>10</v>
      </c>
      <c r="E19" s="76"/>
      <c r="F19" s="136"/>
      <c r="G19" s="136"/>
      <c r="H19" s="136"/>
      <c r="I19" s="136"/>
      <c r="J19" s="136"/>
      <c r="K19" s="136"/>
      <c r="L19" s="136"/>
      <c r="M19" s="136"/>
      <c r="N19" s="136"/>
      <c r="O19" s="136"/>
      <c r="P19" s="136"/>
      <c r="Q19" s="136"/>
      <c r="R19" s="136"/>
      <c r="S19" s="136"/>
      <c r="T19" s="136"/>
      <c r="U19" s="136"/>
      <c r="V19" s="136"/>
      <c r="W19" s="136"/>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36"/>
      <c r="AT19" s="136"/>
      <c r="AU19" s="136"/>
      <c r="AV19" s="136"/>
      <c r="AW19" s="136"/>
      <c r="AX19" s="76"/>
      <c r="AY19" s="77">
        <v>123</v>
      </c>
      <c r="AZ19" s="82">
        <f>'PF176'!V132</f>
        <v>0</v>
      </c>
    </row>
    <row r="20" spans="2:52" ht="15" customHeight="1" x14ac:dyDescent="0.55000000000000004">
      <c r="B20" s="78"/>
      <c r="C20" s="81">
        <f>'PF176'!V20</f>
        <v>0</v>
      </c>
      <c r="D20" s="75">
        <v>11</v>
      </c>
      <c r="E20" s="7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76"/>
      <c r="AY20" s="77">
        <v>122</v>
      </c>
      <c r="AZ20" s="82">
        <f>'PF176'!V131</f>
        <v>0</v>
      </c>
    </row>
    <row r="21" spans="2:52" ht="15" customHeight="1" x14ac:dyDescent="0.55000000000000004">
      <c r="B21" s="78"/>
      <c r="C21" s="81">
        <f>'PF176'!V21</f>
        <v>0</v>
      </c>
      <c r="D21" s="75">
        <v>12</v>
      </c>
      <c r="E21" s="76"/>
      <c r="F21" s="136"/>
      <c r="G21" s="136"/>
      <c r="H21" s="136"/>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76"/>
      <c r="AY21" s="77">
        <v>121</v>
      </c>
      <c r="AZ21" s="82">
        <f>'PF176'!V130</f>
        <v>0</v>
      </c>
    </row>
    <row r="22" spans="2:52" ht="15" customHeight="1" x14ac:dyDescent="0.55000000000000004">
      <c r="B22" s="78"/>
      <c r="C22" s="81">
        <f>'PF176'!V22</f>
        <v>0</v>
      </c>
      <c r="D22" s="75">
        <v>13</v>
      </c>
      <c r="E22" s="7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76"/>
      <c r="AY22" s="77">
        <v>120</v>
      </c>
      <c r="AZ22" s="82">
        <f>'PF176'!V129</f>
        <v>0</v>
      </c>
    </row>
    <row r="23" spans="2:52" ht="15" customHeight="1" x14ac:dyDescent="0.55000000000000004">
      <c r="B23" s="78"/>
      <c r="C23" s="81">
        <f>'PF176'!V23</f>
        <v>0</v>
      </c>
      <c r="D23" s="75">
        <v>14</v>
      </c>
      <c r="E23" s="76"/>
      <c r="F23" s="136"/>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76"/>
      <c r="AY23" s="77">
        <v>119</v>
      </c>
      <c r="AZ23" s="82">
        <f>'PF176'!V128</f>
        <v>0</v>
      </c>
    </row>
    <row r="24" spans="2:52" ht="15" customHeight="1" x14ac:dyDescent="0.55000000000000004">
      <c r="B24" s="78"/>
      <c r="C24" s="81">
        <f>'PF176'!V24</f>
        <v>0</v>
      </c>
      <c r="D24" s="75">
        <v>15</v>
      </c>
      <c r="E24" s="76"/>
      <c r="F24" s="136"/>
      <c r="G24" s="136"/>
      <c r="H24" s="136"/>
      <c r="I24" s="136"/>
      <c r="J24" s="136"/>
      <c r="K24" s="136"/>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c r="AU24" s="136"/>
      <c r="AV24" s="136"/>
      <c r="AW24" s="136"/>
      <c r="AX24" s="76"/>
      <c r="AY24" s="77">
        <v>118</v>
      </c>
      <c r="AZ24" s="82">
        <f>'PF176'!V127</f>
        <v>0</v>
      </c>
    </row>
    <row r="25" spans="2:52" ht="15" customHeight="1" x14ac:dyDescent="0.55000000000000004">
      <c r="B25" s="78"/>
      <c r="C25" s="81">
        <f>'PF176'!V25</f>
        <v>0</v>
      </c>
      <c r="D25" s="75">
        <v>16</v>
      </c>
      <c r="E25" s="7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76"/>
      <c r="AY25" s="77">
        <v>117</v>
      </c>
      <c r="AZ25" s="82">
        <f>'PF176'!V126</f>
        <v>0</v>
      </c>
    </row>
    <row r="26" spans="2:52" ht="15" customHeight="1" x14ac:dyDescent="0.55000000000000004">
      <c r="B26" s="78"/>
      <c r="C26" s="81">
        <f>'PF176'!V26</f>
        <v>0</v>
      </c>
      <c r="D26" s="75">
        <v>17</v>
      </c>
      <c r="E26" s="7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76"/>
      <c r="AY26" s="77">
        <v>116</v>
      </c>
      <c r="AZ26" s="82">
        <f>'PF176'!V125</f>
        <v>0</v>
      </c>
    </row>
    <row r="27" spans="2:52" ht="15" customHeight="1" x14ac:dyDescent="0.55000000000000004">
      <c r="B27" s="78"/>
      <c r="C27" s="81">
        <f>'PF176'!V27</f>
        <v>0</v>
      </c>
      <c r="D27" s="75">
        <v>18</v>
      </c>
      <c r="E27" s="7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76"/>
      <c r="AY27" s="77">
        <v>115</v>
      </c>
      <c r="AZ27" s="82">
        <f>'PF176'!V124</f>
        <v>0</v>
      </c>
    </row>
    <row r="28" spans="2:52" ht="15" customHeight="1" x14ac:dyDescent="0.55000000000000004">
      <c r="B28" s="78"/>
      <c r="C28" s="81">
        <f>'PF176'!V28</f>
        <v>0</v>
      </c>
      <c r="D28" s="75">
        <v>19</v>
      </c>
      <c r="E28" s="76"/>
      <c r="F28" s="136"/>
      <c r="G28" s="136"/>
      <c r="H28" s="136"/>
      <c r="I28" s="136"/>
      <c r="J28" s="136"/>
      <c r="K28" s="136"/>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76"/>
      <c r="AY28" s="77">
        <v>114</v>
      </c>
      <c r="AZ28" s="82">
        <f>'PF176'!V123</f>
        <v>0</v>
      </c>
    </row>
    <row r="29" spans="2:52" ht="15" customHeight="1" x14ac:dyDescent="0.55000000000000004">
      <c r="B29" s="78"/>
      <c r="C29" s="81">
        <f>'PF176'!V29</f>
        <v>0</v>
      </c>
      <c r="D29" s="75">
        <v>20</v>
      </c>
      <c r="E29" s="7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76"/>
      <c r="AY29" s="77">
        <v>113</v>
      </c>
      <c r="AZ29" s="82">
        <f>'PF176'!V122</f>
        <v>0</v>
      </c>
    </row>
    <row r="30" spans="2:52" ht="15" customHeight="1" x14ac:dyDescent="0.55000000000000004">
      <c r="B30" s="78"/>
      <c r="C30" s="81">
        <f>'PF176'!V30</f>
        <v>0</v>
      </c>
      <c r="D30" s="75">
        <v>21</v>
      </c>
      <c r="E30" s="7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76"/>
      <c r="AY30" s="77">
        <v>112</v>
      </c>
      <c r="AZ30" s="82">
        <f>'PF176'!V121</f>
        <v>0</v>
      </c>
    </row>
    <row r="31" spans="2:52" ht="15" customHeight="1" x14ac:dyDescent="0.55000000000000004">
      <c r="B31" s="78"/>
      <c r="C31" s="83" t="str">
        <f>'PF176'!V31</f>
        <v>VDDD</v>
      </c>
      <c r="D31" s="75">
        <v>22</v>
      </c>
      <c r="E31" s="76"/>
      <c r="F31" s="136"/>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T31" s="136"/>
      <c r="AU31" s="136"/>
      <c r="AV31" s="136"/>
      <c r="AW31" s="136"/>
      <c r="AX31" s="76"/>
      <c r="AY31" s="77">
        <v>111</v>
      </c>
      <c r="AZ31" s="84" t="str">
        <f>'PF176'!V120</f>
        <v>VSSD</v>
      </c>
    </row>
    <row r="32" spans="2:52" ht="15" customHeight="1" x14ac:dyDescent="0.55000000000000004">
      <c r="B32" s="78"/>
      <c r="C32" s="79" t="str">
        <f>'PF176'!V32</f>
        <v>VSSD</v>
      </c>
      <c r="D32" s="75">
        <v>23</v>
      </c>
      <c r="E32" s="76"/>
      <c r="F32" s="136"/>
      <c r="G32" s="136"/>
      <c r="H32" s="136"/>
      <c r="I32" s="136"/>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c r="AG32" s="136"/>
      <c r="AH32" s="136"/>
      <c r="AI32" s="136"/>
      <c r="AJ32" s="136"/>
      <c r="AK32" s="136"/>
      <c r="AL32" s="136"/>
      <c r="AM32" s="136"/>
      <c r="AN32" s="136"/>
      <c r="AO32" s="136"/>
      <c r="AP32" s="136"/>
      <c r="AQ32" s="136"/>
      <c r="AR32" s="136"/>
      <c r="AS32" s="136"/>
      <c r="AT32" s="136"/>
      <c r="AU32" s="136"/>
      <c r="AV32" s="136"/>
      <c r="AW32" s="136"/>
      <c r="AX32" s="76"/>
      <c r="AY32" s="77">
        <v>110</v>
      </c>
      <c r="AZ32" s="80" t="str">
        <f>'PF176'!V119</f>
        <v>VDDD</v>
      </c>
    </row>
    <row r="33" spans="2:52" ht="15" customHeight="1" x14ac:dyDescent="0.55000000000000004">
      <c r="B33" s="78"/>
      <c r="C33" s="81">
        <f>'PF176'!V33</f>
        <v>0</v>
      </c>
      <c r="D33" s="75">
        <v>24</v>
      </c>
      <c r="E33" s="76"/>
      <c r="F33" s="136"/>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36"/>
      <c r="AT33" s="136"/>
      <c r="AU33" s="136"/>
      <c r="AV33" s="136"/>
      <c r="AW33" s="136"/>
      <c r="AX33" s="76"/>
      <c r="AY33" s="77">
        <v>109</v>
      </c>
      <c r="AZ33" s="82">
        <f>'PF176'!V118</f>
        <v>0</v>
      </c>
    </row>
    <row r="34" spans="2:52" ht="15" customHeight="1" x14ac:dyDescent="0.55000000000000004">
      <c r="B34" s="78"/>
      <c r="C34" s="81">
        <f>'PF176'!V34</f>
        <v>0</v>
      </c>
      <c r="D34" s="75">
        <v>25</v>
      </c>
      <c r="E34" s="76"/>
      <c r="F34" s="136"/>
      <c r="G34" s="136"/>
      <c r="H34" s="136"/>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76"/>
      <c r="AY34" s="77">
        <v>108</v>
      </c>
      <c r="AZ34" s="82">
        <f>'PF176'!V117</f>
        <v>0</v>
      </c>
    </row>
    <row r="35" spans="2:52" ht="15" customHeight="1" x14ac:dyDescent="0.55000000000000004">
      <c r="B35" s="78"/>
      <c r="C35" s="81">
        <f>'PF176'!V35</f>
        <v>0</v>
      </c>
      <c r="D35" s="75">
        <v>26</v>
      </c>
      <c r="E35" s="7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136"/>
      <c r="AT35" s="136"/>
      <c r="AU35" s="136"/>
      <c r="AV35" s="136"/>
      <c r="AW35" s="136"/>
      <c r="AX35" s="76"/>
      <c r="AY35" s="77">
        <v>107</v>
      </c>
      <c r="AZ35" s="82">
        <f>'PF176'!V116</f>
        <v>0</v>
      </c>
    </row>
    <row r="36" spans="2:52" ht="15" customHeight="1" x14ac:dyDescent="0.55000000000000004">
      <c r="B36" s="78"/>
      <c r="C36" s="81">
        <f>'PF176'!V36</f>
        <v>0</v>
      </c>
      <c r="D36" s="75">
        <v>27</v>
      </c>
      <c r="E36" s="76"/>
      <c r="F36" s="136"/>
      <c r="G36" s="136"/>
      <c r="H36" s="136"/>
      <c r="I36" s="136"/>
      <c r="J36" s="136"/>
      <c r="K36" s="136"/>
      <c r="L36" s="136"/>
      <c r="M36" s="136"/>
      <c r="N36" s="136"/>
      <c r="O36" s="136"/>
      <c r="P36" s="136"/>
      <c r="Q36" s="136"/>
      <c r="R36" s="136"/>
      <c r="S36" s="136"/>
      <c r="T36" s="136"/>
      <c r="U36" s="136"/>
      <c r="V36" s="136"/>
      <c r="W36" s="136"/>
      <c r="X36" s="136"/>
      <c r="Y36" s="136"/>
      <c r="Z36" s="136"/>
      <c r="AA36" s="136"/>
      <c r="AB36" s="136"/>
      <c r="AC36" s="136"/>
      <c r="AD36" s="136"/>
      <c r="AE36" s="136"/>
      <c r="AF36" s="136"/>
      <c r="AG36" s="136"/>
      <c r="AH36" s="136"/>
      <c r="AI36" s="136"/>
      <c r="AJ36" s="136"/>
      <c r="AK36" s="136"/>
      <c r="AL36" s="136"/>
      <c r="AM36" s="136"/>
      <c r="AN36" s="136"/>
      <c r="AO36" s="136"/>
      <c r="AP36" s="136"/>
      <c r="AQ36" s="136"/>
      <c r="AR36" s="136"/>
      <c r="AS36" s="136"/>
      <c r="AT36" s="136"/>
      <c r="AU36" s="136"/>
      <c r="AV36" s="136"/>
      <c r="AW36" s="136"/>
      <c r="AX36" s="76"/>
      <c r="AY36" s="77">
        <v>106</v>
      </c>
      <c r="AZ36" s="82">
        <f>'PF176'!V115</f>
        <v>0</v>
      </c>
    </row>
    <row r="37" spans="2:52" ht="15" customHeight="1" x14ac:dyDescent="0.55000000000000004">
      <c r="B37" s="78"/>
      <c r="C37" s="81">
        <f>'PF176'!V37</f>
        <v>0</v>
      </c>
      <c r="D37" s="75">
        <v>28</v>
      </c>
      <c r="E37" s="76"/>
      <c r="F37" s="136"/>
      <c r="G37" s="136"/>
      <c r="H37" s="136"/>
      <c r="I37" s="136"/>
      <c r="J37" s="136"/>
      <c r="K37" s="136"/>
      <c r="L37" s="136"/>
      <c r="M37" s="136"/>
      <c r="N37" s="136"/>
      <c r="O37" s="136"/>
      <c r="P37" s="136"/>
      <c r="Q37" s="136"/>
      <c r="R37" s="136"/>
      <c r="S37" s="136"/>
      <c r="T37" s="136"/>
      <c r="U37" s="136"/>
      <c r="V37" s="136"/>
      <c r="W37" s="136"/>
      <c r="X37" s="136"/>
      <c r="Y37" s="136"/>
      <c r="Z37" s="136"/>
      <c r="AA37" s="136"/>
      <c r="AB37" s="136"/>
      <c r="AC37" s="136"/>
      <c r="AD37" s="136"/>
      <c r="AE37" s="136"/>
      <c r="AF37" s="136"/>
      <c r="AG37" s="136"/>
      <c r="AH37" s="136"/>
      <c r="AI37" s="136"/>
      <c r="AJ37" s="136"/>
      <c r="AK37" s="136"/>
      <c r="AL37" s="136"/>
      <c r="AM37" s="136"/>
      <c r="AN37" s="136"/>
      <c r="AO37" s="136"/>
      <c r="AP37" s="136"/>
      <c r="AQ37" s="136"/>
      <c r="AR37" s="136"/>
      <c r="AS37" s="136"/>
      <c r="AT37" s="136"/>
      <c r="AU37" s="136"/>
      <c r="AV37" s="136"/>
      <c r="AW37" s="136"/>
      <c r="AX37" s="76"/>
      <c r="AY37" s="77">
        <v>105</v>
      </c>
      <c r="AZ37" s="82">
        <f>'PF176'!V114</f>
        <v>0</v>
      </c>
    </row>
    <row r="38" spans="2:52" ht="15" customHeight="1" x14ac:dyDescent="0.55000000000000004">
      <c r="B38" s="78"/>
      <c r="C38" s="81">
        <f>'PF176'!V38</f>
        <v>0</v>
      </c>
      <c r="D38" s="75">
        <v>29</v>
      </c>
      <c r="E38" s="76"/>
      <c r="F38" s="136"/>
      <c r="G38" s="136"/>
      <c r="H38" s="136"/>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c r="AG38" s="136"/>
      <c r="AH38" s="136"/>
      <c r="AI38" s="136"/>
      <c r="AJ38" s="136"/>
      <c r="AK38" s="136"/>
      <c r="AL38" s="136"/>
      <c r="AM38" s="136"/>
      <c r="AN38" s="136"/>
      <c r="AO38" s="136"/>
      <c r="AP38" s="136"/>
      <c r="AQ38" s="136"/>
      <c r="AR38" s="136"/>
      <c r="AS38" s="136"/>
      <c r="AT38" s="136"/>
      <c r="AU38" s="136"/>
      <c r="AV38" s="136"/>
      <c r="AW38" s="136"/>
      <c r="AX38" s="76"/>
      <c r="AY38" s="77">
        <v>104</v>
      </c>
      <c r="AZ38" s="82">
        <f>'PF176'!V113</f>
        <v>0</v>
      </c>
    </row>
    <row r="39" spans="2:52" ht="15" customHeight="1" x14ac:dyDescent="0.55000000000000004">
      <c r="B39" s="78"/>
      <c r="C39" s="81">
        <f>'PF176'!V39</f>
        <v>0</v>
      </c>
      <c r="D39" s="75">
        <v>30</v>
      </c>
      <c r="E39" s="7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6"/>
      <c r="AK39" s="136"/>
      <c r="AL39" s="136"/>
      <c r="AM39" s="136"/>
      <c r="AN39" s="136"/>
      <c r="AO39" s="136"/>
      <c r="AP39" s="136"/>
      <c r="AQ39" s="136"/>
      <c r="AR39" s="136"/>
      <c r="AS39" s="136"/>
      <c r="AT39" s="136"/>
      <c r="AU39" s="136"/>
      <c r="AV39" s="136"/>
      <c r="AW39" s="136"/>
      <c r="AX39" s="76"/>
      <c r="AY39" s="77">
        <v>103</v>
      </c>
      <c r="AZ39" s="82">
        <f>'PF176'!V112</f>
        <v>0</v>
      </c>
    </row>
    <row r="40" spans="2:52" ht="15" customHeight="1" x14ac:dyDescent="0.55000000000000004">
      <c r="B40" s="78"/>
      <c r="C40" s="81">
        <f>'PF176'!V40</f>
        <v>0</v>
      </c>
      <c r="D40" s="75">
        <v>31</v>
      </c>
      <c r="E40" s="76"/>
      <c r="F40" s="136"/>
      <c r="G40" s="136"/>
      <c r="H40" s="136"/>
      <c r="I40" s="136"/>
      <c r="J40" s="136"/>
      <c r="K40" s="136"/>
      <c r="L40" s="136"/>
      <c r="M40" s="136"/>
      <c r="N40" s="136"/>
      <c r="O40" s="136"/>
      <c r="P40" s="136"/>
      <c r="Q40" s="136"/>
      <c r="R40" s="136"/>
      <c r="S40" s="136"/>
      <c r="T40" s="136"/>
      <c r="U40" s="136"/>
      <c r="V40" s="136"/>
      <c r="W40" s="136"/>
      <c r="X40" s="136"/>
      <c r="Y40" s="136"/>
      <c r="Z40" s="136"/>
      <c r="AA40" s="136"/>
      <c r="AB40" s="136"/>
      <c r="AC40" s="136"/>
      <c r="AD40" s="136"/>
      <c r="AE40" s="136"/>
      <c r="AF40" s="136"/>
      <c r="AG40" s="136"/>
      <c r="AH40" s="136"/>
      <c r="AI40" s="136"/>
      <c r="AJ40" s="136"/>
      <c r="AK40" s="136"/>
      <c r="AL40" s="136"/>
      <c r="AM40" s="136"/>
      <c r="AN40" s="136"/>
      <c r="AO40" s="136"/>
      <c r="AP40" s="136"/>
      <c r="AQ40" s="136"/>
      <c r="AR40" s="136"/>
      <c r="AS40" s="136"/>
      <c r="AT40" s="136"/>
      <c r="AU40" s="136"/>
      <c r="AV40" s="136"/>
      <c r="AW40" s="136"/>
      <c r="AX40" s="76"/>
      <c r="AY40" s="77">
        <v>102</v>
      </c>
      <c r="AZ40" s="82">
        <f>'PF176'!V111</f>
        <v>0</v>
      </c>
    </row>
    <row r="41" spans="2:52" ht="15" customHeight="1" x14ac:dyDescent="0.55000000000000004">
      <c r="B41" s="78"/>
      <c r="C41" s="81">
        <f>'PF176'!V41</f>
        <v>0</v>
      </c>
      <c r="D41" s="75">
        <v>32</v>
      </c>
      <c r="E41" s="76"/>
      <c r="F41" s="136"/>
      <c r="G41" s="136"/>
      <c r="H41" s="136"/>
      <c r="I41" s="136"/>
      <c r="J41" s="136"/>
      <c r="K41" s="136"/>
      <c r="L41" s="136"/>
      <c r="M41" s="136"/>
      <c r="N41" s="136"/>
      <c r="O41" s="136"/>
      <c r="P41" s="136"/>
      <c r="Q41" s="136"/>
      <c r="R41" s="136"/>
      <c r="S41" s="136"/>
      <c r="T41" s="136"/>
      <c r="U41" s="136"/>
      <c r="V41" s="136"/>
      <c r="W41" s="136"/>
      <c r="X41" s="136"/>
      <c r="Y41" s="136"/>
      <c r="Z41" s="136"/>
      <c r="AA41" s="136"/>
      <c r="AB41" s="136"/>
      <c r="AC41" s="136"/>
      <c r="AD41" s="136"/>
      <c r="AE41" s="136"/>
      <c r="AF41" s="136"/>
      <c r="AG41" s="136"/>
      <c r="AH41" s="136"/>
      <c r="AI41" s="136"/>
      <c r="AJ41" s="136"/>
      <c r="AK41" s="136"/>
      <c r="AL41" s="136"/>
      <c r="AM41" s="136"/>
      <c r="AN41" s="136"/>
      <c r="AO41" s="136"/>
      <c r="AP41" s="136"/>
      <c r="AQ41" s="136"/>
      <c r="AR41" s="136"/>
      <c r="AS41" s="136"/>
      <c r="AT41" s="136"/>
      <c r="AU41" s="136"/>
      <c r="AV41" s="136"/>
      <c r="AW41" s="136"/>
      <c r="AX41" s="76"/>
      <c r="AY41" s="77">
        <v>101</v>
      </c>
      <c r="AZ41" s="82">
        <f>'PF176'!V110</f>
        <v>0</v>
      </c>
    </row>
    <row r="42" spans="2:52" ht="15" customHeight="1" x14ac:dyDescent="0.55000000000000004">
      <c r="B42" s="78"/>
      <c r="C42" s="81">
        <f>'PF176'!V42</f>
        <v>0</v>
      </c>
      <c r="D42" s="75">
        <v>33</v>
      </c>
      <c r="E42" s="76"/>
      <c r="F42" s="136"/>
      <c r="G42" s="136"/>
      <c r="H42" s="136"/>
      <c r="I42" s="136"/>
      <c r="J42" s="136"/>
      <c r="K42" s="136"/>
      <c r="L42" s="136"/>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c r="AJ42" s="136"/>
      <c r="AK42" s="136"/>
      <c r="AL42" s="136"/>
      <c r="AM42" s="136"/>
      <c r="AN42" s="136"/>
      <c r="AO42" s="136"/>
      <c r="AP42" s="136"/>
      <c r="AQ42" s="136"/>
      <c r="AR42" s="136"/>
      <c r="AS42" s="136"/>
      <c r="AT42" s="136"/>
      <c r="AU42" s="136"/>
      <c r="AV42" s="136"/>
      <c r="AW42" s="136"/>
      <c r="AX42" s="76"/>
      <c r="AY42" s="77">
        <v>100</v>
      </c>
      <c r="AZ42" s="82">
        <f>'PF176'!V109</f>
        <v>0</v>
      </c>
    </row>
    <row r="43" spans="2:52" ht="15" customHeight="1" x14ac:dyDescent="0.55000000000000004">
      <c r="B43" s="78"/>
      <c r="C43" s="81">
        <f>'PF176'!V43</f>
        <v>0</v>
      </c>
      <c r="D43" s="75">
        <v>34</v>
      </c>
      <c r="E43" s="76"/>
      <c r="F43" s="136"/>
      <c r="G43" s="136"/>
      <c r="H43" s="136"/>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6"/>
      <c r="AK43" s="136"/>
      <c r="AL43" s="136"/>
      <c r="AM43" s="136"/>
      <c r="AN43" s="136"/>
      <c r="AO43" s="136"/>
      <c r="AP43" s="136"/>
      <c r="AQ43" s="136"/>
      <c r="AR43" s="136"/>
      <c r="AS43" s="136"/>
      <c r="AT43" s="136"/>
      <c r="AU43" s="136"/>
      <c r="AV43" s="136"/>
      <c r="AW43" s="136"/>
      <c r="AX43" s="76"/>
      <c r="AY43" s="77">
        <v>99</v>
      </c>
      <c r="AZ43" s="82">
        <f>'PF176'!V108</f>
        <v>0</v>
      </c>
    </row>
    <row r="44" spans="2:52" ht="15" customHeight="1" x14ac:dyDescent="0.55000000000000004">
      <c r="B44" s="78"/>
      <c r="C44" s="81">
        <f>'PF176'!V44</f>
        <v>0</v>
      </c>
      <c r="D44" s="75">
        <v>35</v>
      </c>
      <c r="E44" s="76"/>
      <c r="F44" s="136"/>
      <c r="G44" s="136"/>
      <c r="H44" s="136"/>
      <c r="I44" s="136"/>
      <c r="J44" s="136"/>
      <c r="K44" s="136"/>
      <c r="L44" s="136"/>
      <c r="M44" s="136"/>
      <c r="N44" s="136"/>
      <c r="O44" s="136"/>
      <c r="P44" s="136"/>
      <c r="Q44" s="136"/>
      <c r="R44" s="136"/>
      <c r="S44" s="136"/>
      <c r="T44" s="136"/>
      <c r="U44" s="136"/>
      <c r="V44" s="136"/>
      <c r="W44" s="136"/>
      <c r="X44" s="136"/>
      <c r="Y44" s="136"/>
      <c r="Z44" s="136"/>
      <c r="AA44" s="136"/>
      <c r="AB44" s="136"/>
      <c r="AC44" s="136"/>
      <c r="AD44" s="136"/>
      <c r="AE44" s="136"/>
      <c r="AF44" s="136"/>
      <c r="AG44" s="136"/>
      <c r="AH44" s="136"/>
      <c r="AI44" s="136"/>
      <c r="AJ44" s="136"/>
      <c r="AK44" s="136"/>
      <c r="AL44" s="136"/>
      <c r="AM44" s="136"/>
      <c r="AN44" s="136"/>
      <c r="AO44" s="136"/>
      <c r="AP44" s="136"/>
      <c r="AQ44" s="136"/>
      <c r="AR44" s="136"/>
      <c r="AS44" s="136"/>
      <c r="AT44" s="136"/>
      <c r="AU44" s="136"/>
      <c r="AV44" s="136"/>
      <c r="AW44" s="136"/>
      <c r="AX44" s="76"/>
      <c r="AY44" s="77">
        <v>98</v>
      </c>
      <c r="AZ44" s="82">
        <f>'PF176'!V107</f>
        <v>0</v>
      </c>
    </row>
    <row r="45" spans="2:52" ht="15" customHeight="1" x14ac:dyDescent="0.55000000000000004">
      <c r="B45" s="78"/>
      <c r="C45" s="81">
        <f>'PF176'!V45</f>
        <v>0</v>
      </c>
      <c r="D45" s="75">
        <v>36</v>
      </c>
      <c r="E45" s="76"/>
      <c r="F45" s="136"/>
      <c r="G45" s="136"/>
      <c r="H45" s="136"/>
      <c r="I45" s="136"/>
      <c r="J45" s="136"/>
      <c r="K45" s="136"/>
      <c r="L45" s="136"/>
      <c r="M45" s="136"/>
      <c r="N45" s="136"/>
      <c r="O45" s="136"/>
      <c r="P45" s="136"/>
      <c r="Q45" s="136"/>
      <c r="R45" s="136"/>
      <c r="S45" s="136"/>
      <c r="T45" s="136"/>
      <c r="U45" s="136"/>
      <c r="V45" s="136"/>
      <c r="W45" s="136"/>
      <c r="X45" s="136"/>
      <c r="Y45" s="136"/>
      <c r="Z45" s="136"/>
      <c r="AA45" s="136"/>
      <c r="AB45" s="136"/>
      <c r="AC45" s="136"/>
      <c r="AD45" s="136"/>
      <c r="AE45" s="136"/>
      <c r="AF45" s="136"/>
      <c r="AG45" s="136"/>
      <c r="AH45" s="136"/>
      <c r="AI45" s="136"/>
      <c r="AJ45" s="136"/>
      <c r="AK45" s="136"/>
      <c r="AL45" s="136"/>
      <c r="AM45" s="136"/>
      <c r="AN45" s="136"/>
      <c r="AO45" s="136"/>
      <c r="AP45" s="136"/>
      <c r="AQ45" s="136"/>
      <c r="AR45" s="136"/>
      <c r="AS45" s="136"/>
      <c r="AT45" s="136"/>
      <c r="AU45" s="136"/>
      <c r="AV45" s="136"/>
      <c r="AW45" s="136"/>
      <c r="AX45" s="76"/>
      <c r="AY45" s="77">
        <v>97</v>
      </c>
      <c r="AZ45" s="82">
        <f>'PF176'!V106</f>
        <v>0</v>
      </c>
    </row>
    <row r="46" spans="2:52" ht="15" customHeight="1" x14ac:dyDescent="0.55000000000000004">
      <c r="B46" s="78"/>
      <c r="C46" s="81">
        <f>'PF176'!V46</f>
        <v>0</v>
      </c>
      <c r="D46" s="75">
        <v>37</v>
      </c>
      <c r="E46" s="76"/>
      <c r="F46" s="136"/>
      <c r="G46" s="136"/>
      <c r="H46" s="136"/>
      <c r="I46" s="136"/>
      <c r="J46" s="136"/>
      <c r="K46" s="136"/>
      <c r="L46" s="136"/>
      <c r="M46" s="136"/>
      <c r="N46" s="136"/>
      <c r="O46" s="136"/>
      <c r="P46" s="136"/>
      <c r="Q46" s="136"/>
      <c r="R46" s="136"/>
      <c r="S46" s="136"/>
      <c r="T46" s="136"/>
      <c r="U46" s="136"/>
      <c r="V46" s="136"/>
      <c r="W46" s="136"/>
      <c r="X46" s="136"/>
      <c r="Y46" s="136"/>
      <c r="Z46" s="136"/>
      <c r="AA46" s="136"/>
      <c r="AB46" s="136"/>
      <c r="AC46" s="136"/>
      <c r="AD46" s="136"/>
      <c r="AE46" s="136"/>
      <c r="AF46" s="136"/>
      <c r="AG46" s="136"/>
      <c r="AH46" s="136"/>
      <c r="AI46" s="136"/>
      <c r="AJ46" s="136"/>
      <c r="AK46" s="136"/>
      <c r="AL46" s="136"/>
      <c r="AM46" s="136"/>
      <c r="AN46" s="136"/>
      <c r="AO46" s="136"/>
      <c r="AP46" s="136"/>
      <c r="AQ46" s="136"/>
      <c r="AR46" s="136"/>
      <c r="AS46" s="136"/>
      <c r="AT46" s="136"/>
      <c r="AU46" s="136"/>
      <c r="AV46" s="136"/>
      <c r="AW46" s="136"/>
      <c r="AX46" s="76"/>
      <c r="AY46" s="77">
        <v>96</v>
      </c>
      <c r="AZ46" s="82">
        <f>'PF176'!V105</f>
        <v>0</v>
      </c>
    </row>
    <row r="47" spans="2:52" ht="15" customHeight="1" x14ac:dyDescent="0.55000000000000004">
      <c r="B47" s="78"/>
      <c r="C47" s="81">
        <f>'PF176'!V47</f>
        <v>0</v>
      </c>
      <c r="D47" s="75">
        <v>38</v>
      </c>
      <c r="E47" s="76"/>
      <c r="F47" s="136"/>
      <c r="G47" s="136"/>
      <c r="H47" s="136"/>
      <c r="I47" s="136"/>
      <c r="J47" s="136"/>
      <c r="K47" s="136"/>
      <c r="L47" s="136"/>
      <c r="M47" s="136"/>
      <c r="N47" s="136"/>
      <c r="O47" s="136"/>
      <c r="P47" s="136"/>
      <c r="Q47" s="136"/>
      <c r="R47" s="136"/>
      <c r="S47" s="136"/>
      <c r="T47" s="136"/>
      <c r="U47" s="136"/>
      <c r="V47" s="136"/>
      <c r="W47" s="136"/>
      <c r="X47" s="136"/>
      <c r="Y47" s="136"/>
      <c r="Z47" s="136"/>
      <c r="AA47" s="136"/>
      <c r="AB47" s="136"/>
      <c r="AC47" s="136"/>
      <c r="AD47" s="136"/>
      <c r="AE47" s="136"/>
      <c r="AF47" s="136"/>
      <c r="AG47" s="136"/>
      <c r="AH47" s="136"/>
      <c r="AI47" s="136"/>
      <c r="AJ47" s="136"/>
      <c r="AK47" s="136"/>
      <c r="AL47" s="136"/>
      <c r="AM47" s="136"/>
      <c r="AN47" s="136"/>
      <c r="AO47" s="136"/>
      <c r="AP47" s="136"/>
      <c r="AQ47" s="136"/>
      <c r="AR47" s="136"/>
      <c r="AS47" s="136"/>
      <c r="AT47" s="136"/>
      <c r="AU47" s="136"/>
      <c r="AV47" s="136"/>
      <c r="AW47" s="136"/>
      <c r="AX47" s="76"/>
      <c r="AY47" s="77">
        <v>95</v>
      </c>
      <c r="AZ47" s="82">
        <f>'PF176'!V104</f>
        <v>0</v>
      </c>
    </row>
    <row r="48" spans="2:52" ht="15" customHeight="1" x14ac:dyDescent="0.55000000000000004">
      <c r="B48" s="78"/>
      <c r="C48" s="81">
        <f>'PF176'!V48</f>
        <v>0</v>
      </c>
      <c r="D48" s="75">
        <v>39</v>
      </c>
      <c r="E48" s="76"/>
      <c r="F48" s="136"/>
      <c r="G48" s="136"/>
      <c r="H48" s="136"/>
      <c r="I48" s="136"/>
      <c r="J48" s="136"/>
      <c r="K48" s="136"/>
      <c r="L48" s="136"/>
      <c r="M48" s="136"/>
      <c r="N48" s="136"/>
      <c r="O48" s="136"/>
      <c r="P48" s="136"/>
      <c r="Q48" s="136"/>
      <c r="R48" s="136"/>
      <c r="S48" s="136"/>
      <c r="T48" s="136"/>
      <c r="U48" s="136"/>
      <c r="V48" s="136"/>
      <c r="W48" s="136"/>
      <c r="X48" s="136"/>
      <c r="Y48" s="136"/>
      <c r="Z48" s="136"/>
      <c r="AA48" s="136"/>
      <c r="AB48" s="136"/>
      <c r="AC48" s="136"/>
      <c r="AD48" s="136"/>
      <c r="AE48" s="136"/>
      <c r="AF48" s="136"/>
      <c r="AG48" s="136"/>
      <c r="AH48" s="136"/>
      <c r="AI48" s="136"/>
      <c r="AJ48" s="136"/>
      <c r="AK48" s="136"/>
      <c r="AL48" s="136"/>
      <c r="AM48" s="136"/>
      <c r="AN48" s="136"/>
      <c r="AO48" s="136"/>
      <c r="AP48" s="136"/>
      <c r="AQ48" s="136"/>
      <c r="AR48" s="136"/>
      <c r="AS48" s="136"/>
      <c r="AT48" s="136"/>
      <c r="AU48" s="136"/>
      <c r="AV48" s="136"/>
      <c r="AW48" s="136"/>
      <c r="AX48" s="76"/>
      <c r="AY48" s="77">
        <v>94</v>
      </c>
      <c r="AZ48" s="82">
        <f>'PF176'!V103</f>
        <v>0</v>
      </c>
    </row>
    <row r="49" spans="2:52" ht="15" customHeight="1" x14ac:dyDescent="0.55000000000000004">
      <c r="B49" s="78"/>
      <c r="C49" s="81">
        <f>'PF176'!V49</f>
        <v>0</v>
      </c>
      <c r="D49" s="75">
        <v>40</v>
      </c>
      <c r="E49" s="76"/>
      <c r="F49" s="136"/>
      <c r="G49" s="136"/>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c r="AE49" s="136"/>
      <c r="AF49" s="136"/>
      <c r="AG49" s="136"/>
      <c r="AH49" s="136"/>
      <c r="AI49" s="136"/>
      <c r="AJ49" s="136"/>
      <c r="AK49" s="136"/>
      <c r="AL49" s="136"/>
      <c r="AM49" s="136"/>
      <c r="AN49" s="136"/>
      <c r="AO49" s="136"/>
      <c r="AP49" s="136"/>
      <c r="AQ49" s="136"/>
      <c r="AR49" s="136"/>
      <c r="AS49" s="136"/>
      <c r="AT49" s="136"/>
      <c r="AU49" s="136"/>
      <c r="AV49" s="136"/>
      <c r="AW49" s="136"/>
      <c r="AX49" s="76"/>
      <c r="AY49" s="77">
        <v>93</v>
      </c>
      <c r="AZ49" s="82">
        <f>'PF176'!V102</f>
        <v>0</v>
      </c>
    </row>
    <row r="50" spans="2:52" ht="15" customHeight="1" x14ac:dyDescent="0.55000000000000004">
      <c r="B50" s="78"/>
      <c r="C50" s="81">
        <f>'PF176'!V50</f>
        <v>0</v>
      </c>
      <c r="D50" s="75">
        <v>41</v>
      </c>
      <c r="E50" s="7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76"/>
      <c r="AY50" s="77">
        <v>92</v>
      </c>
      <c r="AZ50" s="82">
        <f>'PF176'!V101</f>
        <v>0</v>
      </c>
    </row>
    <row r="51" spans="2:52" ht="15" customHeight="1" x14ac:dyDescent="0.55000000000000004">
      <c r="B51" s="78"/>
      <c r="C51" s="81">
        <f>'PF176'!V51</f>
        <v>0</v>
      </c>
      <c r="D51" s="75">
        <v>42</v>
      </c>
      <c r="E51" s="7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76"/>
      <c r="AY51" s="77">
        <v>91</v>
      </c>
      <c r="AZ51" s="82">
        <f>'PF176'!V100</f>
        <v>0</v>
      </c>
    </row>
    <row r="52" spans="2:52" ht="15" customHeight="1" x14ac:dyDescent="0.55000000000000004">
      <c r="B52" s="78"/>
      <c r="C52" s="83" t="str">
        <f>'PF176'!V52</f>
        <v>VDDD</v>
      </c>
      <c r="D52" s="75">
        <v>43</v>
      </c>
      <c r="E52" s="7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76"/>
      <c r="AY52" s="77">
        <v>90</v>
      </c>
      <c r="AZ52" s="82">
        <f>'PF176'!V99</f>
        <v>0</v>
      </c>
    </row>
    <row r="53" spans="2:52" ht="15" customHeight="1" x14ac:dyDescent="0.55000000000000004">
      <c r="B53" s="78"/>
      <c r="C53" s="79" t="str">
        <f>'PF176'!V53</f>
        <v>VDDIO_1</v>
      </c>
      <c r="D53" s="75">
        <v>44</v>
      </c>
      <c r="E53" s="7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76"/>
      <c r="AY53" s="77">
        <v>89</v>
      </c>
      <c r="AZ53" s="84" t="str">
        <f>'PF176'!V98</f>
        <v>VSSD</v>
      </c>
    </row>
    <row r="54" spans="2:52" ht="15" customHeight="1" x14ac:dyDescent="0.55000000000000004">
      <c r="D54" s="75"/>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7"/>
    </row>
    <row r="55" spans="2:52" ht="15" customHeight="1" x14ac:dyDescent="0.55000000000000004">
      <c r="D55" s="74"/>
      <c r="E55" s="85"/>
      <c r="F55" s="85">
        <v>45</v>
      </c>
      <c r="G55" s="85">
        <v>46</v>
      </c>
      <c r="H55" s="85">
        <v>47</v>
      </c>
      <c r="I55" s="85">
        <v>48</v>
      </c>
      <c r="J55" s="85">
        <v>49</v>
      </c>
      <c r="K55" s="85">
        <v>50</v>
      </c>
      <c r="L55" s="85">
        <v>51</v>
      </c>
      <c r="M55" s="85">
        <v>52</v>
      </c>
      <c r="N55" s="85">
        <v>53</v>
      </c>
      <c r="O55" s="85">
        <v>54</v>
      </c>
      <c r="P55" s="85">
        <v>55</v>
      </c>
      <c r="Q55" s="85">
        <v>56</v>
      </c>
      <c r="R55" s="85">
        <v>57</v>
      </c>
      <c r="S55" s="85">
        <v>58</v>
      </c>
      <c r="T55" s="85">
        <v>59</v>
      </c>
      <c r="U55" s="85">
        <v>60</v>
      </c>
      <c r="V55" s="85">
        <v>61</v>
      </c>
      <c r="W55" s="85">
        <v>62</v>
      </c>
      <c r="X55" s="85">
        <v>63</v>
      </c>
      <c r="Y55" s="85">
        <v>64</v>
      </c>
      <c r="Z55" s="85">
        <v>65</v>
      </c>
      <c r="AA55" s="85">
        <v>66</v>
      </c>
      <c r="AB55" s="85">
        <v>67</v>
      </c>
      <c r="AC55" s="85">
        <v>68</v>
      </c>
      <c r="AD55" s="85">
        <v>69</v>
      </c>
      <c r="AE55" s="85">
        <v>70</v>
      </c>
      <c r="AF55" s="85">
        <v>71</v>
      </c>
      <c r="AG55" s="85">
        <v>72</v>
      </c>
      <c r="AH55" s="85">
        <v>73</v>
      </c>
      <c r="AI55" s="85">
        <v>74</v>
      </c>
      <c r="AJ55" s="85">
        <v>75</v>
      </c>
      <c r="AK55" s="85">
        <v>76</v>
      </c>
      <c r="AL55" s="85">
        <v>77</v>
      </c>
      <c r="AM55" s="85">
        <v>78</v>
      </c>
      <c r="AN55" s="85">
        <v>79</v>
      </c>
      <c r="AO55" s="85">
        <v>80</v>
      </c>
      <c r="AP55" s="85">
        <v>81</v>
      </c>
      <c r="AQ55" s="85">
        <v>82</v>
      </c>
      <c r="AR55" s="85">
        <v>83</v>
      </c>
      <c r="AS55" s="85">
        <v>84</v>
      </c>
      <c r="AT55" s="85">
        <v>85</v>
      </c>
      <c r="AU55" s="85">
        <v>86</v>
      </c>
      <c r="AV55" s="85">
        <v>87</v>
      </c>
      <c r="AW55" s="85">
        <v>88</v>
      </c>
      <c r="AX55" s="85"/>
      <c r="AY55" s="72"/>
    </row>
    <row r="56" spans="2:52" ht="105" customHeight="1" x14ac:dyDescent="0.55000000000000004">
      <c r="F56" s="86" t="str">
        <f>'PF176'!V54</f>
        <v>VSSD</v>
      </c>
      <c r="G56" s="86" t="str">
        <f>'PF176'!V55</f>
        <v>VSSD</v>
      </c>
      <c r="H56" s="87" t="str">
        <f>'PF176'!V56</f>
        <v>VCCD</v>
      </c>
      <c r="I56" s="88">
        <f>'PF176'!V57</f>
        <v>0</v>
      </c>
      <c r="J56" s="88">
        <f>'PF176'!V58</f>
        <v>0</v>
      </c>
      <c r="K56" s="88">
        <f>'PF176'!V59</f>
        <v>0</v>
      </c>
      <c r="L56" s="88">
        <f>'PF176'!V60</f>
        <v>0</v>
      </c>
      <c r="M56" s="88">
        <f>'PF176'!V61</f>
        <v>0</v>
      </c>
      <c r="N56" s="88">
        <f>'PF176'!V61</f>
        <v>0</v>
      </c>
      <c r="O56" s="88">
        <f>'PF176'!V63</f>
        <v>0</v>
      </c>
      <c r="P56" s="88">
        <f>'PF176'!V64</f>
        <v>0</v>
      </c>
      <c r="Q56" s="88">
        <f>'PF176'!V65</f>
        <v>0</v>
      </c>
      <c r="R56" s="88">
        <f>'PF176'!V66</f>
        <v>0</v>
      </c>
      <c r="S56" s="88">
        <f>'PF176'!V67</f>
        <v>0</v>
      </c>
      <c r="T56" s="88">
        <f>'PF176'!V68</f>
        <v>0</v>
      </c>
      <c r="U56" s="88">
        <f>'PF176'!V69</f>
        <v>0</v>
      </c>
      <c r="V56" s="88">
        <f>'PF176'!V70</f>
        <v>0</v>
      </c>
      <c r="W56" s="88">
        <f>'PF176'!V71</f>
        <v>0</v>
      </c>
      <c r="X56" s="88">
        <f>'PF176'!V72</f>
        <v>0</v>
      </c>
      <c r="Y56" s="88">
        <f>'PF176'!V73</f>
        <v>0</v>
      </c>
      <c r="Z56" s="88">
        <f>'PF176'!V74</f>
        <v>0</v>
      </c>
      <c r="AA56" s="88">
        <f>'PF176'!V75</f>
        <v>0</v>
      </c>
      <c r="AB56" s="88">
        <f>'PF176'!V76</f>
        <v>0</v>
      </c>
      <c r="AC56" s="88">
        <f>'PF176'!V77</f>
        <v>0</v>
      </c>
      <c r="AD56" s="88">
        <f>'PF176'!V78</f>
        <v>0</v>
      </c>
      <c r="AE56" s="88">
        <f>'PF176'!V79</f>
        <v>0</v>
      </c>
      <c r="AF56" s="88">
        <f>'PF176'!V80</f>
        <v>0</v>
      </c>
      <c r="AG56" s="88">
        <f>'PF176'!V81</f>
        <v>0</v>
      </c>
      <c r="AH56" s="88">
        <f>'PF176'!V82</f>
        <v>0</v>
      </c>
      <c r="AI56" s="88">
        <f>'PF176'!V83</f>
        <v>0</v>
      </c>
      <c r="AJ56" s="88">
        <f>'PF176'!V84</f>
        <v>0</v>
      </c>
      <c r="AK56" s="89" t="str">
        <f>'PF176'!V85</f>
        <v>VREFL</v>
      </c>
      <c r="AL56" s="86" t="str">
        <f>'PF176'!V86</f>
        <v>VSSA</v>
      </c>
      <c r="AM56" s="87" t="str">
        <f>'PF176'!V87</f>
        <v>VDDA</v>
      </c>
      <c r="AN56" s="89" t="str">
        <f>'PF176'!V88</f>
        <v>VREFH</v>
      </c>
      <c r="AO56" s="88">
        <f>'PF176'!V89</f>
        <v>0</v>
      </c>
      <c r="AP56" s="88">
        <f>'PF176'!V90</f>
        <v>0</v>
      </c>
      <c r="AQ56" s="88">
        <f>'PF176'!V91</f>
        <v>0</v>
      </c>
      <c r="AR56" s="88">
        <f>'PF176'!V92</f>
        <v>0</v>
      </c>
      <c r="AS56" s="88">
        <f>'PF176'!V93</f>
        <v>0</v>
      </c>
      <c r="AT56" s="88">
        <f>'PF176'!V94</f>
        <v>0</v>
      </c>
      <c r="AU56" s="88">
        <f>'PF176'!V95</f>
        <v>0</v>
      </c>
      <c r="AV56" s="88">
        <f>'PF176'!V96</f>
        <v>0</v>
      </c>
      <c r="AW56" s="87" t="str">
        <f>'PF176'!V97</f>
        <v>VDDIO_2</v>
      </c>
    </row>
    <row r="67" spans="4:51" ht="15" customHeight="1" x14ac:dyDescent="0.55000000000000004">
      <c r="D67" s="137" t="s">
        <v>1216</v>
      </c>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37"/>
      <c r="AU67" s="137"/>
      <c r="AV67" s="137"/>
      <c r="AW67" s="137"/>
      <c r="AX67" s="137"/>
      <c r="AY67" s="137"/>
    </row>
    <row r="68" spans="4:51" ht="214" customHeight="1" x14ac:dyDescent="0.55000000000000004">
      <c r="D68" s="119" t="s">
        <v>1217</v>
      </c>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row>
  </sheetData>
  <sheetProtection algorithmName="SHA-512" hashValue="QdU0p5qyN6RKsCEkucfg5U26IGwZEZzlA6AqeJufXL1+I7ocCfdk8ricaw6EwoWq+PDYX4Yv3Ytj+Nw657uJtg==" saltValue="u86WhXsA6MWfuDB4VGzsHQ==" spinCount="100000" sheet="1" objects="1" scenarios="1" formatCells="0" formatColumns="0" formatRows="0" insertColumns="0" insertRows="0" insertHyperlinks="0" deleteColumns="0" deleteRows="0" selectLockedCells="1" sort="0" autoFilter="0" pivotTables="0"/>
  <mergeCells count="3">
    <mergeCell ref="F10:AW53"/>
    <mergeCell ref="D67:AY67"/>
    <mergeCell ref="D68:AY68"/>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F19C6-228E-4AB4-AD7C-C7F8A22F2646}">
  <dimension ref="A1:AG172"/>
  <sheetViews>
    <sheetView zoomScale="51" zoomScaleNormal="51" workbookViewId="0">
      <pane xSplit="3" ySplit="9" topLeftCell="D10" activePane="bottomRight" state="frozen"/>
      <selection pane="topRight" activeCell="D1" sqref="D1"/>
      <selection pane="bottomLeft" activeCell="A6" sqref="A6"/>
      <selection pane="bottomRight" activeCell="V16" sqref="V16"/>
    </sheetView>
  </sheetViews>
  <sheetFormatPr defaultColWidth="8.6640625" defaultRowHeight="10.25" customHeight="1" x14ac:dyDescent="0.55000000000000004"/>
  <cols>
    <col min="1" max="1" width="4.58203125" style="4" customWidth="1"/>
    <col min="2" max="2" width="6.83203125" style="4" bestFit="1" customWidth="1"/>
    <col min="3" max="3" width="3.5" style="4" bestFit="1" customWidth="1"/>
    <col min="4" max="4" width="9.58203125" style="4" customWidth="1"/>
    <col min="5" max="5" width="8.83203125" style="4" customWidth="1"/>
    <col min="6" max="7" width="11.08203125" style="4" customWidth="1"/>
    <col min="8" max="8" width="11.6640625" style="4" customWidth="1"/>
    <col min="9" max="9" width="11.5" style="4" customWidth="1"/>
    <col min="10" max="10" width="11.1640625" style="4" customWidth="1"/>
    <col min="11" max="11" width="12.08203125" style="4" customWidth="1"/>
    <col min="12" max="12" width="11.83203125" style="4" customWidth="1"/>
    <col min="13" max="16" width="8.83203125" style="4" customWidth="1"/>
    <col min="17" max="20" width="14.08203125" style="4" customWidth="1"/>
    <col min="21" max="21" width="17.6640625" style="4" customWidth="1"/>
    <col min="22" max="22" width="16.4140625" style="4" bestFit="1" customWidth="1"/>
    <col min="23" max="23" width="16.4140625" style="4" customWidth="1"/>
    <col min="24" max="24" width="24.83203125" style="4" bestFit="1" customWidth="1"/>
    <col min="25" max="25" width="24.83203125" style="4" customWidth="1"/>
    <col min="26" max="26" width="7.83203125" style="64" bestFit="1" customWidth="1"/>
    <col min="27" max="27" width="6.83203125" style="64" bestFit="1" customWidth="1"/>
    <col min="28" max="29" width="12.58203125" style="4" customWidth="1"/>
    <col min="30" max="32" width="8.58203125" style="4" customWidth="1"/>
    <col min="33" max="33" width="8.6640625" style="2"/>
    <col min="34" max="16384" width="8.6640625" style="4"/>
  </cols>
  <sheetData>
    <row r="1" spans="1:33" ht="25" customHeight="1" x14ac:dyDescent="0.55000000000000004">
      <c r="A1" s="1" t="s">
        <v>360</v>
      </c>
      <c r="AD1" s="23"/>
      <c r="AE1" s="23"/>
      <c r="AF1" s="23"/>
    </row>
    <row r="2" spans="1:33" ht="25" customHeight="1" x14ac:dyDescent="0.55000000000000004">
      <c r="A2" s="1"/>
      <c r="AD2" s="23"/>
      <c r="AE2" s="23"/>
      <c r="AF2" s="23"/>
    </row>
    <row r="3" spans="1:33" ht="25" customHeight="1" x14ac:dyDescent="0.55000000000000004">
      <c r="A3" s="1"/>
      <c r="AD3" s="23"/>
      <c r="AE3" s="23"/>
      <c r="AF3" s="23"/>
    </row>
    <row r="4" spans="1:33" ht="25" customHeight="1" x14ac:dyDescent="0.55000000000000004">
      <c r="A4" s="1"/>
      <c r="AD4" s="23"/>
      <c r="AE4" s="23"/>
      <c r="AF4" s="23"/>
    </row>
    <row r="5" spans="1:33" ht="25" customHeight="1" x14ac:dyDescent="0.55000000000000004">
      <c r="A5" s="1"/>
      <c r="AC5" s="5"/>
      <c r="AD5" s="23"/>
      <c r="AE5" s="23"/>
      <c r="AF5" s="24" t="s">
        <v>1185</v>
      </c>
    </row>
    <row r="6" spans="1:33" ht="10.25" customHeight="1" x14ac:dyDescent="0.55000000000000004">
      <c r="B6" s="4" t="s">
        <v>519</v>
      </c>
      <c r="E6" s="4" t="s">
        <v>529</v>
      </c>
      <c r="F6" s="4" t="s">
        <v>529</v>
      </c>
      <c r="G6" s="4" t="s">
        <v>520</v>
      </c>
      <c r="H6" s="4" t="s">
        <v>520</v>
      </c>
      <c r="I6" s="4" t="s">
        <v>529</v>
      </c>
      <c r="J6" s="4" t="s">
        <v>521</v>
      </c>
      <c r="K6" s="4" t="s">
        <v>522</v>
      </c>
      <c r="L6" s="4" t="s">
        <v>523</v>
      </c>
      <c r="M6" s="4" t="s">
        <v>524</v>
      </c>
      <c r="N6" s="4" t="s">
        <v>525</v>
      </c>
      <c r="O6" s="4" t="s">
        <v>1130</v>
      </c>
      <c r="P6" s="4" t="s">
        <v>526</v>
      </c>
      <c r="Q6" s="4" t="s">
        <v>526</v>
      </c>
      <c r="R6" s="4" t="s">
        <v>522</v>
      </c>
      <c r="S6" s="4" t="s">
        <v>527</v>
      </c>
      <c r="T6" s="4" t="s">
        <v>523</v>
      </c>
      <c r="U6" s="4" t="s">
        <v>528</v>
      </c>
      <c r="AG6" s="4"/>
    </row>
    <row r="7" spans="1:33" ht="10.25" customHeight="1" x14ac:dyDescent="0.55000000000000004">
      <c r="B7" s="122" t="s">
        <v>0</v>
      </c>
      <c r="C7" s="122" t="s">
        <v>252</v>
      </c>
      <c r="D7" s="120" t="s">
        <v>373</v>
      </c>
      <c r="E7" s="6"/>
      <c r="F7" s="7"/>
      <c r="G7" s="7"/>
      <c r="H7" s="7"/>
      <c r="I7" s="121" t="s">
        <v>1</v>
      </c>
      <c r="J7" s="121"/>
      <c r="K7" s="121"/>
      <c r="L7" s="7"/>
      <c r="M7" s="7"/>
      <c r="N7" s="7"/>
      <c r="O7" s="7"/>
      <c r="P7" s="7"/>
      <c r="Q7" s="8"/>
      <c r="R7" s="120" t="s">
        <v>346</v>
      </c>
      <c r="S7" s="120"/>
      <c r="T7" s="120"/>
      <c r="U7" s="120" t="s">
        <v>264</v>
      </c>
      <c r="V7" s="111" t="s">
        <v>262</v>
      </c>
      <c r="W7" s="112"/>
      <c r="X7" s="112"/>
      <c r="Y7" s="101" t="s">
        <v>1187</v>
      </c>
      <c r="Z7" s="114" t="s">
        <v>545</v>
      </c>
      <c r="AA7" s="115"/>
      <c r="AB7" s="106" t="s">
        <v>372</v>
      </c>
      <c r="AC7" s="107"/>
    </row>
    <row r="8" spans="1:33" ht="10.25" customHeight="1" x14ac:dyDescent="0.55000000000000004">
      <c r="B8" s="122"/>
      <c r="C8" s="122"/>
      <c r="D8" s="120"/>
      <c r="E8" s="67" t="s">
        <v>348</v>
      </c>
      <c r="F8" s="67" t="s">
        <v>2</v>
      </c>
      <c r="G8" s="67" t="s">
        <v>3</v>
      </c>
      <c r="H8" s="67" t="s">
        <v>4</v>
      </c>
      <c r="I8" s="67" t="s">
        <v>5</v>
      </c>
      <c r="J8" s="67" t="s">
        <v>6</v>
      </c>
      <c r="K8" s="67" t="s">
        <v>7</v>
      </c>
      <c r="L8" s="67" t="s">
        <v>8</v>
      </c>
      <c r="M8" s="67" t="s">
        <v>9</v>
      </c>
      <c r="N8" s="67" t="s">
        <v>10</v>
      </c>
      <c r="O8" s="67" t="s">
        <v>1128</v>
      </c>
      <c r="P8" s="67" t="s">
        <v>11</v>
      </c>
      <c r="Q8" s="67" t="s">
        <v>12</v>
      </c>
      <c r="R8" s="67" t="s">
        <v>265</v>
      </c>
      <c r="S8" s="67" t="s">
        <v>266</v>
      </c>
      <c r="T8" s="67" t="s">
        <v>267</v>
      </c>
      <c r="U8" s="120"/>
      <c r="V8" s="108" t="s">
        <v>263</v>
      </c>
      <c r="W8" s="108" t="s">
        <v>1186</v>
      </c>
      <c r="X8" s="109" t="s">
        <v>370</v>
      </c>
      <c r="Y8" s="102"/>
      <c r="Z8" s="116" t="s">
        <v>544</v>
      </c>
      <c r="AA8" s="116" t="s">
        <v>542</v>
      </c>
      <c r="AB8" s="104" t="s">
        <v>1183</v>
      </c>
      <c r="AC8" s="104" t="s">
        <v>1184</v>
      </c>
    </row>
    <row r="9" spans="1:33" ht="10.25" customHeight="1" x14ac:dyDescent="0.55000000000000004">
      <c r="B9" s="122"/>
      <c r="C9" s="122"/>
      <c r="D9" s="120"/>
      <c r="E9" s="67" t="s">
        <v>349</v>
      </c>
      <c r="F9" s="67" t="s">
        <v>13</v>
      </c>
      <c r="G9" s="67" t="s">
        <v>14</v>
      </c>
      <c r="H9" s="67" t="s">
        <v>15</v>
      </c>
      <c r="I9" s="67" t="s">
        <v>16</v>
      </c>
      <c r="J9" s="67" t="s">
        <v>17</v>
      </c>
      <c r="K9" s="67" t="s">
        <v>18</v>
      </c>
      <c r="L9" s="67" t="s">
        <v>19</v>
      </c>
      <c r="M9" s="67" t="s">
        <v>20</v>
      </c>
      <c r="N9" s="67" t="s">
        <v>21</v>
      </c>
      <c r="O9" s="67" t="s">
        <v>22</v>
      </c>
      <c r="P9" s="67" t="s">
        <v>1126</v>
      </c>
      <c r="Q9" s="67" t="s">
        <v>1127</v>
      </c>
      <c r="R9" s="67" t="s">
        <v>347</v>
      </c>
      <c r="S9" s="67" t="s">
        <v>268</v>
      </c>
      <c r="T9" s="67" t="s">
        <v>269</v>
      </c>
      <c r="U9" s="120"/>
      <c r="V9" s="108"/>
      <c r="W9" s="108"/>
      <c r="X9" s="110"/>
      <c r="Y9" s="103"/>
      <c r="Z9" s="117"/>
      <c r="AA9" s="117"/>
      <c r="AB9" s="105"/>
      <c r="AC9" s="105"/>
    </row>
    <row r="10" spans="1:33" ht="10.25" customHeight="1" x14ac:dyDescent="0.55000000000000004">
      <c r="B10" s="10" t="s">
        <v>253</v>
      </c>
      <c r="C10" s="11">
        <v>1</v>
      </c>
      <c r="D10" s="12" t="s">
        <v>272</v>
      </c>
      <c r="E10" s="12" t="s">
        <v>272</v>
      </c>
      <c r="F10" s="12" t="s">
        <v>272</v>
      </c>
      <c r="G10" s="12" t="s">
        <v>272</v>
      </c>
      <c r="H10" s="12" t="s">
        <v>272</v>
      </c>
      <c r="I10" s="12" t="s">
        <v>272</v>
      </c>
      <c r="J10" s="12" t="s">
        <v>272</v>
      </c>
      <c r="K10" s="12" t="s">
        <v>272</v>
      </c>
      <c r="L10" s="12" t="s">
        <v>272</v>
      </c>
      <c r="M10" s="12" t="s">
        <v>272</v>
      </c>
      <c r="N10" s="12" t="s">
        <v>272</v>
      </c>
      <c r="O10" s="12" t="s">
        <v>272</v>
      </c>
      <c r="P10" s="12" t="s">
        <v>272</v>
      </c>
      <c r="Q10" s="12" t="s">
        <v>272</v>
      </c>
      <c r="R10" s="12" t="s">
        <v>272</v>
      </c>
      <c r="S10" s="12" t="s">
        <v>272</v>
      </c>
      <c r="T10" s="12" t="s">
        <v>272</v>
      </c>
      <c r="U10" s="12" t="s">
        <v>272</v>
      </c>
      <c r="V10" s="10" t="s">
        <v>1159</v>
      </c>
      <c r="W10" s="12" t="s">
        <v>272</v>
      </c>
      <c r="X10" s="25"/>
      <c r="Y10" s="13" t="s">
        <v>531</v>
      </c>
      <c r="Z10" s="38" t="s">
        <v>543</v>
      </c>
      <c r="AA10" s="38" t="s">
        <v>543</v>
      </c>
      <c r="AB10" s="13"/>
      <c r="AC10" s="13"/>
    </row>
    <row r="11" spans="1:33" ht="10.25" customHeight="1" x14ac:dyDescent="0.55000000000000004">
      <c r="B11" s="15" t="s">
        <v>23</v>
      </c>
      <c r="C11" s="65">
        <v>2</v>
      </c>
      <c r="D11" s="15" t="s">
        <v>23</v>
      </c>
      <c r="E11" s="14" t="s">
        <v>564</v>
      </c>
      <c r="F11" s="14" t="s">
        <v>565</v>
      </c>
      <c r="G11" s="14" t="s">
        <v>566</v>
      </c>
      <c r="H11" s="14" t="s">
        <v>567</v>
      </c>
      <c r="I11" s="12" t="s">
        <v>272</v>
      </c>
      <c r="J11" s="14" t="s">
        <v>568</v>
      </c>
      <c r="K11" s="14" t="s">
        <v>569</v>
      </c>
      <c r="L11" s="12" t="s">
        <v>272</v>
      </c>
      <c r="M11" s="14" t="s">
        <v>24</v>
      </c>
      <c r="N11" s="12" t="s">
        <v>272</v>
      </c>
      <c r="O11" s="12" t="s">
        <v>272</v>
      </c>
      <c r="P11" s="12" t="s">
        <v>272</v>
      </c>
      <c r="Q11" s="12" t="s">
        <v>272</v>
      </c>
      <c r="R11" s="12" t="s">
        <v>272</v>
      </c>
      <c r="S11" s="12" t="s">
        <v>272</v>
      </c>
      <c r="T11" s="14" t="s">
        <v>1111</v>
      </c>
      <c r="U11" s="12" t="s">
        <v>272</v>
      </c>
      <c r="V11" s="16"/>
      <c r="W11" s="12" t="s">
        <v>272</v>
      </c>
      <c r="X11" s="25" t="str">
        <f>_xlfn.IFS(AND(COUNTIF(V11,"SCB0*")=1, 'PCH144'!D60&gt;=2), "See the Notice *2", AND(COUNTIF(V11,"SCB7*")=1, 'PCH144'!K60&gt;=2), "See the Notice *2", TRUE, "")</f>
        <v/>
      </c>
      <c r="Y11" s="13"/>
      <c r="Z11" s="38" t="s">
        <v>270</v>
      </c>
      <c r="AA11" s="38" t="s">
        <v>254</v>
      </c>
      <c r="AB11" s="13"/>
      <c r="AC11" s="13"/>
    </row>
    <row r="12" spans="1:33" ht="10.25" customHeight="1" x14ac:dyDescent="0.55000000000000004">
      <c r="B12" s="15" t="s">
        <v>25</v>
      </c>
      <c r="C12" s="65">
        <v>3</v>
      </c>
      <c r="D12" s="15" t="s">
        <v>25</v>
      </c>
      <c r="E12" s="14" t="s">
        <v>570</v>
      </c>
      <c r="F12" s="14" t="s">
        <v>571</v>
      </c>
      <c r="G12" s="14" t="s">
        <v>572</v>
      </c>
      <c r="H12" s="14" t="s">
        <v>573</v>
      </c>
      <c r="I12" s="12" t="s">
        <v>272</v>
      </c>
      <c r="J12" s="14" t="s">
        <v>574</v>
      </c>
      <c r="K12" s="14" t="s">
        <v>575</v>
      </c>
      <c r="L12" s="12" t="s">
        <v>272</v>
      </c>
      <c r="M12" s="14" t="s">
        <v>26</v>
      </c>
      <c r="N12" s="12" t="s">
        <v>272</v>
      </c>
      <c r="O12" s="12" t="s">
        <v>272</v>
      </c>
      <c r="P12" s="12" t="s">
        <v>272</v>
      </c>
      <c r="Q12" s="12" t="s">
        <v>272</v>
      </c>
      <c r="R12" s="12" t="s">
        <v>272</v>
      </c>
      <c r="S12" s="12" t="s">
        <v>272</v>
      </c>
      <c r="T12" s="14" t="s">
        <v>1112</v>
      </c>
      <c r="U12" s="12" t="s">
        <v>272</v>
      </c>
      <c r="V12" s="18"/>
      <c r="W12" s="12" t="s">
        <v>272</v>
      </c>
      <c r="X12" s="25" t="str">
        <f>_xlfn.IFS(AND(COUNTIF(V12,"SCB0*")=1, 'PCH144'!D60&gt;=2), "See the Notice *2", AND(COUNTIF(V12,"SCB7*")=1, 'PCH144'!K60&gt;=2), "See the Notice *2", TRUE, "")</f>
        <v/>
      </c>
      <c r="Y12" s="13"/>
      <c r="Z12" s="38" t="s">
        <v>270</v>
      </c>
      <c r="AA12" s="38" t="s">
        <v>254</v>
      </c>
      <c r="AB12" s="13"/>
      <c r="AC12" s="13"/>
    </row>
    <row r="13" spans="1:33" ht="10.25" customHeight="1" x14ac:dyDescent="0.55000000000000004">
      <c r="B13" s="15" t="s">
        <v>27</v>
      </c>
      <c r="C13" s="65">
        <v>4</v>
      </c>
      <c r="D13" s="15" t="s">
        <v>27</v>
      </c>
      <c r="E13" s="14" t="s">
        <v>576</v>
      </c>
      <c r="F13" s="14" t="s">
        <v>577</v>
      </c>
      <c r="G13" s="14" t="s">
        <v>578</v>
      </c>
      <c r="H13" s="14" t="s">
        <v>579</v>
      </c>
      <c r="I13" s="12" t="s">
        <v>272</v>
      </c>
      <c r="J13" s="14" t="s">
        <v>580</v>
      </c>
      <c r="K13" s="12" t="s">
        <v>272</v>
      </c>
      <c r="L13" s="12" t="s">
        <v>272</v>
      </c>
      <c r="M13" s="14" t="s">
        <v>28</v>
      </c>
      <c r="N13" s="14" t="s">
        <v>29</v>
      </c>
      <c r="O13" s="12" t="s">
        <v>272</v>
      </c>
      <c r="P13" s="12" t="s">
        <v>272</v>
      </c>
      <c r="Q13" s="12" t="s">
        <v>272</v>
      </c>
      <c r="R13" s="14" t="s">
        <v>1113</v>
      </c>
      <c r="S13" s="12" t="s">
        <v>272</v>
      </c>
      <c r="T13" s="14" t="s">
        <v>1114</v>
      </c>
      <c r="U13" s="12" t="s">
        <v>272</v>
      </c>
      <c r="V13" s="18"/>
      <c r="W13" s="12" t="s">
        <v>272</v>
      </c>
      <c r="X13" s="25" t="str">
        <f>_xlfn.IFS(AND(COUNTIF(V13,"SCB0*")=1, 'PCH144'!D60&gt;=2), "See the Notice *2", AND(COUNTIF(V13,"SCB7*")=1, 'PCH144'!K60&gt;=2), "See the Notice *2", TRUE, "")</f>
        <v/>
      </c>
      <c r="Y13" s="13"/>
      <c r="Z13" s="38" t="s">
        <v>270</v>
      </c>
      <c r="AA13" s="38" t="s">
        <v>254</v>
      </c>
      <c r="AB13" s="13"/>
      <c r="AC13" s="13"/>
    </row>
    <row r="14" spans="1:33" ht="10.25" customHeight="1" x14ac:dyDescent="0.55000000000000004">
      <c r="B14" s="15" t="s">
        <v>30</v>
      </c>
      <c r="C14" s="65">
        <v>5</v>
      </c>
      <c r="D14" s="15" t="s">
        <v>30</v>
      </c>
      <c r="E14" s="14" t="s">
        <v>581</v>
      </c>
      <c r="F14" s="14" t="s">
        <v>582</v>
      </c>
      <c r="G14" s="14" t="s">
        <v>583</v>
      </c>
      <c r="H14" s="14" t="s">
        <v>584</v>
      </c>
      <c r="I14" s="12" t="s">
        <v>272</v>
      </c>
      <c r="J14" s="14" t="s">
        <v>585</v>
      </c>
      <c r="K14" s="12" t="s">
        <v>272</v>
      </c>
      <c r="L14" s="12" t="s">
        <v>272</v>
      </c>
      <c r="M14" s="12" t="s">
        <v>272</v>
      </c>
      <c r="N14" s="14" t="s">
        <v>31</v>
      </c>
      <c r="O14" s="12" t="s">
        <v>272</v>
      </c>
      <c r="P14" s="12" t="s">
        <v>272</v>
      </c>
      <c r="Q14" s="12" t="s">
        <v>272</v>
      </c>
      <c r="R14" s="14" t="s">
        <v>1115</v>
      </c>
      <c r="S14" s="12" t="s">
        <v>272</v>
      </c>
      <c r="T14" s="14" t="s">
        <v>1116</v>
      </c>
      <c r="U14" s="12" t="s">
        <v>272</v>
      </c>
      <c r="V14" s="18"/>
      <c r="W14" s="12" t="s">
        <v>272</v>
      </c>
      <c r="X14" s="25" t="str">
        <f>_xlfn.IFS(AND(COUNTIF(V14,"SCB0*")=1, 'PCH144'!D60&gt;=2), "See the Notice *2", AND(COUNTIF(V14,"SCB7*")=1, 'PCH144'!K60&gt;=2), "See the Notice *2", TRUE, "")</f>
        <v/>
      </c>
      <c r="Y14" s="13"/>
      <c r="Z14" s="38" t="s">
        <v>270</v>
      </c>
      <c r="AA14" s="38" t="s">
        <v>254</v>
      </c>
      <c r="AB14" s="13"/>
      <c r="AC14" s="13"/>
    </row>
    <row r="15" spans="1:33" ht="10.25" customHeight="1" x14ac:dyDescent="0.55000000000000004">
      <c r="B15" s="15" t="s">
        <v>32</v>
      </c>
      <c r="C15" s="65">
        <v>6</v>
      </c>
      <c r="D15" s="15" t="s">
        <v>32</v>
      </c>
      <c r="E15" s="14" t="s">
        <v>586</v>
      </c>
      <c r="F15" s="14" t="s">
        <v>587</v>
      </c>
      <c r="G15" s="14" t="s">
        <v>588</v>
      </c>
      <c r="H15" s="14" t="s">
        <v>589</v>
      </c>
      <c r="I15" s="14" t="s">
        <v>590</v>
      </c>
      <c r="J15" s="12" t="s">
        <v>272</v>
      </c>
      <c r="K15" s="12" t="s">
        <v>272</v>
      </c>
      <c r="L15" s="12" t="s">
        <v>272</v>
      </c>
      <c r="M15" s="12" t="s">
        <v>272</v>
      </c>
      <c r="N15" s="12" t="s">
        <v>272</v>
      </c>
      <c r="O15" s="12" t="s">
        <v>272</v>
      </c>
      <c r="P15" s="12" t="s">
        <v>272</v>
      </c>
      <c r="Q15" s="12" t="s">
        <v>272</v>
      </c>
      <c r="R15" s="14" t="s">
        <v>1117</v>
      </c>
      <c r="S15" s="12" t="s">
        <v>272</v>
      </c>
      <c r="T15" s="14" t="s">
        <v>1118</v>
      </c>
      <c r="U15" s="12" t="s">
        <v>272</v>
      </c>
      <c r="V15" s="18"/>
      <c r="W15" s="12" t="s">
        <v>272</v>
      </c>
      <c r="X15" s="25" t="str">
        <f>_xlfn.IFS(AND(COUNTIF(V15,"SCB0*")=1, 'PCH144'!D60&gt;=2), "See the Notice *2", TRUE, "")</f>
        <v/>
      </c>
      <c r="Y15" s="13"/>
      <c r="Z15" s="38" t="s">
        <v>271</v>
      </c>
      <c r="AA15" s="38" t="s">
        <v>254</v>
      </c>
      <c r="AB15" s="13"/>
      <c r="AC15" s="13"/>
    </row>
    <row r="16" spans="1:33" ht="10.25" customHeight="1" x14ac:dyDescent="0.55000000000000004">
      <c r="B16" s="15" t="s">
        <v>33</v>
      </c>
      <c r="C16" s="65">
        <v>7</v>
      </c>
      <c r="D16" s="15" t="s">
        <v>33</v>
      </c>
      <c r="E16" s="14" t="s">
        <v>591</v>
      </c>
      <c r="F16" s="14" t="s">
        <v>592</v>
      </c>
      <c r="G16" s="14" t="s">
        <v>593</v>
      </c>
      <c r="H16" s="14" t="s">
        <v>594</v>
      </c>
      <c r="I16" s="14" t="s">
        <v>595</v>
      </c>
      <c r="J16" s="12" t="s">
        <v>272</v>
      </c>
      <c r="K16" s="12" t="s">
        <v>272</v>
      </c>
      <c r="L16" s="12" t="s">
        <v>272</v>
      </c>
      <c r="M16" s="12" t="s">
        <v>272</v>
      </c>
      <c r="N16" s="12" t="s">
        <v>272</v>
      </c>
      <c r="O16" s="12" t="s">
        <v>272</v>
      </c>
      <c r="P16" s="12" t="s">
        <v>272</v>
      </c>
      <c r="Q16" s="12" t="s">
        <v>272</v>
      </c>
      <c r="R16" s="14" t="s">
        <v>1119</v>
      </c>
      <c r="S16" s="12" t="s">
        <v>272</v>
      </c>
      <c r="T16" s="14" t="s">
        <v>1120</v>
      </c>
      <c r="U16" s="12" t="s">
        <v>272</v>
      </c>
      <c r="V16" s="18"/>
      <c r="W16" s="12" t="s">
        <v>272</v>
      </c>
      <c r="X16" s="25" t="str">
        <f>_xlfn.IFS(AND(COUNTIF(V16,"SCB0*")=1, 'PCH144'!D60&gt;=2), "See the Notice *2", TRUE, "")</f>
        <v/>
      </c>
      <c r="Y16" s="13"/>
      <c r="Z16" s="38" t="s">
        <v>271</v>
      </c>
      <c r="AA16" s="38" t="s">
        <v>254</v>
      </c>
      <c r="AB16" s="13"/>
      <c r="AC16" s="13"/>
    </row>
    <row r="17" spans="2:29" ht="10.25" customHeight="1" x14ac:dyDescent="0.55000000000000004">
      <c r="B17" s="15" t="s">
        <v>38</v>
      </c>
      <c r="C17" s="65">
        <v>8</v>
      </c>
      <c r="D17" s="15" t="s">
        <v>38</v>
      </c>
      <c r="E17" s="14" t="s">
        <v>606</v>
      </c>
      <c r="F17" s="14" t="s">
        <v>607</v>
      </c>
      <c r="G17" s="14" t="s">
        <v>608</v>
      </c>
      <c r="H17" s="14" t="s">
        <v>609</v>
      </c>
      <c r="I17" s="14" t="s">
        <v>610</v>
      </c>
      <c r="J17" s="14" t="s">
        <v>611</v>
      </c>
      <c r="K17" s="12" t="s">
        <v>272</v>
      </c>
      <c r="L17" s="14" t="s">
        <v>612</v>
      </c>
      <c r="M17" s="14" t="s">
        <v>39</v>
      </c>
      <c r="N17" s="14" t="s">
        <v>40</v>
      </c>
      <c r="O17" s="12" t="s">
        <v>272</v>
      </c>
      <c r="P17" s="14" t="s">
        <v>41</v>
      </c>
      <c r="Q17" s="12" t="s">
        <v>272</v>
      </c>
      <c r="R17" s="12" t="s">
        <v>272</v>
      </c>
      <c r="S17" s="14" t="s">
        <v>273</v>
      </c>
      <c r="T17" s="14" t="s">
        <v>1123</v>
      </c>
      <c r="U17" s="12" t="s">
        <v>272</v>
      </c>
      <c r="V17" s="18"/>
      <c r="W17" s="12" t="s">
        <v>272</v>
      </c>
      <c r="X17" s="25" t="str">
        <f>_xlfn.IFS(AND(COUNTIF(V17,"SCB0*")=1, 'PCH144'!D60&gt;=2), "See the Notice *2", AND(COUNTIF(V17,"SCB7*")=1, 'PCH144'!K60&gt;=2), "See the Notice *2", TRUE, "")</f>
        <v/>
      </c>
      <c r="Y17" s="13"/>
      <c r="Z17" s="38" t="s">
        <v>271</v>
      </c>
      <c r="AA17" s="38" t="s">
        <v>254</v>
      </c>
      <c r="AB17" s="13"/>
      <c r="AC17" s="13"/>
    </row>
    <row r="18" spans="2:29" ht="10.25" customHeight="1" x14ac:dyDescent="0.55000000000000004">
      <c r="B18" s="15" t="s">
        <v>42</v>
      </c>
      <c r="C18" s="65">
        <v>9</v>
      </c>
      <c r="D18" s="15" t="s">
        <v>42</v>
      </c>
      <c r="E18" s="14" t="s">
        <v>613</v>
      </c>
      <c r="F18" s="14" t="s">
        <v>614</v>
      </c>
      <c r="G18" s="14" t="s">
        <v>615</v>
      </c>
      <c r="H18" s="14" t="s">
        <v>616</v>
      </c>
      <c r="I18" s="14" t="s">
        <v>617</v>
      </c>
      <c r="J18" s="14" t="s">
        <v>618</v>
      </c>
      <c r="K18" s="14" t="s">
        <v>619</v>
      </c>
      <c r="L18" s="14" t="s">
        <v>620</v>
      </c>
      <c r="M18" s="14" t="s">
        <v>43</v>
      </c>
      <c r="N18" s="14" t="s">
        <v>44</v>
      </c>
      <c r="O18" s="12" t="s">
        <v>272</v>
      </c>
      <c r="P18" s="14" t="s">
        <v>45</v>
      </c>
      <c r="Q18" s="12" t="s">
        <v>272</v>
      </c>
      <c r="R18" s="12" t="s">
        <v>272</v>
      </c>
      <c r="S18" s="12" t="s">
        <v>272</v>
      </c>
      <c r="T18" s="14" t="s">
        <v>1124</v>
      </c>
      <c r="U18" s="12" t="s">
        <v>272</v>
      </c>
      <c r="V18" s="18"/>
      <c r="W18" s="12" t="s">
        <v>272</v>
      </c>
      <c r="X18" s="25" t="str">
        <f>_xlfn.IFS(AND(COUNTIF(V18,"SCB0*")=1, 'PCH144'!D60&gt;=2), "See the Notice *2", AND(COUNTIF(V18,"SCB7*")=1, 'PCH144'!K60&gt;=2), "See the Notice *2", TRUE, "")</f>
        <v/>
      </c>
      <c r="Y18" s="13"/>
      <c r="Z18" s="38" t="s">
        <v>271</v>
      </c>
      <c r="AA18" s="38" t="s">
        <v>254</v>
      </c>
      <c r="AB18" s="13"/>
      <c r="AC18" s="13"/>
    </row>
    <row r="19" spans="2:29" ht="10.25" customHeight="1" x14ac:dyDescent="0.55000000000000004">
      <c r="B19" s="15" t="s">
        <v>46</v>
      </c>
      <c r="C19" s="65">
        <v>10</v>
      </c>
      <c r="D19" s="15" t="s">
        <v>46</v>
      </c>
      <c r="E19" s="14" t="s">
        <v>621</v>
      </c>
      <c r="F19" s="14" t="s">
        <v>622</v>
      </c>
      <c r="G19" s="14" t="s">
        <v>623</v>
      </c>
      <c r="H19" s="14" t="s">
        <v>624</v>
      </c>
      <c r="I19" s="14" t="s">
        <v>625</v>
      </c>
      <c r="J19" s="14" t="s">
        <v>626</v>
      </c>
      <c r="K19" s="14" t="s">
        <v>627</v>
      </c>
      <c r="L19" s="14" t="s">
        <v>628</v>
      </c>
      <c r="M19" s="14" t="s">
        <v>47</v>
      </c>
      <c r="N19" s="12" t="s">
        <v>272</v>
      </c>
      <c r="O19" s="12" t="s">
        <v>272</v>
      </c>
      <c r="P19" s="14" t="s">
        <v>48</v>
      </c>
      <c r="Q19" s="12" t="s">
        <v>272</v>
      </c>
      <c r="R19" s="12" t="s">
        <v>272</v>
      </c>
      <c r="S19" s="12" t="s">
        <v>272</v>
      </c>
      <c r="T19" s="14" t="s">
        <v>1125</v>
      </c>
      <c r="U19" s="12" t="s">
        <v>272</v>
      </c>
      <c r="V19" s="18"/>
      <c r="W19" s="12" t="s">
        <v>272</v>
      </c>
      <c r="X19" s="25" t="str">
        <f>_xlfn.IFS(AND(COUNTIF(V19,"SCB0*")=1, 'PCH144'!D60&gt;=2), "See the Notice *2", AND(COUNTIF(V19,"SCB7*")=1, 'PCH144'!K60&gt;=2), "See the Notice *2", TRUE, "")</f>
        <v/>
      </c>
      <c r="Y19" s="13"/>
      <c r="Z19" s="38" t="s">
        <v>271</v>
      </c>
      <c r="AA19" s="38" t="s">
        <v>254</v>
      </c>
      <c r="AB19" s="13"/>
      <c r="AC19" s="13"/>
    </row>
    <row r="20" spans="2:29" ht="10.25" customHeight="1" x14ac:dyDescent="0.55000000000000004">
      <c r="B20" s="15" t="s">
        <v>49</v>
      </c>
      <c r="C20" s="65">
        <v>11</v>
      </c>
      <c r="D20" s="15" t="s">
        <v>49</v>
      </c>
      <c r="E20" s="14" t="s">
        <v>629</v>
      </c>
      <c r="F20" s="14" t="s">
        <v>630</v>
      </c>
      <c r="G20" s="14" t="s">
        <v>631</v>
      </c>
      <c r="H20" s="14" t="s">
        <v>632</v>
      </c>
      <c r="I20" s="14" t="s">
        <v>633</v>
      </c>
      <c r="J20" s="14" t="s">
        <v>634</v>
      </c>
      <c r="K20" s="12" t="s">
        <v>272</v>
      </c>
      <c r="L20" s="14" t="s">
        <v>635</v>
      </c>
      <c r="M20" s="14" t="s">
        <v>50</v>
      </c>
      <c r="N20" s="12" t="s">
        <v>272</v>
      </c>
      <c r="O20" s="12" t="s">
        <v>272</v>
      </c>
      <c r="P20" s="14" t="s">
        <v>51</v>
      </c>
      <c r="Q20" s="12" t="s">
        <v>272</v>
      </c>
      <c r="R20" s="12" t="s">
        <v>272</v>
      </c>
      <c r="S20" s="12" t="s">
        <v>272</v>
      </c>
      <c r="T20" s="12" t="s">
        <v>272</v>
      </c>
      <c r="U20" s="12" t="s">
        <v>272</v>
      </c>
      <c r="V20" s="16"/>
      <c r="W20" s="12" t="s">
        <v>272</v>
      </c>
      <c r="X20" s="25" t="str">
        <f>_xlfn.IFS(AND(COUNTIF(V20,"SCB*")=1, 'PCH144'!K60&gt;=2), "See the Notice *2", TRUE, "")</f>
        <v/>
      </c>
      <c r="Y20" s="13"/>
      <c r="Z20" s="38" t="s">
        <v>271</v>
      </c>
      <c r="AA20" s="38" t="s">
        <v>254</v>
      </c>
      <c r="AB20" s="13"/>
      <c r="AC20" s="13"/>
    </row>
    <row r="21" spans="2:29" ht="10.25" customHeight="1" x14ac:dyDescent="0.55000000000000004">
      <c r="B21" s="15" t="s">
        <v>52</v>
      </c>
      <c r="C21" s="65">
        <v>12</v>
      </c>
      <c r="D21" s="15" t="s">
        <v>52</v>
      </c>
      <c r="E21" s="14" t="s">
        <v>636</v>
      </c>
      <c r="F21" s="14" t="s">
        <v>637</v>
      </c>
      <c r="G21" s="14" t="s">
        <v>638</v>
      </c>
      <c r="H21" s="14" t="s">
        <v>639</v>
      </c>
      <c r="I21" s="14" t="s">
        <v>640</v>
      </c>
      <c r="J21" s="12" t="s">
        <v>272</v>
      </c>
      <c r="K21" s="12" t="s">
        <v>272</v>
      </c>
      <c r="L21" s="14" t="s">
        <v>641</v>
      </c>
      <c r="M21" s="14" t="s">
        <v>53</v>
      </c>
      <c r="N21" s="12" t="s">
        <v>272</v>
      </c>
      <c r="O21" s="12" t="s">
        <v>272</v>
      </c>
      <c r="P21" s="14" t="s">
        <v>54</v>
      </c>
      <c r="Q21" s="12" t="s">
        <v>272</v>
      </c>
      <c r="R21" s="12" t="s">
        <v>272</v>
      </c>
      <c r="S21" s="12" t="s">
        <v>272</v>
      </c>
      <c r="T21" s="12" t="s">
        <v>272</v>
      </c>
      <c r="U21" s="12" t="s">
        <v>272</v>
      </c>
      <c r="V21" s="16"/>
      <c r="W21" s="12" t="s">
        <v>272</v>
      </c>
      <c r="X21" s="25" t="str">
        <f>_xlfn.IFS(AND(COUNTIF(V21,"SCB*")=1, 'PCH144'!K60&gt;=2), "See the Notice *2", TRUE, "")</f>
        <v/>
      </c>
      <c r="Y21" s="13"/>
      <c r="Z21" s="38" t="s">
        <v>271</v>
      </c>
      <c r="AA21" s="38" t="s">
        <v>254</v>
      </c>
      <c r="AB21" s="13"/>
      <c r="AC21" s="13"/>
    </row>
    <row r="22" spans="2:29" ht="10.25" customHeight="1" x14ac:dyDescent="0.55000000000000004">
      <c r="B22" s="15" t="s">
        <v>58</v>
      </c>
      <c r="C22" s="65">
        <v>13</v>
      </c>
      <c r="D22" s="15" t="s">
        <v>58</v>
      </c>
      <c r="E22" s="14" t="s">
        <v>648</v>
      </c>
      <c r="F22" s="14" t="s">
        <v>649</v>
      </c>
      <c r="G22" s="14" t="s">
        <v>650</v>
      </c>
      <c r="H22" s="14" t="s">
        <v>651</v>
      </c>
      <c r="I22" s="14" t="s">
        <v>652</v>
      </c>
      <c r="J22" s="14" t="s">
        <v>653</v>
      </c>
      <c r="K22" s="12" t="s">
        <v>272</v>
      </c>
      <c r="L22" s="14" t="s">
        <v>654</v>
      </c>
      <c r="M22" s="12" t="s">
        <v>272</v>
      </c>
      <c r="N22" s="14" t="s">
        <v>655</v>
      </c>
      <c r="O22" s="12" t="s">
        <v>272</v>
      </c>
      <c r="P22" s="12" t="s">
        <v>272</v>
      </c>
      <c r="Q22" s="14" t="s">
        <v>59</v>
      </c>
      <c r="R22" s="12" t="s">
        <v>272</v>
      </c>
      <c r="S22" s="12" t="s">
        <v>272</v>
      </c>
      <c r="T22" s="12" t="s">
        <v>272</v>
      </c>
      <c r="U22" s="12" t="s">
        <v>272</v>
      </c>
      <c r="V22" s="18"/>
      <c r="W22" s="12" t="s">
        <v>272</v>
      </c>
      <c r="X22" s="25" t="str">
        <f>_xlfn.IFS(AND(COUNTIF(V22,"SCB*")=1, 'PCH144'!J60&gt;=2), "See the Notice *2", TRUE, "")</f>
        <v/>
      </c>
      <c r="Y22" s="13"/>
      <c r="Z22" s="38" t="s">
        <v>271</v>
      </c>
      <c r="AA22" s="38" t="s">
        <v>254</v>
      </c>
      <c r="AB22" s="13"/>
      <c r="AC22" s="13"/>
    </row>
    <row r="23" spans="2:29" ht="10.25" customHeight="1" x14ac:dyDescent="0.55000000000000004">
      <c r="B23" s="15" t="s">
        <v>60</v>
      </c>
      <c r="C23" s="65">
        <v>14</v>
      </c>
      <c r="D23" s="15" t="s">
        <v>60</v>
      </c>
      <c r="E23" s="14" t="s">
        <v>656</v>
      </c>
      <c r="F23" s="14" t="s">
        <v>657</v>
      </c>
      <c r="G23" s="14" t="s">
        <v>658</v>
      </c>
      <c r="H23" s="14" t="s">
        <v>659</v>
      </c>
      <c r="I23" s="14" t="s">
        <v>660</v>
      </c>
      <c r="J23" s="14" t="s">
        <v>661</v>
      </c>
      <c r="K23" s="14" t="s">
        <v>662</v>
      </c>
      <c r="L23" s="14" t="s">
        <v>663</v>
      </c>
      <c r="M23" s="12" t="s">
        <v>272</v>
      </c>
      <c r="N23" s="14" t="s">
        <v>664</v>
      </c>
      <c r="O23" s="12" t="s">
        <v>272</v>
      </c>
      <c r="P23" s="12" t="s">
        <v>272</v>
      </c>
      <c r="Q23" s="14" t="s">
        <v>61</v>
      </c>
      <c r="R23" s="12" t="s">
        <v>272</v>
      </c>
      <c r="S23" s="12" t="s">
        <v>272</v>
      </c>
      <c r="T23" s="12" t="s">
        <v>272</v>
      </c>
      <c r="U23" s="12" t="s">
        <v>272</v>
      </c>
      <c r="V23" s="18"/>
      <c r="W23" s="12" t="s">
        <v>272</v>
      </c>
      <c r="X23" s="25" t="str">
        <f>_xlfn.IFS(AND(COUNTIF(V23,"SCB*")=1, 'PCH144'!J60&gt;=2), "See the Notice *2", TRUE, "")</f>
        <v/>
      </c>
      <c r="Y23" s="13"/>
      <c r="Z23" s="38" t="s">
        <v>271</v>
      </c>
      <c r="AA23" s="38" t="s">
        <v>254</v>
      </c>
      <c r="AB23" s="13"/>
      <c r="AC23" s="13"/>
    </row>
    <row r="24" spans="2:29" ht="10.25" customHeight="1" x14ac:dyDescent="0.55000000000000004">
      <c r="B24" s="15" t="s">
        <v>62</v>
      </c>
      <c r="C24" s="65">
        <v>15</v>
      </c>
      <c r="D24" s="15" t="s">
        <v>62</v>
      </c>
      <c r="E24" s="14" t="s">
        <v>665</v>
      </c>
      <c r="F24" s="14" t="s">
        <v>666</v>
      </c>
      <c r="G24" s="14" t="s">
        <v>667</v>
      </c>
      <c r="H24" s="14" t="s">
        <v>668</v>
      </c>
      <c r="I24" s="14" t="s">
        <v>669</v>
      </c>
      <c r="J24" s="14" t="s">
        <v>670</v>
      </c>
      <c r="K24" s="14" t="s">
        <v>671</v>
      </c>
      <c r="L24" s="14" t="s">
        <v>672</v>
      </c>
      <c r="M24" s="12" t="s">
        <v>272</v>
      </c>
      <c r="N24" s="12" t="s">
        <v>272</v>
      </c>
      <c r="O24" s="12" t="s">
        <v>272</v>
      </c>
      <c r="P24" s="12" t="s">
        <v>272</v>
      </c>
      <c r="Q24" s="12" t="s">
        <v>272</v>
      </c>
      <c r="R24" s="12" t="s">
        <v>272</v>
      </c>
      <c r="S24" s="12" t="s">
        <v>272</v>
      </c>
      <c r="T24" s="12" t="s">
        <v>272</v>
      </c>
      <c r="U24" s="12" t="s">
        <v>272</v>
      </c>
      <c r="V24" s="18"/>
      <c r="W24" s="12" t="s">
        <v>272</v>
      </c>
      <c r="X24" s="25" t="str">
        <f>_xlfn.IFS(AND(COUNTIF(V24,"SCB*")=1, 'PCH144'!J60&gt;=2), "See the Notice *2", TRUE, "")</f>
        <v/>
      </c>
      <c r="Y24" s="13"/>
      <c r="Z24" s="38" t="s">
        <v>271</v>
      </c>
      <c r="AA24" s="38" t="s">
        <v>254</v>
      </c>
      <c r="AB24" s="13"/>
      <c r="AC24" s="13"/>
    </row>
    <row r="25" spans="2:29" ht="10.25" customHeight="1" x14ac:dyDescent="0.55000000000000004">
      <c r="B25" s="15" t="s">
        <v>63</v>
      </c>
      <c r="C25" s="65">
        <v>16</v>
      </c>
      <c r="D25" s="15" t="s">
        <v>63</v>
      </c>
      <c r="E25" s="14" t="s">
        <v>673</v>
      </c>
      <c r="F25" s="14" t="s">
        <v>674</v>
      </c>
      <c r="G25" s="14" t="s">
        <v>675</v>
      </c>
      <c r="H25" s="14" t="s">
        <v>676</v>
      </c>
      <c r="I25" s="14" t="s">
        <v>677</v>
      </c>
      <c r="J25" s="14" t="s">
        <v>678</v>
      </c>
      <c r="K25" s="12" t="s">
        <v>272</v>
      </c>
      <c r="L25" s="14" t="s">
        <v>679</v>
      </c>
      <c r="M25" s="12" t="s">
        <v>272</v>
      </c>
      <c r="N25" s="12" t="s">
        <v>272</v>
      </c>
      <c r="O25" s="12" t="s">
        <v>272</v>
      </c>
      <c r="P25" s="12" t="s">
        <v>272</v>
      </c>
      <c r="Q25" s="12" t="s">
        <v>272</v>
      </c>
      <c r="R25" s="12" t="s">
        <v>272</v>
      </c>
      <c r="S25" s="12" t="s">
        <v>272</v>
      </c>
      <c r="T25" s="12" t="s">
        <v>272</v>
      </c>
      <c r="U25" s="12" t="s">
        <v>272</v>
      </c>
      <c r="V25" s="18"/>
      <c r="W25" s="12" t="s">
        <v>272</v>
      </c>
      <c r="X25" s="25" t="str">
        <f>_xlfn.IFS(AND(COUNTIF(V25,"SCB*")=1, 'PCH144'!J60&gt;=2), "See the Notice *2", TRUE, "")</f>
        <v/>
      </c>
      <c r="Y25" s="13"/>
      <c r="Z25" s="38" t="s">
        <v>271</v>
      </c>
      <c r="AA25" s="38" t="s">
        <v>254</v>
      </c>
      <c r="AB25" s="13"/>
      <c r="AC25" s="13"/>
    </row>
    <row r="26" spans="2:29" ht="10.25" customHeight="1" x14ac:dyDescent="0.55000000000000004">
      <c r="B26" s="15" t="s">
        <v>64</v>
      </c>
      <c r="C26" s="65">
        <v>17</v>
      </c>
      <c r="D26" s="15" t="s">
        <v>64</v>
      </c>
      <c r="E26" s="14" t="s">
        <v>680</v>
      </c>
      <c r="F26" s="14" t="s">
        <v>681</v>
      </c>
      <c r="G26" s="14" t="s">
        <v>682</v>
      </c>
      <c r="H26" s="14" t="s">
        <v>683</v>
      </c>
      <c r="I26" s="14" t="s">
        <v>684</v>
      </c>
      <c r="J26" s="12" t="s">
        <v>272</v>
      </c>
      <c r="K26" s="12" t="s">
        <v>272</v>
      </c>
      <c r="L26" s="14" t="s">
        <v>685</v>
      </c>
      <c r="M26" s="12" t="s">
        <v>272</v>
      </c>
      <c r="N26" s="12" t="s">
        <v>272</v>
      </c>
      <c r="O26" s="12" t="s">
        <v>272</v>
      </c>
      <c r="P26" s="12" t="s">
        <v>272</v>
      </c>
      <c r="Q26" s="12" t="s">
        <v>272</v>
      </c>
      <c r="R26" s="12" t="s">
        <v>272</v>
      </c>
      <c r="S26" s="12" t="s">
        <v>272</v>
      </c>
      <c r="T26" s="12" t="s">
        <v>272</v>
      </c>
      <c r="U26" s="12" t="s">
        <v>272</v>
      </c>
      <c r="V26" s="18"/>
      <c r="W26" s="12" t="s">
        <v>272</v>
      </c>
      <c r="X26" s="25" t="str">
        <f>_xlfn.IFS(AND(COUNTIF(V26,"SCB*")=1, 'PCH144'!J60&gt;=2), "See the Notice *2", TRUE, "")</f>
        <v/>
      </c>
      <c r="Y26" s="13"/>
      <c r="Z26" s="38" t="s">
        <v>271</v>
      </c>
      <c r="AA26" s="38" t="s">
        <v>254</v>
      </c>
      <c r="AB26" s="13"/>
      <c r="AC26" s="13"/>
    </row>
    <row r="27" spans="2:29" ht="10.25" customHeight="1" x14ac:dyDescent="0.55000000000000004">
      <c r="B27" s="17" t="s">
        <v>254</v>
      </c>
      <c r="C27" s="11">
        <v>18</v>
      </c>
      <c r="D27" s="12" t="s">
        <v>272</v>
      </c>
      <c r="E27" s="12" t="s">
        <v>272</v>
      </c>
      <c r="F27" s="12" t="s">
        <v>272</v>
      </c>
      <c r="G27" s="12" t="s">
        <v>272</v>
      </c>
      <c r="H27" s="12" t="s">
        <v>272</v>
      </c>
      <c r="I27" s="12" t="s">
        <v>272</v>
      </c>
      <c r="J27" s="12" t="s">
        <v>272</v>
      </c>
      <c r="K27" s="12" t="s">
        <v>272</v>
      </c>
      <c r="L27" s="12" t="s">
        <v>272</v>
      </c>
      <c r="M27" s="12" t="s">
        <v>272</v>
      </c>
      <c r="N27" s="12" t="s">
        <v>272</v>
      </c>
      <c r="O27" s="12" t="s">
        <v>272</v>
      </c>
      <c r="P27" s="12" t="s">
        <v>272</v>
      </c>
      <c r="Q27" s="12" t="s">
        <v>272</v>
      </c>
      <c r="R27" s="12" t="s">
        <v>272</v>
      </c>
      <c r="S27" s="12" t="s">
        <v>272</v>
      </c>
      <c r="T27" s="12" t="s">
        <v>272</v>
      </c>
      <c r="U27" s="12" t="s">
        <v>272</v>
      </c>
      <c r="V27" s="17" t="s">
        <v>254</v>
      </c>
      <c r="W27" s="12" t="s">
        <v>272</v>
      </c>
      <c r="X27" s="25"/>
      <c r="Y27" s="13" t="s">
        <v>530</v>
      </c>
      <c r="Z27" s="38" t="s">
        <v>543</v>
      </c>
      <c r="AA27" s="38" t="s">
        <v>543</v>
      </c>
      <c r="AB27" s="13"/>
      <c r="AC27" s="13"/>
    </row>
    <row r="28" spans="2:29" ht="10.25" customHeight="1" x14ac:dyDescent="0.55000000000000004">
      <c r="B28" s="10" t="s">
        <v>253</v>
      </c>
      <c r="C28" s="11">
        <v>19</v>
      </c>
      <c r="D28" s="12" t="s">
        <v>272</v>
      </c>
      <c r="E28" s="12" t="s">
        <v>272</v>
      </c>
      <c r="F28" s="12" t="s">
        <v>272</v>
      </c>
      <c r="G28" s="12" t="s">
        <v>272</v>
      </c>
      <c r="H28" s="12" t="s">
        <v>272</v>
      </c>
      <c r="I28" s="12" t="s">
        <v>272</v>
      </c>
      <c r="J28" s="12" t="s">
        <v>272</v>
      </c>
      <c r="K28" s="12" t="s">
        <v>272</v>
      </c>
      <c r="L28" s="12" t="s">
        <v>272</v>
      </c>
      <c r="M28" s="12" t="s">
        <v>272</v>
      </c>
      <c r="N28" s="12" t="s">
        <v>272</v>
      </c>
      <c r="O28" s="12" t="s">
        <v>272</v>
      </c>
      <c r="P28" s="12" t="s">
        <v>272</v>
      </c>
      <c r="Q28" s="12" t="s">
        <v>272</v>
      </c>
      <c r="R28" s="12" t="s">
        <v>272</v>
      </c>
      <c r="S28" s="12" t="s">
        <v>272</v>
      </c>
      <c r="T28" s="12" t="s">
        <v>272</v>
      </c>
      <c r="U28" s="12" t="s">
        <v>272</v>
      </c>
      <c r="V28" s="10" t="s">
        <v>253</v>
      </c>
      <c r="W28" s="12" t="s">
        <v>272</v>
      </c>
      <c r="X28" s="25"/>
      <c r="Y28" s="13" t="s">
        <v>531</v>
      </c>
      <c r="Z28" s="38" t="s">
        <v>543</v>
      </c>
      <c r="AA28" s="38" t="s">
        <v>543</v>
      </c>
      <c r="AB28" s="13"/>
      <c r="AC28" s="13"/>
    </row>
    <row r="29" spans="2:29" ht="10.25" customHeight="1" x14ac:dyDescent="0.55000000000000004">
      <c r="B29" s="15" t="s">
        <v>66</v>
      </c>
      <c r="C29" s="65">
        <v>20</v>
      </c>
      <c r="D29" s="15" t="s">
        <v>66</v>
      </c>
      <c r="E29" s="14" t="s">
        <v>629</v>
      </c>
      <c r="F29" s="14" t="s">
        <v>692</v>
      </c>
      <c r="G29" s="14" t="s">
        <v>631</v>
      </c>
      <c r="H29" s="14" t="s">
        <v>693</v>
      </c>
      <c r="I29" s="14" t="s">
        <v>67</v>
      </c>
      <c r="J29" s="14" t="s">
        <v>694</v>
      </c>
      <c r="K29" s="12" t="s">
        <v>272</v>
      </c>
      <c r="L29" s="14" t="s">
        <v>695</v>
      </c>
      <c r="M29" s="14" t="s">
        <v>24</v>
      </c>
      <c r="N29" s="12" t="s">
        <v>272</v>
      </c>
      <c r="O29" s="12" t="s">
        <v>272</v>
      </c>
      <c r="P29" s="14" t="s">
        <v>68</v>
      </c>
      <c r="Q29" s="12" t="s">
        <v>272</v>
      </c>
      <c r="R29" s="12" t="s">
        <v>272</v>
      </c>
      <c r="S29" s="12" t="s">
        <v>272</v>
      </c>
      <c r="T29" s="12" t="s">
        <v>272</v>
      </c>
      <c r="U29" s="12" t="s">
        <v>272</v>
      </c>
      <c r="V29" s="18"/>
      <c r="W29" s="12" t="s">
        <v>272</v>
      </c>
      <c r="X29" s="25" t="str">
        <f>_xlfn.IFS(AND(COUNTIF(V29,"SCB*")=1, 'PCH144'!I60&gt;=2), "See the Notice *2", TRUE, "")</f>
        <v/>
      </c>
      <c r="Y29" s="13"/>
      <c r="Z29" s="38" t="s">
        <v>271</v>
      </c>
      <c r="AA29" s="38" t="s">
        <v>254</v>
      </c>
      <c r="AB29" s="13"/>
      <c r="AC29" s="13"/>
    </row>
    <row r="30" spans="2:29" ht="10.25" customHeight="1" x14ac:dyDescent="0.55000000000000004">
      <c r="B30" s="15" t="s">
        <v>69</v>
      </c>
      <c r="C30" s="65">
        <v>21</v>
      </c>
      <c r="D30" s="15" t="s">
        <v>69</v>
      </c>
      <c r="E30" s="14" t="s">
        <v>621</v>
      </c>
      <c r="F30" s="14" t="s">
        <v>637</v>
      </c>
      <c r="G30" s="14" t="s">
        <v>623</v>
      </c>
      <c r="H30" s="14" t="s">
        <v>639</v>
      </c>
      <c r="I30" s="14" t="s">
        <v>70</v>
      </c>
      <c r="J30" s="14" t="s">
        <v>696</v>
      </c>
      <c r="K30" s="14" t="s">
        <v>697</v>
      </c>
      <c r="L30" s="14" t="s">
        <v>698</v>
      </c>
      <c r="M30" s="14" t="s">
        <v>26</v>
      </c>
      <c r="N30" s="12" t="s">
        <v>272</v>
      </c>
      <c r="O30" s="12" t="s">
        <v>272</v>
      </c>
      <c r="P30" s="14" t="s">
        <v>71</v>
      </c>
      <c r="Q30" s="12" t="s">
        <v>272</v>
      </c>
      <c r="R30" s="12" t="s">
        <v>272</v>
      </c>
      <c r="S30" s="12" t="s">
        <v>272</v>
      </c>
      <c r="T30" s="12" t="s">
        <v>272</v>
      </c>
      <c r="U30" s="12" t="s">
        <v>272</v>
      </c>
      <c r="V30" s="18"/>
      <c r="W30" s="12" t="s">
        <v>272</v>
      </c>
      <c r="X30" s="25" t="str">
        <f>_xlfn.IFS(AND(COUNTIF(V30,"SCB*")=1, 'PCH144'!I60&gt;=2), "See the Notice *2", TRUE, "")</f>
        <v/>
      </c>
      <c r="Y30" s="13"/>
      <c r="Z30" s="38" t="s">
        <v>271</v>
      </c>
      <c r="AA30" s="38" t="s">
        <v>254</v>
      </c>
      <c r="AB30" s="13"/>
      <c r="AC30" s="13"/>
    </row>
    <row r="31" spans="2:29" ht="10.25" customHeight="1" x14ac:dyDescent="0.55000000000000004">
      <c r="B31" s="15" t="s">
        <v>79</v>
      </c>
      <c r="C31" s="65">
        <v>22</v>
      </c>
      <c r="D31" s="15" t="s">
        <v>79</v>
      </c>
      <c r="E31" s="14" t="s">
        <v>705</v>
      </c>
      <c r="F31" s="14" t="s">
        <v>607</v>
      </c>
      <c r="G31" s="14" t="s">
        <v>706</v>
      </c>
      <c r="H31" s="14" t="s">
        <v>609</v>
      </c>
      <c r="I31" s="12" t="s">
        <v>272</v>
      </c>
      <c r="J31" s="12" t="s">
        <v>272</v>
      </c>
      <c r="K31" s="12" t="s">
        <v>272</v>
      </c>
      <c r="L31" s="14" t="s">
        <v>707</v>
      </c>
      <c r="M31" s="14" t="s">
        <v>80</v>
      </c>
      <c r="N31" s="12" t="s">
        <v>272</v>
      </c>
      <c r="O31" s="12" t="s">
        <v>272</v>
      </c>
      <c r="P31" s="12" t="s">
        <v>272</v>
      </c>
      <c r="Q31" s="12" t="s">
        <v>272</v>
      </c>
      <c r="R31" s="12" t="s">
        <v>272</v>
      </c>
      <c r="S31" s="12" t="s">
        <v>272</v>
      </c>
      <c r="T31" s="12" t="s">
        <v>272</v>
      </c>
      <c r="U31" s="12" t="s">
        <v>272</v>
      </c>
      <c r="V31" s="16"/>
      <c r="W31" s="12" t="s">
        <v>272</v>
      </c>
      <c r="X31" s="25" t="str">
        <f>_xlfn.IFS(AND(COUNTIF(V31,"SCB*")=1, 'PCH144'!I60&gt;=2), "See the Notice *2", TRUE, "")</f>
        <v/>
      </c>
      <c r="Y31" s="13"/>
      <c r="Z31" s="38" t="s">
        <v>271</v>
      </c>
      <c r="AA31" s="38" t="s">
        <v>254</v>
      </c>
      <c r="AB31" s="13"/>
      <c r="AC31" s="13"/>
    </row>
    <row r="32" spans="2:29" ht="10.25" customHeight="1" x14ac:dyDescent="0.55000000000000004">
      <c r="B32" s="15" t="s">
        <v>81</v>
      </c>
      <c r="C32" s="65">
        <v>23</v>
      </c>
      <c r="D32" s="15" t="s">
        <v>81</v>
      </c>
      <c r="E32" s="14" t="s">
        <v>596</v>
      </c>
      <c r="F32" s="14" t="s">
        <v>708</v>
      </c>
      <c r="G32" s="14" t="s">
        <v>598</v>
      </c>
      <c r="H32" s="14" t="s">
        <v>709</v>
      </c>
      <c r="I32" s="12" t="s">
        <v>272</v>
      </c>
      <c r="J32" s="12" t="s">
        <v>272</v>
      </c>
      <c r="K32" s="12" t="s">
        <v>272</v>
      </c>
      <c r="L32" s="12" t="s">
        <v>272</v>
      </c>
      <c r="M32" s="14" t="s">
        <v>82</v>
      </c>
      <c r="N32" s="12" t="s">
        <v>272</v>
      </c>
      <c r="O32" s="12" t="s">
        <v>272</v>
      </c>
      <c r="P32" s="12" t="s">
        <v>272</v>
      </c>
      <c r="Q32" s="12" t="s">
        <v>272</v>
      </c>
      <c r="R32" s="12" t="s">
        <v>272</v>
      </c>
      <c r="S32" s="12" t="s">
        <v>272</v>
      </c>
      <c r="T32" s="12" t="s">
        <v>272</v>
      </c>
      <c r="U32" s="12" t="s">
        <v>272</v>
      </c>
      <c r="V32" s="16"/>
      <c r="W32" s="12" t="s">
        <v>272</v>
      </c>
      <c r="X32" s="25"/>
      <c r="Y32" s="13"/>
      <c r="Z32" s="38" t="s">
        <v>271</v>
      </c>
      <c r="AA32" s="38" t="s">
        <v>254</v>
      </c>
      <c r="AB32" s="13"/>
      <c r="AC32" s="13"/>
    </row>
    <row r="33" spans="2:29" ht="10.25" customHeight="1" x14ac:dyDescent="0.55000000000000004">
      <c r="B33" s="15" t="s">
        <v>83</v>
      </c>
      <c r="C33" s="65">
        <v>24</v>
      </c>
      <c r="D33" s="15" t="s">
        <v>83</v>
      </c>
      <c r="E33" s="14" t="s">
        <v>591</v>
      </c>
      <c r="F33" s="14" t="s">
        <v>602</v>
      </c>
      <c r="G33" s="14" t="s">
        <v>593</v>
      </c>
      <c r="H33" s="14" t="s">
        <v>604</v>
      </c>
      <c r="I33" s="12" t="s">
        <v>272</v>
      </c>
      <c r="J33" s="12" t="s">
        <v>272</v>
      </c>
      <c r="K33" s="12" t="s">
        <v>272</v>
      </c>
      <c r="L33" s="12" t="s">
        <v>272</v>
      </c>
      <c r="M33" s="14" t="s">
        <v>84</v>
      </c>
      <c r="N33" s="12" t="s">
        <v>272</v>
      </c>
      <c r="O33" s="12" t="s">
        <v>272</v>
      </c>
      <c r="P33" s="12" t="s">
        <v>272</v>
      </c>
      <c r="Q33" s="12" t="s">
        <v>272</v>
      </c>
      <c r="R33" s="12" t="s">
        <v>272</v>
      </c>
      <c r="S33" s="12" t="s">
        <v>272</v>
      </c>
      <c r="T33" s="12" t="s">
        <v>272</v>
      </c>
      <c r="U33" s="12" t="s">
        <v>272</v>
      </c>
      <c r="V33" s="16"/>
      <c r="W33" s="12" t="s">
        <v>272</v>
      </c>
      <c r="X33" s="25"/>
      <c r="Y33" s="13"/>
      <c r="Z33" s="38" t="s">
        <v>271</v>
      </c>
      <c r="AA33" s="38" t="s">
        <v>254</v>
      </c>
      <c r="AB33" s="13"/>
      <c r="AC33" s="13"/>
    </row>
    <row r="34" spans="2:29" ht="10.25" customHeight="1" x14ac:dyDescent="0.55000000000000004">
      <c r="B34" s="15" t="s">
        <v>85</v>
      </c>
      <c r="C34" s="65">
        <v>25</v>
      </c>
      <c r="D34" s="15" t="s">
        <v>85</v>
      </c>
      <c r="E34" s="14" t="s">
        <v>586</v>
      </c>
      <c r="F34" s="14" t="s">
        <v>597</v>
      </c>
      <c r="G34" s="14" t="s">
        <v>588</v>
      </c>
      <c r="H34" s="14" t="s">
        <v>599</v>
      </c>
      <c r="I34" s="12" t="s">
        <v>272</v>
      </c>
      <c r="J34" s="12" t="s">
        <v>272</v>
      </c>
      <c r="K34" s="12" t="s">
        <v>272</v>
      </c>
      <c r="L34" s="12" t="s">
        <v>272</v>
      </c>
      <c r="M34" s="14" t="s">
        <v>86</v>
      </c>
      <c r="N34" s="12" t="s">
        <v>272</v>
      </c>
      <c r="O34" s="12" t="s">
        <v>272</v>
      </c>
      <c r="P34" s="12" t="s">
        <v>272</v>
      </c>
      <c r="Q34" s="12" t="s">
        <v>272</v>
      </c>
      <c r="R34" s="12" t="s">
        <v>1226</v>
      </c>
      <c r="S34" s="12" t="s">
        <v>272</v>
      </c>
      <c r="T34" s="12" t="s">
        <v>272</v>
      </c>
      <c r="U34" s="12" t="s">
        <v>272</v>
      </c>
      <c r="V34" s="18"/>
      <c r="W34" s="12" t="s">
        <v>272</v>
      </c>
      <c r="X34" s="25"/>
      <c r="Y34" s="13"/>
      <c r="Z34" s="38" t="s">
        <v>271</v>
      </c>
      <c r="AA34" s="38" t="s">
        <v>254</v>
      </c>
      <c r="AB34" s="13"/>
      <c r="AC34" s="13"/>
    </row>
    <row r="35" spans="2:29" ht="10.25" customHeight="1" x14ac:dyDescent="0.55000000000000004">
      <c r="B35" s="15" t="s">
        <v>87</v>
      </c>
      <c r="C35" s="65">
        <v>26</v>
      </c>
      <c r="D35" s="15" t="s">
        <v>87</v>
      </c>
      <c r="E35" s="14" t="s">
        <v>581</v>
      </c>
      <c r="F35" s="14" t="s">
        <v>592</v>
      </c>
      <c r="G35" s="14" t="s">
        <v>583</v>
      </c>
      <c r="H35" s="14" t="s">
        <v>594</v>
      </c>
      <c r="I35" s="12" t="s">
        <v>272</v>
      </c>
      <c r="J35" s="12" t="s">
        <v>272</v>
      </c>
      <c r="K35" s="12" t="s">
        <v>272</v>
      </c>
      <c r="L35" s="12" t="s">
        <v>272</v>
      </c>
      <c r="M35" s="14" t="s">
        <v>88</v>
      </c>
      <c r="N35" s="12" t="s">
        <v>272</v>
      </c>
      <c r="O35" s="12" t="s">
        <v>272</v>
      </c>
      <c r="P35" s="12" t="s">
        <v>272</v>
      </c>
      <c r="Q35" s="12" t="s">
        <v>272</v>
      </c>
      <c r="R35" s="12" t="s">
        <v>272</v>
      </c>
      <c r="S35" s="12" t="s">
        <v>272</v>
      </c>
      <c r="T35" s="12" t="s">
        <v>272</v>
      </c>
      <c r="U35" s="12" t="s">
        <v>272</v>
      </c>
      <c r="V35" s="18"/>
      <c r="W35" s="12" t="s">
        <v>272</v>
      </c>
      <c r="X35" s="25"/>
      <c r="Y35" s="13"/>
      <c r="Z35" s="38" t="s">
        <v>271</v>
      </c>
      <c r="AA35" s="38" t="s">
        <v>254</v>
      </c>
      <c r="AB35" s="13"/>
      <c r="AC35" s="13"/>
    </row>
    <row r="36" spans="2:29" ht="10.25" customHeight="1" x14ac:dyDescent="0.55000000000000004">
      <c r="B36" s="15" t="s">
        <v>91</v>
      </c>
      <c r="C36" s="65">
        <v>27</v>
      </c>
      <c r="D36" s="15" t="s">
        <v>91</v>
      </c>
      <c r="E36" s="14" t="s">
        <v>686</v>
      </c>
      <c r="F36" s="14" t="s">
        <v>582</v>
      </c>
      <c r="G36" s="14" t="s">
        <v>688</v>
      </c>
      <c r="H36" s="14" t="s">
        <v>584</v>
      </c>
      <c r="I36" s="12" t="s">
        <v>272</v>
      </c>
      <c r="J36" s="14" t="s">
        <v>710</v>
      </c>
      <c r="K36" s="12" t="s">
        <v>272</v>
      </c>
      <c r="L36" s="14" t="s">
        <v>711</v>
      </c>
      <c r="M36" s="14" t="s">
        <v>92</v>
      </c>
      <c r="N36" s="12" t="s">
        <v>272</v>
      </c>
      <c r="O36" s="12" t="s">
        <v>272</v>
      </c>
      <c r="P36" s="12" t="s">
        <v>272</v>
      </c>
      <c r="Q36" s="12" t="s">
        <v>272</v>
      </c>
      <c r="R36" s="12" t="s">
        <v>272</v>
      </c>
      <c r="S36" s="12" t="s">
        <v>272</v>
      </c>
      <c r="T36" s="12" t="s">
        <v>272</v>
      </c>
      <c r="U36" s="14" t="s">
        <v>274</v>
      </c>
      <c r="V36" s="18"/>
      <c r="W36" s="12" t="s">
        <v>272</v>
      </c>
      <c r="X36" s="25" t="str">
        <f>_xlfn.IFS(AND(COUNTIF(V36,"SCB*")=1, 'PCH144'!H60&gt;=2), "See the Notice *2", TRUE, "")</f>
        <v/>
      </c>
      <c r="Y36" s="13"/>
      <c r="Z36" s="38" t="s">
        <v>271</v>
      </c>
      <c r="AA36" s="13" t="s">
        <v>255</v>
      </c>
      <c r="AB36" s="13"/>
      <c r="AC36" s="13"/>
    </row>
    <row r="37" spans="2:29" ht="10.25" customHeight="1" x14ac:dyDescent="0.55000000000000004">
      <c r="B37" s="15" t="s">
        <v>93</v>
      </c>
      <c r="C37" s="65">
        <v>28</v>
      </c>
      <c r="D37" s="15" t="s">
        <v>93</v>
      </c>
      <c r="E37" s="14" t="s">
        <v>656</v>
      </c>
      <c r="F37" s="14" t="s">
        <v>692</v>
      </c>
      <c r="G37" s="14" t="s">
        <v>658</v>
      </c>
      <c r="H37" s="14" t="s">
        <v>693</v>
      </c>
      <c r="I37" s="12" t="s">
        <v>272</v>
      </c>
      <c r="J37" s="14" t="s">
        <v>712</v>
      </c>
      <c r="K37" s="14" t="s">
        <v>713</v>
      </c>
      <c r="L37" s="14" t="s">
        <v>714</v>
      </c>
      <c r="M37" s="14" t="s">
        <v>94</v>
      </c>
      <c r="N37" s="12" t="s">
        <v>272</v>
      </c>
      <c r="O37" s="12" t="s">
        <v>272</v>
      </c>
      <c r="P37" s="12" t="s">
        <v>272</v>
      </c>
      <c r="Q37" s="12" t="s">
        <v>272</v>
      </c>
      <c r="R37" s="12" t="s">
        <v>272</v>
      </c>
      <c r="S37" s="12" t="s">
        <v>272</v>
      </c>
      <c r="T37" s="12" t="s">
        <v>272</v>
      </c>
      <c r="U37" s="14" t="s">
        <v>275</v>
      </c>
      <c r="V37" s="18"/>
      <c r="W37" s="12" t="s">
        <v>272</v>
      </c>
      <c r="X37" s="25" t="str">
        <f>_xlfn.IFS(AND(COUNTIF(V37,"SCB*")=1, 'PCH144'!H60&gt;=2), "See the Notice *2", TRUE, "")</f>
        <v/>
      </c>
      <c r="Y37" s="13"/>
      <c r="Z37" s="38" t="s">
        <v>271</v>
      </c>
      <c r="AA37" s="13" t="s">
        <v>255</v>
      </c>
      <c r="AB37" s="13"/>
      <c r="AC37" s="13"/>
    </row>
    <row r="38" spans="2:29" ht="10.25" customHeight="1" x14ac:dyDescent="0.55000000000000004">
      <c r="B38" s="15" t="s">
        <v>95</v>
      </c>
      <c r="C38" s="65">
        <v>29</v>
      </c>
      <c r="D38" s="15" t="s">
        <v>95</v>
      </c>
      <c r="E38" s="14" t="s">
        <v>680</v>
      </c>
      <c r="F38" s="14" t="s">
        <v>666</v>
      </c>
      <c r="G38" s="14" t="s">
        <v>682</v>
      </c>
      <c r="H38" s="14" t="s">
        <v>668</v>
      </c>
      <c r="I38" s="12" t="s">
        <v>272</v>
      </c>
      <c r="J38" s="14" t="s">
        <v>715</v>
      </c>
      <c r="K38" s="14" t="s">
        <v>716</v>
      </c>
      <c r="L38" s="14" t="s">
        <v>717</v>
      </c>
      <c r="M38" s="14" t="s">
        <v>96</v>
      </c>
      <c r="N38" s="14" t="s">
        <v>97</v>
      </c>
      <c r="O38" s="12" t="s">
        <v>272</v>
      </c>
      <c r="P38" s="12" t="s">
        <v>272</v>
      </c>
      <c r="Q38" s="12" t="s">
        <v>272</v>
      </c>
      <c r="R38" s="12" t="s">
        <v>272</v>
      </c>
      <c r="S38" s="12" t="s">
        <v>272</v>
      </c>
      <c r="T38" s="12" t="s">
        <v>272</v>
      </c>
      <c r="U38" s="14" t="s">
        <v>276</v>
      </c>
      <c r="V38" s="18"/>
      <c r="W38" s="12" t="s">
        <v>272</v>
      </c>
      <c r="X38" s="25" t="str">
        <f>_xlfn.IFS(AND(COUNTIF(V38,"SCB*")=1, 'PCH144'!H60&gt;=2), "See the Notice *2", TRUE, "")</f>
        <v/>
      </c>
      <c r="Y38" s="13"/>
      <c r="Z38" s="38" t="s">
        <v>271</v>
      </c>
      <c r="AA38" s="13" t="s">
        <v>255</v>
      </c>
      <c r="AB38" s="13"/>
      <c r="AC38" s="13"/>
    </row>
    <row r="39" spans="2:29" ht="10.25" customHeight="1" x14ac:dyDescent="0.55000000000000004">
      <c r="B39" s="15" t="s">
        <v>98</v>
      </c>
      <c r="C39" s="65">
        <v>30</v>
      </c>
      <c r="D39" s="15" t="s">
        <v>98</v>
      </c>
      <c r="E39" s="14" t="s">
        <v>648</v>
      </c>
      <c r="F39" s="14" t="s">
        <v>687</v>
      </c>
      <c r="G39" s="14" t="s">
        <v>650</v>
      </c>
      <c r="H39" s="14" t="s">
        <v>689</v>
      </c>
      <c r="I39" s="12" t="s">
        <v>272</v>
      </c>
      <c r="J39" s="14" t="s">
        <v>718</v>
      </c>
      <c r="K39" s="12" t="s">
        <v>272</v>
      </c>
      <c r="L39" s="14" t="s">
        <v>719</v>
      </c>
      <c r="M39" s="14" t="s">
        <v>99</v>
      </c>
      <c r="N39" s="14" t="s">
        <v>100</v>
      </c>
      <c r="O39" s="12" t="s">
        <v>272</v>
      </c>
      <c r="P39" s="12" t="s">
        <v>272</v>
      </c>
      <c r="Q39" s="14" t="s">
        <v>101</v>
      </c>
      <c r="R39" s="12" t="s">
        <v>272</v>
      </c>
      <c r="S39" s="12" t="s">
        <v>272</v>
      </c>
      <c r="T39" s="12" t="s">
        <v>272</v>
      </c>
      <c r="U39" s="14" t="s">
        <v>277</v>
      </c>
      <c r="V39" s="18"/>
      <c r="W39" s="12" t="s">
        <v>272</v>
      </c>
      <c r="X39" s="25" t="str">
        <f>_xlfn.IFS(AND(COUNTIF(V39,"SCB*")=1, 'PCH144'!H60&gt;=2), "See the Notice *2", TRUE, "")</f>
        <v/>
      </c>
      <c r="Y39" s="13"/>
      <c r="Z39" s="38" t="s">
        <v>271</v>
      </c>
      <c r="AA39" s="13" t="s">
        <v>255</v>
      </c>
      <c r="AB39" s="13"/>
      <c r="AC39" s="13"/>
    </row>
    <row r="40" spans="2:29" ht="10.25" customHeight="1" x14ac:dyDescent="0.55000000000000004">
      <c r="B40" s="15" t="s">
        <v>102</v>
      </c>
      <c r="C40" s="65">
        <v>31</v>
      </c>
      <c r="D40" s="15" t="s">
        <v>102</v>
      </c>
      <c r="E40" s="14" t="s">
        <v>673</v>
      </c>
      <c r="F40" s="14" t="s">
        <v>657</v>
      </c>
      <c r="G40" s="14" t="s">
        <v>675</v>
      </c>
      <c r="H40" s="14" t="s">
        <v>659</v>
      </c>
      <c r="I40" s="12" t="s">
        <v>272</v>
      </c>
      <c r="J40" s="12" t="s">
        <v>272</v>
      </c>
      <c r="K40" s="12" t="s">
        <v>272</v>
      </c>
      <c r="L40" s="14" t="s">
        <v>720</v>
      </c>
      <c r="M40" s="14" t="s">
        <v>103</v>
      </c>
      <c r="N40" s="12" t="s">
        <v>272</v>
      </c>
      <c r="O40" s="12" t="s">
        <v>272</v>
      </c>
      <c r="P40" s="12" t="s">
        <v>272</v>
      </c>
      <c r="Q40" s="12" t="s">
        <v>272</v>
      </c>
      <c r="R40" s="12" t="s">
        <v>272</v>
      </c>
      <c r="S40" s="12" t="s">
        <v>272</v>
      </c>
      <c r="T40" s="12" t="s">
        <v>272</v>
      </c>
      <c r="U40" s="14" t="s">
        <v>278</v>
      </c>
      <c r="V40" s="18"/>
      <c r="W40" s="12" t="s">
        <v>272</v>
      </c>
      <c r="X40" s="25" t="str">
        <f>_xlfn.IFS(AND(COUNTIF(V40,"SCB*")=1, 'PCH144'!H60&gt;=2), "See the Notice *2", TRUE, "")</f>
        <v/>
      </c>
      <c r="Y40" s="13"/>
      <c r="Z40" s="38" t="s">
        <v>271</v>
      </c>
      <c r="AA40" s="13" t="s">
        <v>255</v>
      </c>
      <c r="AB40" s="13"/>
      <c r="AC40" s="13"/>
    </row>
    <row r="41" spans="2:29" ht="10.25" customHeight="1" x14ac:dyDescent="0.55000000000000004">
      <c r="B41" s="15" t="s">
        <v>104</v>
      </c>
      <c r="C41" s="65">
        <v>32</v>
      </c>
      <c r="D41" s="15" t="s">
        <v>104</v>
      </c>
      <c r="E41" s="14" t="s">
        <v>642</v>
      </c>
      <c r="F41" s="14" t="s">
        <v>681</v>
      </c>
      <c r="G41" s="14" t="s">
        <v>644</v>
      </c>
      <c r="H41" s="14" t="s">
        <v>683</v>
      </c>
      <c r="I41" s="12" t="s">
        <v>272</v>
      </c>
      <c r="J41" s="12" t="s">
        <v>272</v>
      </c>
      <c r="K41" s="12" t="s">
        <v>272</v>
      </c>
      <c r="L41" s="14" t="s">
        <v>721</v>
      </c>
      <c r="M41" s="14" t="s">
        <v>105</v>
      </c>
      <c r="N41" s="12" t="s">
        <v>272</v>
      </c>
      <c r="O41" s="12" t="s">
        <v>272</v>
      </c>
      <c r="P41" s="12" t="s">
        <v>272</v>
      </c>
      <c r="Q41" s="12" t="s">
        <v>272</v>
      </c>
      <c r="R41" s="12" t="s">
        <v>272</v>
      </c>
      <c r="S41" s="12" t="s">
        <v>272</v>
      </c>
      <c r="T41" s="12" t="s">
        <v>272</v>
      </c>
      <c r="U41" s="14" t="s">
        <v>279</v>
      </c>
      <c r="V41" s="18"/>
      <c r="W41" s="12" t="s">
        <v>272</v>
      </c>
      <c r="X41" s="25" t="str">
        <f>_xlfn.IFS(AND(COUNTIF(V41,"SCB*")=1, 'PCH144'!H60&gt;=2), "See the Notice *2", TRUE, "")</f>
        <v/>
      </c>
      <c r="Y41" s="13"/>
      <c r="Z41" s="38" t="s">
        <v>271</v>
      </c>
      <c r="AA41" s="13" t="s">
        <v>255</v>
      </c>
      <c r="AB41" s="13"/>
      <c r="AC41" s="13"/>
    </row>
    <row r="42" spans="2:29" ht="10.25" customHeight="1" x14ac:dyDescent="0.55000000000000004">
      <c r="B42" s="15" t="s">
        <v>106</v>
      </c>
      <c r="C42" s="65">
        <v>33</v>
      </c>
      <c r="D42" s="15" t="s">
        <v>106</v>
      </c>
      <c r="E42" s="14" t="s">
        <v>665</v>
      </c>
      <c r="F42" s="14" t="s">
        <v>649</v>
      </c>
      <c r="G42" s="14" t="s">
        <v>667</v>
      </c>
      <c r="H42" s="14" t="s">
        <v>651</v>
      </c>
      <c r="I42" s="12" t="s">
        <v>272</v>
      </c>
      <c r="J42" s="12" t="s">
        <v>272</v>
      </c>
      <c r="K42" s="12" t="s">
        <v>272</v>
      </c>
      <c r="L42" s="14" t="s">
        <v>722</v>
      </c>
      <c r="M42" s="12" t="s">
        <v>272</v>
      </c>
      <c r="N42" s="12" t="s">
        <v>272</v>
      </c>
      <c r="O42" s="12" t="s">
        <v>272</v>
      </c>
      <c r="P42" s="14" t="s">
        <v>107</v>
      </c>
      <c r="Q42" s="12" t="s">
        <v>272</v>
      </c>
      <c r="R42" s="12" t="s">
        <v>272</v>
      </c>
      <c r="S42" s="12" t="s">
        <v>272</v>
      </c>
      <c r="T42" s="12" t="s">
        <v>272</v>
      </c>
      <c r="U42" s="14" t="s">
        <v>280</v>
      </c>
      <c r="V42" s="66"/>
      <c r="W42" s="12" t="s">
        <v>272</v>
      </c>
      <c r="X42" s="25" t="str">
        <f>_xlfn.IFS(AND(COUNTIF(V42,"SCB*")=1, 'PCH144'!H60&gt;=2), "See the Notice *2", TRUE, "")</f>
        <v/>
      </c>
      <c r="Y42" s="13"/>
      <c r="Z42" s="38" t="s">
        <v>271</v>
      </c>
      <c r="AA42" s="13" t="s">
        <v>255</v>
      </c>
      <c r="AB42" s="13"/>
      <c r="AC42" s="13"/>
    </row>
    <row r="43" spans="2:29" ht="10.25" customHeight="1" x14ac:dyDescent="0.55000000000000004">
      <c r="B43" s="15" t="s">
        <v>108</v>
      </c>
      <c r="C43" s="65">
        <v>34</v>
      </c>
      <c r="D43" s="15" t="s">
        <v>108</v>
      </c>
      <c r="E43" s="14" t="s">
        <v>636</v>
      </c>
      <c r="F43" s="14" t="s">
        <v>674</v>
      </c>
      <c r="G43" s="14" t="s">
        <v>638</v>
      </c>
      <c r="H43" s="14" t="s">
        <v>676</v>
      </c>
      <c r="I43" s="12" t="s">
        <v>272</v>
      </c>
      <c r="J43" s="12" t="s">
        <v>272</v>
      </c>
      <c r="K43" s="12" t="s">
        <v>272</v>
      </c>
      <c r="L43" s="12" t="s">
        <v>272</v>
      </c>
      <c r="M43" s="12" t="s">
        <v>272</v>
      </c>
      <c r="N43" s="12" t="s">
        <v>272</v>
      </c>
      <c r="O43" s="12" t="s">
        <v>272</v>
      </c>
      <c r="P43" s="14" t="s">
        <v>109</v>
      </c>
      <c r="Q43" s="12" t="s">
        <v>272</v>
      </c>
      <c r="R43" s="12" t="s">
        <v>272</v>
      </c>
      <c r="S43" s="12" t="s">
        <v>272</v>
      </c>
      <c r="T43" s="12" t="s">
        <v>272</v>
      </c>
      <c r="U43" s="14" t="s">
        <v>281</v>
      </c>
      <c r="V43" s="66"/>
      <c r="W43" s="12" t="s">
        <v>272</v>
      </c>
      <c r="X43" s="25"/>
      <c r="Y43" s="13"/>
      <c r="Z43" s="38" t="s">
        <v>271</v>
      </c>
      <c r="AA43" s="13" t="s">
        <v>255</v>
      </c>
      <c r="AB43" s="13"/>
      <c r="AC43" s="13"/>
    </row>
    <row r="44" spans="2:29" ht="10.25" customHeight="1" x14ac:dyDescent="0.55000000000000004">
      <c r="B44" s="17" t="s">
        <v>254</v>
      </c>
      <c r="C44" s="11">
        <v>35</v>
      </c>
      <c r="D44" s="12" t="s">
        <v>272</v>
      </c>
      <c r="E44" s="12" t="s">
        <v>272</v>
      </c>
      <c r="F44" s="12" t="s">
        <v>272</v>
      </c>
      <c r="G44" s="12" t="s">
        <v>272</v>
      </c>
      <c r="H44" s="12" t="s">
        <v>272</v>
      </c>
      <c r="I44" s="12" t="s">
        <v>272</v>
      </c>
      <c r="J44" s="12" t="s">
        <v>272</v>
      </c>
      <c r="K44" s="12" t="s">
        <v>272</v>
      </c>
      <c r="L44" s="12" t="s">
        <v>272</v>
      </c>
      <c r="M44" s="12" t="s">
        <v>272</v>
      </c>
      <c r="N44" s="12" t="s">
        <v>272</v>
      </c>
      <c r="O44" s="12" t="s">
        <v>272</v>
      </c>
      <c r="P44" s="12" t="s">
        <v>272</v>
      </c>
      <c r="Q44" s="12" t="s">
        <v>272</v>
      </c>
      <c r="R44" s="12" t="s">
        <v>272</v>
      </c>
      <c r="S44" s="12" t="s">
        <v>272</v>
      </c>
      <c r="T44" s="12" t="s">
        <v>272</v>
      </c>
      <c r="U44" s="12" t="s">
        <v>272</v>
      </c>
      <c r="V44" s="17" t="s">
        <v>254</v>
      </c>
      <c r="W44" s="12" t="s">
        <v>272</v>
      </c>
      <c r="X44" s="25"/>
      <c r="Y44" s="13" t="s">
        <v>530</v>
      </c>
      <c r="Z44" s="38" t="s">
        <v>543</v>
      </c>
      <c r="AA44" s="38" t="s">
        <v>543</v>
      </c>
      <c r="AB44" s="13"/>
      <c r="AC44" s="13"/>
    </row>
    <row r="45" spans="2:29" ht="10.25" customHeight="1" x14ac:dyDescent="0.55000000000000004">
      <c r="B45" s="17" t="s">
        <v>255</v>
      </c>
      <c r="C45" s="11">
        <v>36</v>
      </c>
      <c r="D45" s="12" t="s">
        <v>272</v>
      </c>
      <c r="E45" s="12" t="s">
        <v>272</v>
      </c>
      <c r="F45" s="12" t="s">
        <v>272</v>
      </c>
      <c r="G45" s="12" t="s">
        <v>272</v>
      </c>
      <c r="H45" s="12" t="s">
        <v>272</v>
      </c>
      <c r="I45" s="12" t="s">
        <v>272</v>
      </c>
      <c r="J45" s="12" t="s">
        <v>272</v>
      </c>
      <c r="K45" s="12" t="s">
        <v>272</v>
      </c>
      <c r="L45" s="12" t="s">
        <v>272</v>
      </c>
      <c r="M45" s="12" t="s">
        <v>272</v>
      </c>
      <c r="N45" s="12" t="s">
        <v>272</v>
      </c>
      <c r="O45" s="12" t="s">
        <v>272</v>
      </c>
      <c r="P45" s="12" t="s">
        <v>272</v>
      </c>
      <c r="Q45" s="12" t="s">
        <v>272</v>
      </c>
      <c r="R45" s="12" t="s">
        <v>272</v>
      </c>
      <c r="S45" s="12" t="s">
        <v>272</v>
      </c>
      <c r="T45" s="12" t="s">
        <v>272</v>
      </c>
      <c r="U45" s="12" t="s">
        <v>272</v>
      </c>
      <c r="V45" s="17" t="s">
        <v>255</v>
      </c>
      <c r="W45" s="12" t="s">
        <v>272</v>
      </c>
      <c r="X45" s="25"/>
      <c r="Y45" s="13" t="s">
        <v>532</v>
      </c>
      <c r="Z45" s="38" t="s">
        <v>543</v>
      </c>
      <c r="AA45" s="38" t="s">
        <v>543</v>
      </c>
      <c r="AB45" s="13"/>
      <c r="AC45" s="13"/>
    </row>
    <row r="46" spans="2:29" ht="10.25" customHeight="1" x14ac:dyDescent="0.55000000000000004">
      <c r="B46" s="10" t="s">
        <v>253</v>
      </c>
      <c r="C46" s="11">
        <v>37</v>
      </c>
      <c r="D46" s="12" t="s">
        <v>272</v>
      </c>
      <c r="E46" s="12" t="s">
        <v>272</v>
      </c>
      <c r="F46" s="12" t="s">
        <v>272</v>
      </c>
      <c r="G46" s="12" t="s">
        <v>272</v>
      </c>
      <c r="H46" s="12" t="s">
        <v>272</v>
      </c>
      <c r="I46" s="12" t="s">
        <v>272</v>
      </c>
      <c r="J46" s="12" t="s">
        <v>272</v>
      </c>
      <c r="K46" s="12" t="s">
        <v>272</v>
      </c>
      <c r="L46" s="12" t="s">
        <v>272</v>
      </c>
      <c r="M46" s="12" t="s">
        <v>272</v>
      </c>
      <c r="N46" s="12" t="s">
        <v>272</v>
      </c>
      <c r="O46" s="12" t="s">
        <v>272</v>
      </c>
      <c r="P46" s="12" t="s">
        <v>272</v>
      </c>
      <c r="Q46" s="12" t="s">
        <v>272</v>
      </c>
      <c r="R46" s="12" t="s">
        <v>272</v>
      </c>
      <c r="S46" s="12" t="s">
        <v>272</v>
      </c>
      <c r="T46" s="12" t="s">
        <v>272</v>
      </c>
      <c r="U46" s="12" t="s">
        <v>272</v>
      </c>
      <c r="V46" s="10" t="s">
        <v>253</v>
      </c>
      <c r="W46" s="12" t="s">
        <v>272</v>
      </c>
      <c r="X46" s="25"/>
      <c r="Y46" s="13" t="s">
        <v>531</v>
      </c>
      <c r="Z46" s="38" t="s">
        <v>543</v>
      </c>
      <c r="AA46" s="38" t="s">
        <v>543</v>
      </c>
      <c r="AB46" s="13"/>
      <c r="AC46" s="13"/>
    </row>
    <row r="47" spans="2:29" ht="10.25" customHeight="1" x14ac:dyDescent="0.55000000000000004">
      <c r="B47" s="10" t="s">
        <v>253</v>
      </c>
      <c r="C47" s="11">
        <v>38</v>
      </c>
      <c r="D47" s="12" t="s">
        <v>272</v>
      </c>
      <c r="E47" s="12" t="s">
        <v>272</v>
      </c>
      <c r="F47" s="12" t="s">
        <v>272</v>
      </c>
      <c r="G47" s="12" t="s">
        <v>272</v>
      </c>
      <c r="H47" s="12" t="s">
        <v>272</v>
      </c>
      <c r="I47" s="12" t="s">
        <v>272</v>
      </c>
      <c r="J47" s="12" t="s">
        <v>272</v>
      </c>
      <c r="K47" s="12" t="s">
        <v>272</v>
      </c>
      <c r="L47" s="12" t="s">
        <v>272</v>
      </c>
      <c r="M47" s="12" t="s">
        <v>272</v>
      </c>
      <c r="N47" s="12" t="s">
        <v>272</v>
      </c>
      <c r="O47" s="12" t="s">
        <v>272</v>
      </c>
      <c r="P47" s="12" t="s">
        <v>272</v>
      </c>
      <c r="Q47" s="12" t="s">
        <v>272</v>
      </c>
      <c r="R47" s="12" t="s">
        <v>272</v>
      </c>
      <c r="S47" s="12" t="s">
        <v>272</v>
      </c>
      <c r="T47" s="12" t="s">
        <v>272</v>
      </c>
      <c r="U47" s="12" t="s">
        <v>272</v>
      </c>
      <c r="V47" s="10" t="s">
        <v>253</v>
      </c>
      <c r="W47" s="12" t="s">
        <v>272</v>
      </c>
      <c r="X47" s="25"/>
      <c r="Y47" s="13" t="s">
        <v>531</v>
      </c>
      <c r="Z47" s="38" t="s">
        <v>543</v>
      </c>
      <c r="AA47" s="38" t="s">
        <v>543</v>
      </c>
      <c r="AB47" s="13"/>
      <c r="AC47" s="13"/>
    </row>
    <row r="48" spans="2:29" ht="10.25" customHeight="1" x14ac:dyDescent="0.55000000000000004">
      <c r="B48" s="17" t="s">
        <v>256</v>
      </c>
      <c r="C48" s="11">
        <v>39</v>
      </c>
      <c r="D48" s="12" t="s">
        <v>272</v>
      </c>
      <c r="E48" s="12" t="s">
        <v>272</v>
      </c>
      <c r="F48" s="12" t="s">
        <v>272</v>
      </c>
      <c r="G48" s="12" t="s">
        <v>272</v>
      </c>
      <c r="H48" s="12" t="s">
        <v>272</v>
      </c>
      <c r="I48" s="12" t="s">
        <v>272</v>
      </c>
      <c r="J48" s="12" t="s">
        <v>272</v>
      </c>
      <c r="K48" s="12" t="s">
        <v>272</v>
      </c>
      <c r="L48" s="12" t="s">
        <v>272</v>
      </c>
      <c r="M48" s="12" t="s">
        <v>272</v>
      </c>
      <c r="N48" s="12" t="s">
        <v>272</v>
      </c>
      <c r="O48" s="12" t="s">
        <v>272</v>
      </c>
      <c r="P48" s="12" t="s">
        <v>272</v>
      </c>
      <c r="Q48" s="12" t="s">
        <v>272</v>
      </c>
      <c r="R48" s="12" t="s">
        <v>272</v>
      </c>
      <c r="S48" s="12" t="s">
        <v>272</v>
      </c>
      <c r="T48" s="12" t="s">
        <v>272</v>
      </c>
      <c r="U48" s="12" t="s">
        <v>272</v>
      </c>
      <c r="V48" s="17" t="s">
        <v>256</v>
      </c>
      <c r="W48" s="12" t="s">
        <v>272</v>
      </c>
      <c r="X48" s="25"/>
      <c r="Y48" s="13" t="s">
        <v>533</v>
      </c>
      <c r="Z48" s="38" t="s">
        <v>543</v>
      </c>
      <c r="AA48" s="38" t="s">
        <v>543</v>
      </c>
      <c r="AB48" s="13"/>
      <c r="AC48" s="13"/>
    </row>
    <row r="49" spans="2:29" ht="10.25" customHeight="1" x14ac:dyDescent="0.55000000000000004">
      <c r="B49" s="15" t="s">
        <v>110</v>
      </c>
      <c r="C49" s="65">
        <v>40</v>
      </c>
      <c r="D49" s="15" t="s">
        <v>110</v>
      </c>
      <c r="E49" s="14" t="s">
        <v>723</v>
      </c>
      <c r="F49" s="14" t="s">
        <v>643</v>
      </c>
      <c r="G49" s="14" t="s">
        <v>724</v>
      </c>
      <c r="H49" s="14" t="s">
        <v>645</v>
      </c>
      <c r="I49" s="12" t="s">
        <v>272</v>
      </c>
      <c r="J49" s="14" t="s">
        <v>725</v>
      </c>
      <c r="K49" s="12" t="s">
        <v>272</v>
      </c>
      <c r="L49" s="14" t="s">
        <v>726</v>
      </c>
      <c r="M49" s="14" t="s">
        <v>99</v>
      </c>
      <c r="N49" s="12" t="s">
        <v>272</v>
      </c>
      <c r="O49" s="14" t="s">
        <v>727</v>
      </c>
      <c r="P49" s="12" t="s">
        <v>272</v>
      </c>
      <c r="Q49" s="12" t="s">
        <v>272</v>
      </c>
      <c r="R49" s="12" t="s">
        <v>272</v>
      </c>
      <c r="S49" s="12" t="s">
        <v>272</v>
      </c>
      <c r="T49" s="12" t="s">
        <v>272</v>
      </c>
      <c r="U49" s="14" t="s">
        <v>282</v>
      </c>
      <c r="V49" s="66"/>
      <c r="W49" s="12" t="s">
        <v>272</v>
      </c>
      <c r="X49" s="25" t="str">
        <f>_xlfn.IFS(AND(COUNTIF(V49,"SCB*")=1, 'PCH144'!I60&gt;=2), "See the Notice *2", TRUE, "")</f>
        <v/>
      </c>
      <c r="Y49" s="13"/>
      <c r="Z49" s="38" t="s">
        <v>271</v>
      </c>
      <c r="AA49" s="13" t="s">
        <v>255</v>
      </c>
      <c r="AB49" s="13"/>
      <c r="AC49" s="13"/>
    </row>
    <row r="50" spans="2:29" ht="10.25" customHeight="1" x14ac:dyDescent="0.55000000000000004">
      <c r="B50" s="15" t="s">
        <v>111</v>
      </c>
      <c r="C50" s="65">
        <v>41</v>
      </c>
      <c r="D50" s="15" t="s">
        <v>111</v>
      </c>
      <c r="E50" s="14" t="s">
        <v>728</v>
      </c>
      <c r="F50" s="14" t="s">
        <v>729</v>
      </c>
      <c r="G50" s="14" t="s">
        <v>730</v>
      </c>
      <c r="H50" s="14" t="s">
        <v>731</v>
      </c>
      <c r="I50" s="12" t="s">
        <v>272</v>
      </c>
      <c r="J50" s="14" t="s">
        <v>732</v>
      </c>
      <c r="K50" s="14" t="s">
        <v>733</v>
      </c>
      <c r="L50" s="14" t="s">
        <v>734</v>
      </c>
      <c r="M50" s="14" t="s">
        <v>103</v>
      </c>
      <c r="N50" s="12" t="s">
        <v>272</v>
      </c>
      <c r="O50" s="14" t="s">
        <v>735</v>
      </c>
      <c r="P50" s="12" t="s">
        <v>272</v>
      </c>
      <c r="Q50" s="12" t="s">
        <v>272</v>
      </c>
      <c r="R50" s="12" t="s">
        <v>272</v>
      </c>
      <c r="S50" s="12" t="s">
        <v>272</v>
      </c>
      <c r="T50" s="12" t="s">
        <v>272</v>
      </c>
      <c r="U50" s="14" t="s">
        <v>283</v>
      </c>
      <c r="V50" s="16"/>
      <c r="W50" s="12" t="s">
        <v>272</v>
      </c>
      <c r="X50" s="25" t="str">
        <f>_xlfn.IFS(AND(COUNTIF(V50,"SCB*")=1, 'PCH144'!I60&gt;=2), "See the Notice *2", TRUE, "")</f>
        <v/>
      </c>
      <c r="Y50" s="13"/>
      <c r="Z50" s="38" t="s">
        <v>271</v>
      </c>
      <c r="AA50" s="13" t="s">
        <v>255</v>
      </c>
      <c r="AB50" s="13"/>
      <c r="AC50" s="13"/>
    </row>
    <row r="51" spans="2:29" ht="10.25" customHeight="1" x14ac:dyDescent="0.55000000000000004">
      <c r="B51" s="15" t="s">
        <v>112</v>
      </c>
      <c r="C51" s="65">
        <v>42</v>
      </c>
      <c r="D51" s="15" t="s">
        <v>112</v>
      </c>
      <c r="E51" s="14" t="s">
        <v>736</v>
      </c>
      <c r="F51" s="14" t="s">
        <v>737</v>
      </c>
      <c r="G51" s="14" t="s">
        <v>738</v>
      </c>
      <c r="H51" s="14" t="s">
        <v>739</v>
      </c>
      <c r="I51" s="12" t="s">
        <v>272</v>
      </c>
      <c r="J51" s="14" t="s">
        <v>740</v>
      </c>
      <c r="K51" s="14" t="s">
        <v>741</v>
      </c>
      <c r="L51" s="14" t="s">
        <v>742</v>
      </c>
      <c r="M51" s="14" t="s">
        <v>105</v>
      </c>
      <c r="N51" s="12" t="s">
        <v>272</v>
      </c>
      <c r="O51" s="14" t="s">
        <v>743</v>
      </c>
      <c r="P51" s="12" t="s">
        <v>272</v>
      </c>
      <c r="Q51" s="12" t="s">
        <v>272</v>
      </c>
      <c r="R51" s="12" t="s">
        <v>272</v>
      </c>
      <c r="S51" s="12" t="s">
        <v>272</v>
      </c>
      <c r="T51" s="12" t="s">
        <v>272</v>
      </c>
      <c r="U51" s="14" t="s">
        <v>284</v>
      </c>
      <c r="V51" s="16"/>
      <c r="W51" s="12" t="s">
        <v>272</v>
      </c>
      <c r="X51" s="25" t="str">
        <f>_xlfn.IFS(AND(COUNTIF(V51,"SCB*")=1, 'PCH144'!I60&gt;=2), "See the Notice *2", TRUE, "")</f>
        <v/>
      </c>
      <c r="Y51" s="13"/>
      <c r="Z51" s="38" t="s">
        <v>271</v>
      </c>
      <c r="AA51" s="13" t="s">
        <v>255</v>
      </c>
      <c r="AB51" s="13"/>
      <c r="AC51" s="13"/>
    </row>
    <row r="52" spans="2:29" ht="10.25" customHeight="1" x14ac:dyDescent="0.55000000000000004">
      <c r="B52" s="15" t="s">
        <v>113</v>
      </c>
      <c r="C52" s="65">
        <v>43</v>
      </c>
      <c r="D52" s="15" t="s">
        <v>113</v>
      </c>
      <c r="E52" s="14" t="s">
        <v>744</v>
      </c>
      <c r="F52" s="14" t="s">
        <v>745</v>
      </c>
      <c r="G52" s="14" t="s">
        <v>746</v>
      </c>
      <c r="H52" s="14" t="s">
        <v>747</v>
      </c>
      <c r="I52" s="12" t="s">
        <v>272</v>
      </c>
      <c r="J52" s="14" t="s">
        <v>748</v>
      </c>
      <c r="K52" s="12" t="s">
        <v>272</v>
      </c>
      <c r="L52" s="14" t="s">
        <v>749</v>
      </c>
      <c r="M52" s="12" t="s">
        <v>272</v>
      </c>
      <c r="N52" s="12" t="s">
        <v>272</v>
      </c>
      <c r="O52" s="12" t="s">
        <v>272</v>
      </c>
      <c r="P52" s="12" t="s">
        <v>272</v>
      </c>
      <c r="Q52" s="12" t="s">
        <v>272</v>
      </c>
      <c r="R52" s="12" t="s">
        <v>272</v>
      </c>
      <c r="S52" s="12" t="s">
        <v>272</v>
      </c>
      <c r="T52" s="12" t="s">
        <v>272</v>
      </c>
      <c r="U52" s="14" t="s">
        <v>285</v>
      </c>
      <c r="V52" s="16"/>
      <c r="W52" s="12" t="s">
        <v>272</v>
      </c>
      <c r="X52" s="25" t="str">
        <f>_xlfn.IFS(AND(COUNTIF(V52,"SCB*")=1, 'PCH144'!I60&gt;=2), "See the Notice *2", TRUE, "")</f>
        <v/>
      </c>
      <c r="Y52" s="13"/>
      <c r="Z52" s="38" t="s">
        <v>271</v>
      </c>
      <c r="AA52" s="13" t="s">
        <v>255</v>
      </c>
      <c r="AB52" s="13"/>
      <c r="AC52" s="13"/>
    </row>
    <row r="53" spans="2:29" ht="10.25" customHeight="1" x14ac:dyDescent="0.55000000000000004">
      <c r="B53" s="15" t="s">
        <v>114</v>
      </c>
      <c r="C53" s="65">
        <v>44</v>
      </c>
      <c r="D53" s="15" t="s">
        <v>114</v>
      </c>
      <c r="E53" s="14" t="s">
        <v>750</v>
      </c>
      <c r="F53" s="14" t="s">
        <v>751</v>
      </c>
      <c r="G53" s="14" t="s">
        <v>752</v>
      </c>
      <c r="H53" s="14" t="s">
        <v>753</v>
      </c>
      <c r="I53" s="12" t="s">
        <v>272</v>
      </c>
      <c r="J53" s="12" t="s">
        <v>272</v>
      </c>
      <c r="K53" s="12" t="s">
        <v>272</v>
      </c>
      <c r="L53" s="14" t="s">
        <v>754</v>
      </c>
      <c r="M53" s="12" t="s">
        <v>272</v>
      </c>
      <c r="N53" s="12" t="s">
        <v>272</v>
      </c>
      <c r="O53" s="12" t="s">
        <v>272</v>
      </c>
      <c r="P53" s="12" t="s">
        <v>272</v>
      </c>
      <c r="Q53" s="12" t="s">
        <v>272</v>
      </c>
      <c r="R53" s="12" t="s">
        <v>272</v>
      </c>
      <c r="S53" s="12" t="s">
        <v>272</v>
      </c>
      <c r="T53" s="12" t="s">
        <v>272</v>
      </c>
      <c r="U53" s="14" t="s">
        <v>286</v>
      </c>
      <c r="V53" s="16"/>
      <c r="W53" s="12" t="s">
        <v>272</v>
      </c>
      <c r="X53" s="25" t="str">
        <f>_xlfn.IFS(AND(COUNTIF(V53,"SCB*")=1, 'PCH144'!I60&gt;=2), "See the Notice *2", TRUE, "")</f>
        <v/>
      </c>
      <c r="Y53" s="13"/>
      <c r="Z53" s="38" t="s">
        <v>271</v>
      </c>
      <c r="AA53" s="13" t="s">
        <v>255</v>
      </c>
      <c r="AB53" s="13"/>
      <c r="AC53" s="13"/>
    </row>
    <row r="54" spans="2:29" ht="10.25" customHeight="1" x14ac:dyDescent="0.55000000000000004">
      <c r="B54" s="15" t="s">
        <v>115</v>
      </c>
      <c r="C54" s="65">
        <v>45</v>
      </c>
      <c r="D54" s="15" t="s">
        <v>115</v>
      </c>
      <c r="E54" s="14" t="s">
        <v>570</v>
      </c>
      <c r="F54" s="14" t="s">
        <v>755</v>
      </c>
      <c r="G54" s="14" t="s">
        <v>572</v>
      </c>
      <c r="H54" s="14" t="s">
        <v>756</v>
      </c>
      <c r="I54" s="12" t="s">
        <v>272</v>
      </c>
      <c r="J54" s="12" t="s">
        <v>272</v>
      </c>
      <c r="K54" s="12" t="s">
        <v>272</v>
      </c>
      <c r="L54" s="14" t="s">
        <v>757</v>
      </c>
      <c r="M54" s="14" t="s">
        <v>758</v>
      </c>
      <c r="N54" s="12" t="s">
        <v>272</v>
      </c>
      <c r="O54" s="12" t="s">
        <v>272</v>
      </c>
      <c r="P54" s="12" t="s">
        <v>272</v>
      </c>
      <c r="Q54" s="12" t="s">
        <v>272</v>
      </c>
      <c r="R54" s="12" t="s">
        <v>272</v>
      </c>
      <c r="S54" s="12" t="s">
        <v>272</v>
      </c>
      <c r="T54" s="12" t="s">
        <v>272</v>
      </c>
      <c r="U54" s="14" t="s">
        <v>287</v>
      </c>
      <c r="V54" s="18"/>
      <c r="W54" s="12" t="s">
        <v>272</v>
      </c>
      <c r="X54" s="25" t="str">
        <f>_xlfn.IFS(AND(COUNTIF(V54,"SCB*")=1, 'PCH144'!I60&gt;=2), "See the Notice *2", TRUE, "")</f>
        <v/>
      </c>
      <c r="Y54" s="13"/>
      <c r="Z54" s="38" t="s">
        <v>271</v>
      </c>
      <c r="AA54" s="13" t="s">
        <v>255</v>
      </c>
      <c r="AB54" s="13"/>
      <c r="AC54" s="13"/>
    </row>
    <row r="55" spans="2:29" ht="10.25" customHeight="1" x14ac:dyDescent="0.55000000000000004">
      <c r="B55" s="15" t="s">
        <v>116</v>
      </c>
      <c r="C55" s="65">
        <v>46</v>
      </c>
      <c r="D55" s="15" t="s">
        <v>116</v>
      </c>
      <c r="E55" s="14" t="s">
        <v>759</v>
      </c>
      <c r="F55" s="14" t="s">
        <v>577</v>
      </c>
      <c r="G55" s="14" t="s">
        <v>760</v>
      </c>
      <c r="H55" s="14" t="s">
        <v>579</v>
      </c>
      <c r="I55" s="12" t="s">
        <v>272</v>
      </c>
      <c r="J55" s="12" t="s">
        <v>272</v>
      </c>
      <c r="K55" s="12" t="s">
        <v>272</v>
      </c>
      <c r="L55" s="12" t="s">
        <v>272</v>
      </c>
      <c r="M55" s="14" t="s">
        <v>761</v>
      </c>
      <c r="N55" s="12" t="s">
        <v>272</v>
      </c>
      <c r="O55" s="12" t="s">
        <v>272</v>
      </c>
      <c r="P55" s="14" t="s">
        <v>117</v>
      </c>
      <c r="Q55" s="12" t="s">
        <v>272</v>
      </c>
      <c r="R55" s="12" t="s">
        <v>272</v>
      </c>
      <c r="S55" s="12" t="s">
        <v>272</v>
      </c>
      <c r="T55" s="12" t="s">
        <v>272</v>
      </c>
      <c r="U55" s="14" t="s">
        <v>288</v>
      </c>
      <c r="V55" s="18"/>
      <c r="W55" s="12" t="s">
        <v>272</v>
      </c>
      <c r="X55" s="25"/>
      <c r="Y55" s="13"/>
      <c r="Z55" s="38" t="s">
        <v>271</v>
      </c>
      <c r="AA55" s="13" t="s">
        <v>255</v>
      </c>
      <c r="AB55" s="13"/>
      <c r="AC55" s="13"/>
    </row>
    <row r="56" spans="2:29" ht="10.25" customHeight="1" x14ac:dyDescent="0.55000000000000004">
      <c r="B56" s="15" t="s">
        <v>118</v>
      </c>
      <c r="C56" s="65">
        <v>47</v>
      </c>
      <c r="D56" s="15" t="s">
        <v>118</v>
      </c>
      <c r="E56" s="14" t="s">
        <v>564</v>
      </c>
      <c r="F56" s="14" t="s">
        <v>762</v>
      </c>
      <c r="G56" s="14" t="s">
        <v>566</v>
      </c>
      <c r="H56" s="14" t="s">
        <v>763</v>
      </c>
      <c r="I56" s="12" t="s">
        <v>272</v>
      </c>
      <c r="J56" s="12" t="s">
        <v>272</v>
      </c>
      <c r="K56" s="12" t="s">
        <v>272</v>
      </c>
      <c r="L56" s="12" t="s">
        <v>272</v>
      </c>
      <c r="M56" s="14" t="s">
        <v>764</v>
      </c>
      <c r="N56" s="12" t="s">
        <v>272</v>
      </c>
      <c r="O56" s="12" t="s">
        <v>272</v>
      </c>
      <c r="P56" s="14" t="s">
        <v>119</v>
      </c>
      <c r="Q56" s="12" t="s">
        <v>272</v>
      </c>
      <c r="R56" s="12" t="s">
        <v>272</v>
      </c>
      <c r="S56" s="12" t="s">
        <v>272</v>
      </c>
      <c r="T56" s="12" t="s">
        <v>272</v>
      </c>
      <c r="U56" s="14" t="s">
        <v>289</v>
      </c>
      <c r="V56" s="18"/>
      <c r="W56" s="12" t="s">
        <v>272</v>
      </c>
      <c r="X56" s="25"/>
      <c r="Y56" s="13"/>
      <c r="Z56" s="38" t="s">
        <v>271</v>
      </c>
      <c r="AA56" s="13" t="s">
        <v>255</v>
      </c>
      <c r="AB56" s="13"/>
      <c r="AC56" s="13"/>
    </row>
    <row r="57" spans="2:29" ht="10.25" customHeight="1" x14ac:dyDescent="0.55000000000000004">
      <c r="B57" s="15" t="s">
        <v>120</v>
      </c>
      <c r="C57" s="65">
        <v>48</v>
      </c>
      <c r="D57" s="15" t="s">
        <v>120</v>
      </c>
      <c r="E57" s="14" t="s">
        <v>765</v>
      </c>
      <c r="F57" s="14" t="s">
        <v>571</v>
      </c>
      <c r="G57" s="14" t="s">
        <v>766</v>
      </c>
      <c r="H57" s="14" t="s">
        <v>573</v>
      </c>
      <c r="I57" s="12" t="s">
        <v>272</v>
      </c>
      <c r="J57" s="12" t="s">
        <v>272</v>
      </c>
      <c r="K57" s="12" t="s">
        <v>272</v>
      </c>
      <c r="L57" s="12" t="s">
        <v>272</v>
      </c>
      <c r="M57" s="14" t="s">
        <v>86</v>
      </c>
      <c r="N57" s="14" t="s">
        <v>40</v>
      </c>
      <c r="O57" s="12" t="s">
        <v>272</v>
      </c>
      <c r="P57" s="12" t="s">
        <v>272</v>
      </c>
      <c r="Q57" s="12" t="s">
        <v>272</v>
      </c>
      <c r="R57" s="12" t="s">
        <v>272</v>
      </c>
      <c r="S57" s="12" t="s">
        <v>272</v>
      </c>
      <c r="T57" s="12" t="s">
        <v>272</v>
      </c>
      <c r="U57" s="12" t="s">
        <v>272</v>
      </c>
      <c r="V57" s="18"/>
      <c r="W57" s="12" t="s">
        <v>272</v>
      </c>
      <c r="X57" s="25"/>
      <c r="Y57" s="13"/>
      <c r="Z57" s="38" t="s">
        <v>271</v>
      </c>
      <c r="AA57" s="13" t="s">
        <v>255</v>
      </c>
      <c r="AB57" s="13"/>
      <c r="AC57" s="13"/>
    </row>
    <row r="58" spans="2:29" ht="10.25" customHeight="1" x14ac:dyDescent="0.55000000000000004">
      <c r="B58" s="15" t="s">
        <v>121</v>
      </c>
      <c r="C58" s="65">
        <v>49</v>
      </c>
      <c r="D58" s="15" t="s">
        <v>121</v>
      </c>
      <c r="E58" s="14" t="s">
        <v>767</v>
      </c>
      <c r="F58" s="14" t="s">
        <v>768</v>
      </c>
      <c r="G58" s="14" t="s">
        <v>769</v>
      </c>
      <c r="H58" s="14" t="s">
        <v>770</v>
      </c>
      <c r="I58" s="12" t="s">
        <v>272</v>
      </c>
      <c r="J58" s="12" t="s">
        <v>272</v>
      </c>
      <c r="K58" s="12" t="s">
        <v>272</v>
      </c>
      <c r="L58" s="12" t="s">
        <v>272</v>
      </c>
      <c r="M58" s="14" t="s">
        <v>88</v>
      </c>
      <c r="N58" s="14" t="s">
        <v>44</v>
      </c>
      <c r="O58" s="12" t="s">
        <v>272</v>
      </c>
      <c r="P58" s="14" t="s">
        <v>122</v>
      </c>
      <c r="Q58" s="12" t="s">
        <v>272</v>
      </c>
      <c r="R58" s="12" t="s">
        <v>272</v>
      </c>
      <c r="S58" s="12" t="s">
        <v>272</v>
      </c>
      <c r="T58" s="12" t="s">
        <v>272</v>
      </c>
      <c r="U58" s="14" t="s">
        <v>290</v>
      </c>
      <c r="V58" s="18"/>
      <c r="W58" s="12" t="s">
        <v>272</v>
      </c>
      <c r="X58" s="25"/>
      <c r="Y58" s="13"/>
      <c r="Z58" s="38" t="s">
        <v>271</v>
      </c>
      <c r="AA58" s="13" t="s">
        <v>255</v>
      </c>
      <c r="AB58" s="13"/>
      <c r="AC58" s="13"/>
    </row>
    <row r="59" spans="2:29" ht="10.25" customHeight="1" x14ac:dyDescent="0.55000000000000004">
      <c r="B59" s="15" t="s">
        <v>123</v>
      </c>
      <c r="C59" s="65">
        <v>50</v>
      </c>
      <c r="D59" s="15" t="s">
        <v>123</v>
      </c>
      <c r="E59" s="14" t="s">
        <v>771</v>
      </c>
      <c r="F59" s="14" t="s">
        <v>772</v>
      </c>
      <c r="G59" s="14" t="s">
        <v>773</v>
      </c>
      <c r="H59" s="14" t="s">
        <v>774</v>
      </c>
      <c r="I59" s="12" t="s">
        <v>272</v>
      </c>
      <c r="J59" s="12" t="s">
        <v>272</v>
      </c>
      <c r="K59" s="12" t="s">
        <v>272</v>
      </c>
      <c r="L59" s="12" t="s">
        <v>272</v>
      </c>
      <c r="M59" s="14" t="s">
        <v>90</v>
      </c>
      <c r="N59" s="12" t="s">
        <v>272</v>
      </c>
      <c r="O59" s="12" t="s">
        <v>272</v>
      </c>
      <c r="P59" s="14" t="s">
        <v>124</v>
      </c>
      <c r="Q59" s="12" t="s">
        <v>272</v>
      </c>
      <c r="R59" s="12" t="s">
        <v>272</v>
      </c>
      <c r="S59" s="12" t="s">
        <v>272</v>
      </c>
      <c r="T59" s="12" t="s">
        <v>272</v>
      </c>
      <c r="U59" s="14" t="s">
        <v>291</v>
      </c>
      <c r="V59" s="16"/>
      <c r="W59" s="12" t="s">
        <v>272</v>
      </c>
      <c r="X59" s="25"/>
      <c r="Y59" s="13"/>
      <c r="Z59" s="38" t="s">
        <v>271</v>
      </c>
      <c r="AA59" s="13" t="s">
        <v>255</v>
      </c>
      <c r="AB59" s="13"/>
      <c r="AC59" s="13"/>
    </row>
    <row r="60" spans="2:29" ht="10.25" customHeight="1" x14ac:dyDescent="0.55000000000000004">
      <c r="B60" s="15" t="s">
        <v>125</v>
      </c>
      <c r="C60" s="65">
        <v>51</v>
      </c>
      <c r="D60" s="15" t="s">
        <v>125</v>
      </c>
      <c r="E60" s="14" t="s">
        <v>775</v>
      </c>
      <c r="F60" s="14" t="s">
        <v>776</v>
      </c>
      <c r="G60" s="14" t="s">
        <v>777</v>
      </c>
      <c r="H60" s="14" t="s">
        <v>778</v>
      </c>
      <c r="I60" s="12" t="s">
        <v>272</v>
      </c>
      <c r="J60" s="12" t="s">
        <v>272</v>
      </c>
      <c r="K60" s="12" t="s">
        <v>272</v>
      </c>
      <c r="L60" s="12" t="s">
        <v>272</v>
      </c>
      <c r="M60" s="12" t="s">
        <v>272</v>
      </c>
      <c r="N60" s="12" t="s">
        <v>272</v>
      </c>
      <c r="O60" s="12" t="s">
        <v>272</v>
      </c>
      <c r="P60" s="12" t="s">
        <v>272</v>
      </c>
      <c r="Q60" s="14" t="s">
        <v>59</v>
      </c>
      <c r="R60" s="12" t="s">
        <v>272</v>
      </c>
      <c r="S60" s="12" t="s">
        <v>272</v>
      </c>
      <c r="T60" s="12" t="s">
        <v>272</v>
      </c>
      <c r="U60" s="14" t="s">
        <v>292</v>
      </c>
      <c r="V60" s="16"/>
      <c r="W60" s="12" t="s">
        <v>272</v>
      </c>
      <c r="X60" s="25"/>
      <c r="Y60" s="13"/>
      <c r="Z60" s="38" t="s">
        <v>271</v>
      </c>
      <c r="AA60" s="13" t="s">
        <v>255</v>
      </c>
      <c r="AB60" s="13"/>
      <c r="AC60" s="13"/>
    </row>
    <row r="61" spans="2:29" ht="10.25" customHeight="1" x14ac:dyDescent="0.55000000000000004">
      <c r="B61" s="15" t="s">
        <v>127</v>
      </c>
      <c r="C61" s="65">
        <v>52</v>
      </c>
      <c r="D61" s="15" t="s">
        <v>127</v>
      </c>
      <c r="E61" s="14" t="s">
        <v>781</v>
      </c>
      <c r="F61" s="14" t="s">
        <v>782</v>
      </c>
      <c r="G61" s="14" t="s">
        <v>783</v>
      </c>
      <c r="H61" s="14" t="s">
        <v>784</v>
      </c>
      <c r="I61" s="12" t="s">
        <v>272</v>
      </c>
      <c r="J61" s="12" t="s">
        <v>272</v>
      </c>
      <c r="K61" s="12" t="s">
        <v>272</v>
      </c>
      <c r="L61" s="12" t="s">
        <v>272</v>
      </c>
      <c r="M61" s="12" t="s">
        <v>272</v>
      </c>
      <c r="N61" s="12" t="s">
        <v>272</v>
      </c>
      <c r="O61" s="12" t="s">
        <v>272</v>
      </c>
      <c r="P61" s="12" t="s">
        <v>272</v>
      </c>
      <c r="Q61" s="12" t="s">
        <v>272</v>
      </c>
      <c r="R61" s="12" t="s">
        <v>272</v>
      </c>
      <c r="S61" s="12" t="s">
        <v>272</v>
      </c>
      <c r="T61" s="12" t="s">
        <v>272</v>
      </c>
      <c r="U61" s="14" t="s">
        <v>294</v>
      </c>
      <c r="V61" s="18"/>
      <c r="W61" s="12" t="s">
        <v>272</v>
      </c>
      <c r="X61" s="25"/>
      <c r="Y61" s="13"/>
      <c r="Z61" s="38" t="s">
        <v>271</v>
      </c>
      <c r="AA61" s="13" t="s">
        <v>255</v>
      </c>
      <c r="AB61" s="13"/>
      <c r="AC61" s="13"/>
    </row>
    <row r="62" spans="2:29" ht="10.25" customHeight="1" x14ac:dyDescent="0.55000000000000004">
      <c r="B62" s="15" t="s">
        <v>128</v>
      </c>
      <c r="C62" s="65">
        <v>53</v>
      </c>
      <c r="D62" s="15" t="s">
        <v>128</v>
      </c>
      <c r="E62" s="14" t="s">
        <v>785</v>
      </c>
      <c r="F62" s="14" t="s">
        <v>786</v>
      </c>
      <c r="G62" s="14" t="s">
        <v>787</v>
      </c>
      <c r="H62" s="14" t="s">
        <v>788</v>
      </c>
      <c r="I62" s="12" t="s">
        <v>272</v>
      </c>
      <c r="J62" s="12" t="s">
        <v>272</v>
      </c>
      <c r="K62" s="12" t="s">
        <v>272</v>
      </c>
      <c r="L62" s="12" t="s">
        <v>272</v>
      </c>
      <c r="M62" s="12" t="s">
        <v>272</v>
      </c>
      <c r="N62" s="12" t="s">
        <v>272</v>
      </c>
      <c r="O62" s="12" t="s">
        <v>272</v>
      </c>
      <c r="P62" s="12" t="s">
        <v>272</v>
      </c>
      <c r="Q62" s="12" t="s">
        <v>272</v>
      </c>
      <c r="R62" s="12" t="s">
        <v>272</v>
      </c>
      <c r="S62" s="12" t="s">
        <v>272</v>
      </c>
      <c r="T62" s="12" t="s">
        <v>272</v>
      </c>
      <c r="U62" s="14" t="s">
        <v>295</v>
      </c>
      <c r="V62" s="18"/>
      <c r="W62" s="12" t="s">
        <v>272</v>
      </c>
      <c r="X62" s="25"/>
      <c r="Y62" s="13"/>
      <c r="Z62" s="38" t="s">
        <v>271</v>
      </c>
      <c r="AA62" s="13" t="s">
        <v>255</v>
      </c>
      <c r="AB62" s="13"/>
      <c r="AC62" s="13"/>
    </row>
    <row r="63" spans="2:29" ht="10.25" customHeight="1" x14ac:dyDescent="0.55000000000000004">
      <c r="B63" s="15" t="s">
        <v>131</v>
      </c>
      <c r="C63" s="65">
        <v>54</v>
      </c>
      <c r="D63" s="15" t="s">
        <v>131</v>
      </c>
      <c r="E63" s="14" t="s">
        <v>797</v>
      </c>
      <c r="F63" s="14" t="s">
        <v>798</v>
      </c>
      <c r="G63" s="14" t="s">
        <v>799</v>
      </c>
      <c r="H63" s="14" t="s">
        <v>800</v>
      </c>
      <c r="I63" s="12" t="s">
        <v>272</v>
      </c>
      <c r="J63" s="14" t="s">
        <v>801</v>
      </c>
      <c r="K63" s="12" t="s">
        <v>272</v>
      </c>
      <c r="L63" s="14" t="s">
        <v>802</v>
      </c>
      <c r="M63" s="12" t="s">
        <v>272</v>
      </c>
      <c r="N63" s="12" t="s">
        <v>272</v>
      </c>
      <c r="O63" s="12" t="s">
        <v>272</v>
      </c>
      <c r="P63" s="14" t="s">
        <v>132</v>
      </c>
      <c r="Q63" s="12" t="s">
        <v>272</v>
      </c>
      <c r="R63" s="12" t="s">
        <v>272</v>
      </c>
      <c r="S63" s="12" t="s">
        <v>272</v>
      </c>
      <c r="T63" s="12" t="s">
        <v>272</v>
      </c>
      <c r="U63" s="12" t="s">
        <v>272</v>
      </c>
      <c r="V63" s="18"/>
      <c r="W63" s="12" t="s">
        <v>272</v>
      </c>
      <c r="X63" s="25" t="str">
        <f>_xlfn.IFS(AND(COUNTIF(V63,"SCB*")=1, 'PCH144'!H60&gt;=2), "See the Notice *2", TRUE, "")</f>
        <v/>
      </c>
      <c r="Y63" s="13"/>
      <c r="Z63" s="38" t="s">
        <v>271</v>
      </c>
      <c r="AA63" s="13" t="s">
        <v>354</v>
      </c>
      <c r="AB63" s="13"/>
      <c r="AC63" s="13"/>
    </row>
    <row r="64" spans="2:29" ht="10.25" customHeight="1" x14ac:dyDescent="0.55000000000000004">
      <c r="B64" s="15" t="s">
        <v>133</v>
      </c>
      <c r="C64" s="65">
        <v>55</v>
      </c>
      <c r="D64" s="15" t="s">
        <v>133</v>
      </c>
      <c r="E64" s="14" t="s">
        <v>803</v>
      </c>
      <c r="F64" s="14" t="s">
        <v>804</v>
      </c>
      <c r="G64" s="14" t="s">
        <v>805</v>
      </c>
      <c r="H64" s="14" t="s">
        <v>806</v>
      </c>
      <c r="I64" s="12" t="s">
        <v>272</v>
      </c>
      <c r="J64" s="14" t="s">
        <v>807</v>
      </c>
      <c r="K64" s="14" t="s">
        <v>808</v>
      </c>
      <c r="L64" s="14" t="s">
        <v>809</v>
      </c>
      <c r="M64" s="12" t="s">
        <v>272</v>
      </c>
      <c r="N64" s="12" t="s">
        <v>272</v>
      </c>
      <c r="O64" s="12" t="s">
        <v>272</v>
      </c>
      <c r="P64" s="14" t="s">
        <v>134</v>
      </c>
      <c r="Q64" s="12" t="s">
        <v>272</v>
      </c>
      <c r="R64" s="12" t="s">
        <v>272</v>
      </c>
      <c r="S64" s="12" t="s">
        <v>272</v>
      </c>
      <c r="T64" s="12" t="s">
        <v>272</v>
      </c>
      <c r="U64" s="12" t="s">
        <v>272</v>
      </c>
      <c r="V64" s="18"/>
      <c r="W64" s="12" t="s">
        <v>272</v>
      </c>
      <c r="X64" s="25" t="str">
        <f>_xlfn.IFS(AND(COUNTIF(V64,"SCB*")=1, 'PCH144'!H60&gt;=2), "See the Notice *2", TRUE, "")</f>
        <v/>
      </c>
      <c r="Y64" s="13"/>
      <c r="Z64" s="38" t="s">
        <v>271</v>
      </c>
      <c r="AA64" s="13" t="s">
        <v>354</v>
      </c>
      <c r="AB64" s="13"/>
      <c r="AC64" s="13"/>
    </row>
    <row r="65" spans="2:29" ht="10.25" customHeight="1" x14ac:dyDescent="0.55000000000000004">
      <c r="B65" s="15" t="s">
        <v>135</v>
      </c>
      <c r="C65" s="65">
        <v>56</v>
      </c>
      <c r="D65" s="15" t="s">
        <v>135</v>
      </c>
      <c r="E65" s="14" t="s">
        <v>810</v>
      </c>
      <c r="F65" s="14" t="s">
        <v>811</v>
      </c>
      <c r="G65" s="14" t="s">
        <v>812</v>
      </c>
      <c r="H65" s="14" t="s">
        <v>813</v>
      </c>
      <c r="I65" s="12" t="s">
        <v>272</v>
      </c>
      <c r="J65" s="14" t="s">
        <v>814</v>
      </c>
      <c r="K65" s="14" t="s">
        <v>815</v>
      </c>
      <c r="L65" s="14" t="s">
        <v>816</v>
      </c>
      <c r="M65" s="14" t="s">
        <v>817</v>
      </c>
      <c r="N65" s="12" t="s">
        <v>272</v>
      </c>
      <c r="O65" s="12" t="s">
        <v>272</v>
      </c>
      <c r="P65" s="12" t="s">
        <v>272</v>
      </c>
      <c r="Q65" s="12" t="s">
        <v>272</v>
      </c>
      <c r="R65" s="12" t="s">
        <v>272</v>
      </c>
      <c r="S65" s="12" t="s">
        <v>272</v>
      </c>
      <c r="T65" s="12" t="s">
        <v>272</v>
      </c>
      <c r="U65" s="12" t="s">
        <v>272</v>
      </c>
      <c r="V65" s="18"/>
      <c r="W65" s="12" t="s">
        <v>272</v>
      </c>
      <c r="X65" s="25" t="str">
        <f>_xlfn.IFS(AND(COUNTIF(V65,"SCB*")=1, 'PCH144'!H60&gt;=2), "See the Notice *2", TRUE, "")</f>
        <v/>
      </c>
      <c r="Y65" s="13"/>
      <c r="Z65" s="38" t="s">
        <v>271</v>
      </c>
      <c r="AA65" s="13" t="s">
        <v>354</v>
      </c>
      <c r="AB65" s="13"/>
      <c r="AC65" s="13"/>
    </row>
    <row r="66" spans="2:29" ht="10.25" customHeight="1" x14ac:dyDescent="0.55000000000000004">
      <c r="B66" s="15" t="s">
        <v>136</v>
      </c>
      <c r="C66" s="65">
        <v>57</v>
      </c>
      <c r="D66" s="15" t="s">
        <v>136</v>
      </c>
      <c r="E66" s="14" t="s">
        <v>818</v>
      </c>
      <c r="F66" s="14" t="s">
        <v>819</v>
      </c>
      <c r="G66" s="14" t="s">
        <v>820</v>
      </c>
      <c r="H66" s="14" t="s">
        <v>821</v>
      </c>
      <c r="I66" s="12" t="s">
        <v>272</v>
      </c>
      <c r="J66" s="14" t="s">
        <v>822</v>
      </c>
      <c r="K66" s="12" t="s">
        <v>272</v>
      </c>
      <c r="L66" s="14" t="s">
        <v>823</v>
      </c>
      <c r="M66" s="14" t="s">
        <v>824</v>
      </c>
      <c r="N66" s="12" t="s">
        <v>272</v>
      </c>
      <c r="O66" s="12" t="s">
        <v>272</v>
      </c>
      <c r="P66" s="12" t="s">
        <v>272</v>
      </c>
      <c r="Q66" s="12" t="s">
        <v>272</v>
      </c>
      <c r="R66" s="12" t="s">
        <v>272</v>
      </c>
      <c r="S66" s="12" t="s">
        <v>272</v>
      </c>
      <c r="T66" s="12" t="s">
        <v>272</v>
      </c>
      <c r="U66" s="12" t="s">
        <v>272</v>
      </c>
      <c r="V66" s="18"/>
      <c r="W66" s="12" t="s">
        <v>272</v>
      </c>
      <c r="X66" s="25" t="str">
        <f>_xlfn.IFS(AND(COUNTIF(V66,"SCB*")=1, 'PCH144'!H60&gt;=2), "See the Notice *2", TRUE, "")</f>
        <v/>
      </c>
      <c r="Y66" s="13"/>
      <c r="Z66" s="38" t="s">
        <v>271</v>
      </c>
      <c r="AA66" s="13" t="s">
        <v>354</v>
      </c>
      <c r="AB66" s="13"/>
      <c r="AC66" s="13"/>
    </row>
    <row r="67" spans="2:29" ht="10.25" customHeight="1" x14ac:dyDescent="0.55000000000000004">
      <c r="B67" s="15" t="s">
        <v>137</v>
      </c>
      <c r="C67" s="65">
        <v>58</v>
      </c>
      <c r="D67" s="15" t="s">
        <v>137</v>
      </c>
      <c r="E67" s="14" t="s">
        <v>825</v>
      </c>
      <c r="F67" s="14" t="s">
        <v>826</v>
      </c>
      <c r="G67" s="14" t="s">
        <v>827</v>
      </c>
      <c r="H67" s="14" t="s">
        <v>828</v>
      </c>
      <c r="I67" s="12" t="s">
        <v>272</v>
      </c>
      <c r="J67" s="12" t="s">
        <v>272</v>
      </c>
      <c r="K67" s="12" t="s">
        <v>272</v>
      </c>
      <c r="L67" s="14" t="s">
        <v>829</v>
      </c>
      <c r="M67" s="14" t="s">
        <v>830</v>
      </c>
      <c r="N67" s="12" t="s">
        <v>272</v>
      </c>
      <c r="O67" s="12" t="s">
        <v>272</v>
      </c>
      <c r="P67" s="12" t="s">
        <v>272</v>
      </c>
      <c r="Q67" s="12" t="s">
        <v>272</v>
      </c>
      <c r="R67" s="12" t="s">
        <v>272</v>
      </c>
      <c r="S67" s="12" t="s">
        <v>272</v>
      </c>
      <c r="T67" s="12" t="s">
        <v>272</v>
      </c>
      <c r="U67" s="14" t="s">
        <v>298</v>
      </c>
      <c r="V67" s="18"/>
      <c r="W67" s="12" t="s">
        <v>272</v>
      </c>
      <c r="X67" s="25" t="str">
        <f>_xlfn.IFS(AND(COUNTIF(V67,"SCB*")=1, 'PCH144'!H60&gt;=2), "See the Notice *2", TRUE, "")</f>
        <v/>
      </c>
      <c r="Y67" s="13"/>
      <c r="Z67" s="38" t="s">
        <v>271</v>
      </c>
      <c r="AA67" s="13" t="s">
        <v>354</v>
      </c>
      <c r="AB67" s="13"/>
      <c r="AC67" s="13"/>
    </row>
    <row r="68" spans="2:29" ht="10.25" customHeight="1" x14ac:dyDescent="0.55000000000000004">
      <c r="B68" s="15" t="s">
        <v>1176</v>
      </c>
      <c r="C68" s="65">
        <v>59</v>
      </c>
      <c r="D68" s="19" t="s">
        <v>546</v>
      </c>
      <c r="E68" s="12" t="s">
        <v>272</v>
      </c>
      <c r="F68" s="12" t="s">
        <v>272</v>
      </c>
      <c r="G68" s="12" t="s">
        <v>272</v>
      </c>
      <c r="H68" s="12" t="s">
        <v>272</v>
      </c>
      <c r="I68" s="12" t="s">
        <v>272</v>
      </c>
      <c r="J68" s="12" t="s">
        <v>272</v>
      </c>
      <c r="K68" s="12" t="s">
        <v>272</v>
      </c>
      <c r="L68" s="12" t="s">
        <v>272</v>
      </c>
      <c r="M68" s="12" t="s">
        <v>272</v>
      </c>
      <c r="N68" s="12" t="s">
        <v>272</v>
      </c>
      <c r="O68" s="12" t="s">
        <v>272</v>
      </c>
      <c r="P68" s="12" t="s">
        <v>272</v>
      </c>
      <c r="Q68" s="12" t="s">
        <v>272</v>
      </c>
      <c r="R68" s="12" t="s">
        <v>272</v>
      </c>
      <c r="S68" s="12" t="s">
        <v>272</v>
      </c>
      <c r="T68" s="12" t="s">
        <v>272</v>
      </c>
      <c r="U68" s="14" t="s">
        <v>302</v>
      </c>
      <c r="V68" s="18"/>
      <c r="W68" s="12" t="s">
        <v>272</v>
      </c>
      <c r="X68" s="25"/>
      <c r="Y68" s="13"/>
      <c r="Z68" s="38" t="s">
        <v>271</v>
      </c>
      <c r="AA68" s="13" t="s">
        <v>354</v>
      </c>
      <c r="AB68" s="13"/>
      <c r="AC68" s="13"/>
    </row>
    <row r="69" spans="2:29" ht="10.25" customHeight="1" x14ac:dyDescent="0.55000000000000004">
      <c r="B69" s="15" t="s">
        <v>1177</v>
      </c>
      <c r="C69" s="65">
        <v>60</v>
      </c>
      <c r="D69" s="19" t="s">
        <v>1160</v>
      </c>
      <c r="E69" s="12" t="s">
        <v>272</v>
      </c>
      <c r="F69" s="12" t="s">
        <v>272</v>
      </c>
      <c r="G69" s="12" t="s">
        <v>272</v>
      </c>
      <c r="H69" s="12" t="s">
        <v>272</v>
      </c>
      <c r="I69" s="12" t="s">
        <v>272</v>
      </c>
      <c r="J69" s="12" t="s">
        <v>272</v>
      </c>
      <c r="K69" s="12" t="s">
        <v>272</v>
      </c>
      <c r="L69" s="12" t="s">
        <v>272</v>
      </c>
      <c r="M69" s="12" t="s">
        <v>272</v>
      </c>
      <c r="N69" s="12" t="s">
        <v>272</v>
      </c>
      <c r="O69" s="12" t="s">
        <v>272</v>
      </c>
      <c r="P69" s="12" t="s">
        <v>272</v>
      </c>
      <c r="Q69" s="12" t="s">
        <v>272</v>
      </c>
      <c r="R69" s="12" t="s">
        <v>272</v>
      </c>
      <c r="S69" s="12" t="s">
        <v>272</v>
      </c>
      <c r="T69" s="12" t="s">
        <v>272</v>
      </c>
      <c r="U69" s="14" t="s">
        <v>303</v>
      </c>
      <c r="V69" s="18"/>
      <c r="W69" s="12" t="s">
        <v>272</v>
      </c>
      <c r="X69" s="25"/>
      <c r="Y69" s="13"/>
      <c r="Z69" s="38" t="s">
        <v>271</v>
      </c>
      <c r="AA69" s="13" t="s">
        <v>354</v>
      </c>
      <c r="AB69" s="13"/>
      <c r="AC69" s="13"/>
    </row>
    <row r="70" spans="2:29" ht="10.25" customHeight="1" x14ac:dyDescent="0.55000000000000004">
      <c r="B70" s="15" t="s">
        <v>1178</v>
      </c>
      <c r="C70" s="65">
        <v>61</v>
      </c>
      <c r="D70" s="19" t="s">
        <v>1161</v>
      </c>
      <c r="E70" s="12" t="s">
        <v>272</v>
      </c>
      <c r="F70" s="12" t="s">
        <v>272</v>
      </c>
      <c r="G70" s="12" t="s">
        <v>272</v>
      </c>
      <c r="H70" s="12" t="s">
        <v>272</v>
      </c>
      <c r="I70" s="12" t="s">
        <v>272</v>
      </c>
      <c r="J70" s="12" t="s">
        <v>272</v>
      </c>
      <c r="K70" s="12" t="s">
        <v>272</v>
      </c>
      <c r="L70" s="12" t="s">
        <v>272</v>
      </c>
      <c r="M70" s="12" t="s">
        <v>272</v>
      </c>
      <c r="N70" s="12" t="s">
        <v>272</v>
      </c>
      <c r="O70" s="12" t="s">
        <v>272</v>
      </c>
      <c r="P70" s="12" t="s">
        <v>272</v>
      </c>
      <c r="Q70" s="12" t="s">
        <v>272</v>
      </c>
      <c r="R70" s="12" t="s">
        <v>272</v>
      </c>
      <c r="S70" s="12" t="s">
        <v>272</v>
      </c>
      <c r="T70" s="12" t="s">
        <v>272</v>
      </c>
      <c r="U70" s="14" t="s">
        <v>304</v>
      </c>
      <c r="V70" s="18"/>
      <c r="W70" s="12" t="s">
        <v>272</v>
      </c>
      <c r="X70" s="25"/>
      <c r="Y70" s="13"/>
      <c r="Z70" s="38" t="s">
        <v>271</v>
      </c>
      <c r="AA70" s="13" t="s">
        <v>354</v>
      </c>
      <c r="AB70" s="13"/>
      <c r="AC70" s="13"/>
    </row>
    <row r="71" spans="2:29" ht="10.25" customHeight="1" x14ac:dyDescent="0.55000000000000004">
      <c r="B71" s="20" t="s">
        <v>257</v>
      </c>
      <c r="C71" s="11">
        <v>62</v>
      </c>
      <c r="D71" s="12" t="s">
        <v>272</v>
      </c>
      <c r="E71" s="12" t="s">
        <v>272</v>
      </c>
      <c r="F71" s="12" t="s">
        <v>272</v>
      </c>
      <c r="G71" s="12" t="s">
        <v>272</v>
      </c>
      <c r="H71" s="12" t="s">
        <v>272</v>
      </c>
      <c r="I71" s="12" t="s">
        <v>272</v>
      </c>
      <c r="J71" s="12" t="s">
        <v>272</v>
      </c>
      <c r="K71" s="12" t="s">
        <v>272</v>
      </c>
      <c r="L71" s="12" t="s">
        <v>272</v>
      </c>
      <c r="M71" s="12" t="s">
        <v>272</v>
      </c>
      <c r="N71" s="12" t="s">
        <v>272</v>
      </c>
      <c r="O71" s="12" t="s">
        <v>272</v>
      </c>
      <c r="P71" s="12" t="s">
        <v>272</v>
      </c>
      <c r="Q71" s="12" t="s">
        <v>272</v>
      </c>
      <c r="R71" s="12" t="s">
        <v>272</v>
      </c>
      <c r="S71" s="12" t="s">
        <v>272</v>
      </c>
      <c r="T71" s="12" t="s">
        <v>272</v>
      </c>
      <c r="U71" s="12" t="s">
        <v>272</v>
      </c>
      <c r="V71" s="20" t="s">
        <v>257</v>
      </c>
      <c r="W71" s="12" t="s">
        <v>272</v>
      </c>
      <c r="X71" s="25"/>
      <c r="Y71" s="13" t="s">
        <v>534</v>
      </c>
      <c r="Z71" s="38" t="s">
        <v>543</v>
      </c>
      <c r="AA71" s="38" t="s">
        <v>543</v>
      </c>
      <c r="AB71" s="13"/>
      <c r="AC71" s="13"/>
    </row>
    <row r="72" spans="2:29" ht="10.25" customHeight="1" x14ac:dyDescent="0.55000000000000004">
      <c r="B72" s="10" t="s">
        <v>258</v>
      </c>
      <c r="C72" s="11">
        <v>63</v>
      </c>
      <c r="D72" s="12" t="s">
        <v>272</v>
      </c>
      <c r="E72" s="12" t="s">
        <v>272</v>
      </c>
      <c r="F72" s="12" t="s">
        <v>272</v>
      </c>
      <c r="G72" s="12" t="s">
        <v>272</v>
      </c>
      <c r="H72" s="12" t="s">
        <v>272</v>
      </c>
      <c r="I72" s="12" t="s">
        <v>272</v>
      </c>
      <c r="J72" s="12" t="s">
        <v>272</v>
      </c>
      <c r="K72" s="12" t="s">
        <v>272</v>
      </c>
      <c r="L72" s="12" t="s">
        <v>272</v>
      </c>
      <c r="M72" s="12" t="s">
        <v>272</v>
      </c>
      <c r="N72" s="12" t="s">
        <v>272</v>
      </c>
      <c r="O72" s="12" t="s">
        <v>272</v>
      </c>
      <c r="P72" s="12" t="s">
        <v>272</v>
      </c>
      <c r="Q72" s="12" t="s">
        <v>272</v>
      </c>
      <c r="R72" s="12" t="s">
        <v>272</v>
      </c>
      <c r="S72" s="12" t="s">
        <v>272</v>
      </c>
      <c r="T72" s="12" t="s">
        <v>272</v>
      </c>
      <c r="U72" s="12" t="s">
        <v>272</v>
      </c>
      <c r="V72" s="10" t="s">
        <v>258</v>
      </c>
      <c r="W72" s="12" t="s">
        <v>272</v>
      </c>
      <c r="X72" s="25"/>
      <c r="Y72" s="13" t="s">
        <v>536</v>
      </c>
      <c r="Z72" s="38" t="s">
        <v>543</v>
      </c>
      <c r="AA72" s="38" t="s">
        <v>543</v>
      </c>
      <c r="AB72" s="13"/>
      <c r="AC72" s="13"/>
    </row>
    <row r="73" spans="2:29" ht="10.25" customHeight="1" x14ac:dyDescent="0.55000000000000004">
      <c r="B73" s="17" t="s">
        <v>259</v>
      </c>
      <c r="C73" s="11">
        <v>64</v>
      </c>
      <c r="D73" s="12" t="s">
        <v>272</v>
      </c>
      <c r="E73" s="12" t="s">
        <v>272</v>
      </c>
      <c r="F73" s="12" t="s">
        <v>272</v>
      </c>
      <c r="G73" s="12" t="s">
        <v>272</v>
      </c>
      <c r="H73" s="12" t="s">
        <v>272</v>
      </c>
      <c r="I73" s="12" t="s">
        <v>272</v>
      </c>
      <c r="J73" s="12" t="s">
        <v>272</v>
      </c>
      <c r="K73" s="12" t="s">
        <v>272</v>
      </c>
      <c r="L73" s="12" t="s">
        <v>272</v>
      </c>
      <c r="M73" s="12" t="s">
        <v>272</v>
      </c>
      <c r="N73" s="12" t="s">
        <v>272</v>
      </c>
      <c r="O73" s="12" t="s">
        <v>272</v>
      </c>
      <c r="P73" s="12" t="s">
        <v>272</v>
      </c>
      <c r="Q73" s="12" t="s">
        <v>272</v>
      </c>
      <c r="R73" s="12" t="s">
        <v>272</v>
      </c>
      <c r="S73" s="12" t="s">
        <v>272</v>
      </c>
      <c r="T73" s="12" t="s">
        <v>272</v>
      </c>
      <c r="U73" s="12" t="s">
        <v>272</v>
      </c>
      <c r="V73" s="17" t="s">
        <v>259</v>
      </c>
      <c r="W73" s="12" t="s">
        <v>272</v>
      </c>
      <c r="X73" s="25"/>
      <c r="Y73" s="13" t="s">
        <v>537</v>
      </c>
      <c r="Z73" s="38" t="s">
        <v>543</v>
      </c>
      <c r="AA73" s="38" t="s">
        <v>543</v>
      </c>
      <c r="AB73" s="13"/>
      <c r="AC73" s="13"/>
    </row>
    <row r="74" spans="2:29" ht="10.25" customHeight="1" x14ac:dyDescent="0.55000000000000004">
      <c r="B74" s="20" t="s">
        <v>260</v>
      </c>
      <c r="C74" s="11">
        <v>65</v>
      </c>
      <c r="D74" s="12" t="s">
        <v>272</v>
      </c>
      <c r="E74" s="12" t="s">
        <v>272</v>
      </c>
      <c r="F74" s="12" t="s">
        <v>272</v>
      </c>
      <c r="G74" s="12" t="s">
        <v>272</v>
      </c>
      <c r="H74" s="12" t="s">
        <v>272</v>
      </c>
      <c r="I74" s="12" t="s">
        <v>272</v>
      </c>
      <c r="J74" s="12" t="s">
        <v>272</v>
      </c>
      <c r="K74" s="12" t="s">
        <v>272</v>
      </c>
      <c r="L74" s="12" t="s">
        <v>272</v>
      </c>
      <c r="M74" s="12" t="s">
        <v>272</v>
      </c>
      <c r="N74" s="12" t="s">
        <v>272</v>
      </c>
      <c r="O74" s="12" t="s">
        <v>272</v>
      </c>
      <c r="P74" s="12" t="s">
        <v>272</v>
      </c>
      <c r="Q74" s="12" t="s">
        <v>272</v>
      </c>
      <c r="R74" s="12" t="s">
        <v>272</v>
      </c>
      <c r="S74" s="12" t="s">
        <v>272</v>
      </c>
      <c r="T74" s="12" t="s">
        <v>272</v>
      </c>
      <c r="U74" s="12" t="s">
        <v>272</v>
      </c>
      <c r="V74" s="20" t="s">
        <v>260</v>
      </c>
      <c r="W74" s="12" t="s">
        <v>272</v>
      </c>
      <c r="X74" s="25"/>
      <c r="Y74" s="13" t="s">
        <v>535</v>
      </c>
      <c r="Z74" s="38" t="s">
        <v>543</v>
      </c>
      <c r="AA74" s="38" t="s">
        <v>543</v>
      </c>
      <c r="AB74" s="13"/>
      <c r="AC74" s="13"/>
    </row>
    <row r="75" spans="2:29" ht="10.25" customHeight="1" x14ac:dyDescent="0.55000000000000004">
      <c r="B75" s="15" t="s">
        <v>141</v>
      </c>
      <c r="C75" s="65">
        <v>66</v>
      </c>
      <c r="D75" s="15" t="s">
        <v>141</v>
      </c>
      <c r="E75" s="14" t="s">
        <v>844</v>
      </c>
      <c r="F75" s="14" t="s">
        <v>845</v>
      </c>
      <c r="G75" s="14" t="s">
        <v>846</v>
      </c>
      <c r="H75" s="14" t="s">
        <v>847</v>
      </c>
      <c r="I75" s="12" t="s">
        <v>272</v>
      </c>
      <c r="J75" s="12" t="s">
        <v>272</v>
      </c>
      <c r="K75" s="12" t="s">
        <v>272</v>
      </c>
      <c r="L75" s="12" t="s">
        <v>272</v>
      </c>
      <c r="M75" s="12" t="s">
        <v>272</v>
      </c>
      <c r="N75" s="14" t="s">
        <v>97</v>
      </c>
      <c r="O75" s="12" t="s">
        <v>272</v>
      </c>
      <c r="P75" s="14" t="s">
        <v>142</v>
      </c>
      <c r="Q75" s="12" t="s">
        <v>272</v>
      </c>
      <c r="R75" s="12" t="s">
        <v>272</v>
      </c>
      <c r="S75" s="12" t="s">
        <v>272</v>
      </c>
      <c r="T75" s="12" t="s">
        <v>272</v>
      </c>
      <c r="U75" s="14" t="s">
        <v>305</v>
      </c>
      <c r="V75" s="18"/>
      <c r="W75" s="21"/>
      <c r="X75" s="25"/>
      <c r="Y75" s="13"/>
      <c r="Z75" s="38" t="s">
        <v>271</v>
      </c>
      <c r="AA75" s="13" t="s">
        <v>354</v>
      </c>
      <c r="AB75" s="13"/>
      <c r="AC75" s="13"/>
    </row>
    <row r="76" spans="2:29" ht="10.25" customHeight="1" x14ac:dyDescent="0.55000000000000004">
      <c r="B76" s="15" t="s">
        <v>143</v>
      </c>
      <c r="C76" s="65">
        <v>67</v>
      </c>
      <c r="D76" s="15" t="s">
        <v>143</v>
      </c>
      <c r="E76" s="14" t="s">
        <v>848</v>
      </c>
      <c r="F76" s="14" t="s">
        <v>849</v>
      </c>
      <c r="G76" s="14" t="s">
        <v>850</v>
      </c>
      <c r="H76" s="14" t="s">
        <v>851</v>
      </c>
      <c r="I76" s="12" t="s">
        <v>272</v>
      </c>
      <c r="J76" s="12" t="s">
        <v>272</v>
      </c>
      <c r="K76" s="12" t="s">
        <v>272</v>
      </c>
      <c r="L76" s="12" t="s">
        <v>272</v>
      </c>
      <c r="M76" s="14" t="s">
        <v>144</v>
      </c>
      <c r="N76" s="14" t="s">
        <v>100</v>
      </c>
      <c r="O76" s="12" t="s">
        <v>272</v>
      </c>
      <c r="P76" s="14" t="s">
        <v>145</v>
      </c>
      <c r="Q76" s="12" t="s">
        <v>272</v>
      </c>
      <c r="R76" s="12" t="s">
        <v>272</v>
      </c>
      <c r="S76" s="12" t="s">
        <v>272</v>
      </c>
      <c r="T76" s="12" t="s">
        <v>272</v>
      </c>
      <c r="U76" s="14" t="s">
        <v>306</v>
      </c>
      <c r="V76" s="18"/>
      <c r="W76" s="21"/>
      <c r="X76" s="25"/>
      <c r="Y76" s="13"/>
      <c r="Z76" s="38" t="s">
        <v>271</v>
      </c>
      <c r="AA76" s="13" t="s">
        <v>354</v>
      </c>
      <c r="AB76" s="13"/>
      <c r="AC76" s="13"/>
    </row>
    <row r="77" spans="2:29" ht="10.25" customHeight="1" x14ac:dyDescent="0.55000000000000004">
      <c r="B77" s="15" t="s">
        <v>146</v>
      </c>
      <c r="C77" s="65">
        <v>68</v>
      </c>
      <c r="D77" s="15" t="s">
        <v>146</v>
      </c>
      <c r="E77" s="14" t="s">
        <v>852</v>
      </c>
      <c r="F77" s="14" t="s">
        <v>853</v>
      </c>
      <c r="G77" s="14" t="s">
        <v>854</v>
      </c>
      <c r="H77" s="14" t="s">
        <v>855</v>
      </c>
      <c r="I77" s="14" t="s">
        <v>147</v>
      </c>
      <c r="J77" s="12" t="s">
        <v>272</v>
      </c>
      <c r="K77" s="12" t="s">
        <v>272</v>
      </c>
      <c r="L77" s="12" t="s">
        <v>272</v>
      </c>
      <c r="M77" s="14" t="s">
        <v>148</v>
      </c>
      <c r="N77" s="12" t="s">
        <v>272</v>
      </c>
      <c r="O77" s="12" t="s">
        <v>272</v>
      </c>
      <c r="P77" s="12" t="s">
        <v>272</v>
      </c>
      <c r="Q77" s="12" t="s">
        <v>272</v>
      </c>
      <c r="R77" s="12" t="s">
        <v>272</v>
      </c>
      <c r="S77" s="12" t="s">
        <v>272</v>
      </c>
      <c r="T77" s="12" t="s">
        <v>272</v>
      </c>
      <c r="U77" s="14" t="s">
        <v>307</v>
      </c>
      <c r="V77" s="18"/>
      <c r="W77" s="21"/>
      <c r="X77" s="25"/>
      <c r="Y77" s="13"/>
      <c r="Z77" s="38" t="s">
        <v>271</v>
      </c>
      <c r="AA77" s="13" t="s">
        <v>354</v>
      </c>
      <c r="AB77" s="13"/>
      <c r="AC77" s="13"/>
    </row>
    <row r="78" spans="2:29" ht="10.25" customHeight="1" x14ac:dyDescent="0.55000000000000004">
      <c r="B78" s="15" t="s">
        <v>149</v>
      </c>
      <c r="C78" s="65">
        <v>69</v>
      </c>
      <c r="D78" s="15" t="s">
        <v>149</v>
      </c>
      <c r="E78" s="14" t="s">
        <v>856</v>
      </c>
      <c r="F78" s="14" t="s">
        <v>857</v>
      </c>
      <c r="G78" s="14" t="s">
        <v>858</v>
      </c>
      <c r="H78" s="14" t="s">
        <v>859</v>
      </c>
      <c r="I78" s="14" t="s">
        <v>150</v>
      </c>
      <c r="J78" s="12" t="s">
        <v>272</v>
      </c>
      <c r="K78" s="12" t="s">
        <v>272</v>
      </c>
      <c r="L78" s="12" t="s">
        <v>272</v>
      </c>
      <c r="M78" s="14" t="s">
        <v>151</v>
      </c>
      <c r="N78" s="12" t="s">
        <v>272</v>
      </c>
      <c r="O78" s="12" t="s">
        <v>272</v>
      </c>
      <c r="P78" s="12" t="s">
        <v>272</v>
      </c>
      <c r="Q78" s="12" t="s">
        <v>272</v>
      </c>
      <c r="R78" s="12" t="s">
        <v>272</v>
      </c>
      <c r="S78" s="12" t="s">
        <v>272</v>
      </c>
      <c r="T78" s="12" t="s">
        <v>272</v>
      </c>
      <c r="U78" s="14" t="s">
        <v>308</v>
      </c>
      <c r="V78" s="18"/>
      <c r="W78" s="21"/>
      <c r="X78" s="25"/>
      <c r="Y78" s="13"/>
      <c r="Z78" s="38" t="s">
        <v>271</v>
      </c>
      <c r="AA78" s="13" t="s">
        <v>354</v>
      </c>
      <c r="AB78" s="13"/>
      <c r="AC78" s="13"/>
    </row>
    <row r="79" spans="2:29" ht="10.25" customHeight="1" x14ac:dyDescent="0.55000000000000004">
      <c r="B79" s="15" t="s">
        <v>152</v>
      </c>
      <c r="C79" s="65">
        <v>70</v>
      </c>
      <c r="D79" s="15" t="s">
        <v>152</v>
      </c>
      <c r="E79" s="14" t="s">
        <v>860</v>
      </c>
      <c r="F79" s="14" t="s">
        <v>861</v>
      </c>
      <c r="G79" s="14" t="s">
        <v>862</v>
      </c>
      <c r="H79" s="14" t="s">
        <v>863</v>
      </c>
      <c r="I79" s="14" t="s">
        <v>153</v>
      </c>
      <c r="J79" s="12" t="s">
        <v>272</v>
      </c>
      <c r="K79" s="12" t="s">
        <v>272</v>
      </c>
      <c r="L79" s="12" t="s">
        <v>272</v>
      </c>
      <c r="M79" s="12" t="s">
        <v>272</v>
      </c>
      <c r="N79" s="12" t="s">
        <v>272</v>
      </c>
      <c r="O79" s="12" t="s">
        <v>272</v>
      </c>
      <c r="P79" s="12" t="s">
        <v>272</v>
      </c>
      <c r="Q79" s="12" t="s">
        <v>272</v>
      </c>
      <c r="R79" s="12" t="s">
        <v>272</v>
      </c>
      <c r="S79" s="12" t="s">
        <v>272</v>
      </c>
      <c r="T79" s="12" t="s">
        <v>272</v>
      </c>
      <c r="U79" s="14" t="s">
        <v>309</v>
      </c>
      <c r="V79" s="18"/>
      <c r="W79" s="21"/>
      <c r="X79" s="25"/>
      <c r="Y79" s="13"/>
      <c r="Z79" s="38" t="s">
        <v>271</v>
      </c>
      <c r="AA79" s="13" t="s">
        <v>354</v>
      </c>
      <c r="AB79" s="13"/>
      <c r="AC79" s="13"/>
    </row>
    <row r="80" spans="2:29" ht="10.25" customHeight="1" x14ac:dyDescent="0.55000000000000004">
      <c r="B80" s="15" t="s">
        <v>154</v>
      </c>
      <c r="C80" s="65">
        <v>71</v>
      </c>
      <c r="D80" s="15" t="s">
        <v>154</v>
      </c>
      <c r="E80" s="14" t="s">
        <v>864</v>
      </c>
      <c r="F80" s="14" t="s">
        <v>865</v>
      </c>
      <c r="G80" s="14" t="s">
        <v>866</v>
      </c>
      <c r="H80" s="14" t="s">
        <v>867</v>
      </c>
      <c r="I80" s="14" t="s">
        <v>155</v>
      </c>
      <c r="J80" s="12" t="s">
        <v>272</v>
      </c>
      <c r="K80" s="12" t="s">
        <v>272</v>
      </c>
      <c r="L80" s="12" t="s">
        <v>272</v>
      </c>
      <c r="M80" s="12" t="s">
        <v>272</v>
      </c>
      <c r="N80" s="12" t="s">
        <v>272</v>
      </c>
      <c r="O80" s="12" t="s">
        <v>272</v>
      </c>
      <c r="P80" s="12" t="s">
        <v>272</v>
      </c>
      <c r="Q80" s="12" t="s">
        <v>272</v>
      </c>
      <c r="R80" s="12" t="s">
        <v>272</v>
      </c>
      <c r="S80" s="12" t="s">
        <v>272</v>
      </c>
      <c r="T80" s="12" t="s">
        <v>272</v>
      </c>
      <c r="U80" s="14" t="s">
        <v>310</v>
      </c>
      <c r="V80" s="18"/>
      <c r="W80" s="21"/>
      <c r="X80" s="25"/>
      <c r="Y80" s="13"/>
      <c r="Z80" s="38" t="s">
        <v>271</v>
      </c>
      <c r="AA80" s="13" t="s">
        <v>354</v>
      </c>
      <c r="AB80" s="13"/>
      <c r="AC80" s="13"/>
    </row>
    <row r="81" spans="2:29" ht="10.25" customHeight="1" x14ac:dyDescent="0.55000000000000004">
      <c r="B81" s="17" t="s">
        <v>354</v>
      </c>
      <c r="C81" s="11">
        <v>72</v>
      </c>
      <c r="D81" s="12" t="s">
        <v>272</v>
      </c>
      <c r="E81" s="12" t="s">
        <v>272</v>
      </c>
      <c r="F81" s="12" t="s">
        <v>272</v>
      </c>
      <c r="G81" s="12" t="s">
        <v>272</v>
      </c>
      <c r="H81" s="12" t="s">
        <v>272</v>
      </c>
      <c r="I81" s="12" t="s">
        <v>272</v>
      </c>
      <c r="J81" s="12" t="s">
        <v>272</v>
      </c>
      <c r="K81" s="12" t="s">
        <v>272</v>
      </c>
      <c r="L81" s="12" t="s">
        <v>272</v>
      </c>
      <c r="M81" s="12" t="s">
        <v>272</v>
      </c>
      <c r="N81" s="12" t="s">
        <v>272</v>
      </c>
      <c r="O81" s="12" t="s">
        <v>272</v>
      </c>
      <c r="P81" s="12" t="s">
        <v>272</v>
      </c>
      <c r="Q81" s="12" t="s">
        <v>272</v>
      </c>
      <c r="R81" s="12" t="s">
        <v>272</v>
      </c>
      <c r="S81" s="12" t="s">
        <v>272</v>
      </c>
      <c r="T81" s="12" t="s">
        <v>272</v>
      </c>
      <c r="U81" s="12" t="s">
        <v>272</v>
      </c>
      <c r="V81" s="17" t="s">
        <v>354</v>
      </c>
      <c r="W81" s="12" t="s">
        <v>272</v>
      </c>
      <c r="X81" s="25"/>
      <c r="Y81" s="13" t="s">
        <v>532</v>
      </c>
      <c r="Z81" s="38" t="s">
        <v>543</v>
      </c>
      <c r="AA81" s="38" t="s">
        <v>543</v>
      </c>
      <c r="AB81" s="13"/>
      <c r="AC81" s="13"/>
    </row>
    <row r="82" spans="2:29" ht="10.25" customHeight="1" x14ac:dyDescent="0.55000000000000004">
      <c r="B82" s="10" t="s">
        <v>253</v>
      </c>
      <c r="C82" s="11">
        <v>73</v>
      </c>
      <c r="D82" s="12" t="s">
        <v>272</v>
      </c>
      <c r="E82" s="12" t="s">
        <v>272</v>
      </c>
      <c r="F82" s="12" t="s">
        <v>272</v>
      </c>
      <c r="G82" s="12" t="s">
        <v>272</v>
      </c>
      <c r="H82" s="12" t="s">
        <v>272</v>
      </c>
      <c r="I82" s="12" t="s">
        <v>272</v>
      </c>
      <c r="J82" s="12" t="s">
        <v>272</v>
      </c>
      <c r="K82" s="12" t="s">
        <v>272</v>
      </c>
      <c r="L82" s="12" t="s">
        <v>272</v>
      </c>
      <c r="M82" s="12" t="s">
        <v>272</v>
      </c>
      <c r="N82" s="12" t="s">
        <v>272</v>
      </c>
      <c r="O82" s="12" t="s">
        <v>272</v>
      </c>
      <c r="P82" s="12" t="s">
        <v>272</v>
      </c>
      <c r="Q82" s="12" t="s">
        <v>272</v>
      </c>
      <c r="R82" s="12" t="s">
        <v>272</v>
      </c>
      <c r="S82" s="12" t="s">
        <v>272</v>
      </c>
      <c r="T82" s="12" t="s">
        <v>272</v>
      </c>
      <c r="U82" s="12" t="s">
        <v>272</v>
      </c>
      <c r="V82" s="10" t="s">
        <v>253</v>
      </c>
      <c r="W82" s="12" t="s">
        <v>272</v>
      </c>
      <c r="X82" s="25"/>
      <c r="Y82" s="13" t="s">
        <v>531</v>
      </c>
      <c r="Z82" s="38" t="s">
        <v>543</v>
      </c>
      <c r="AA82" s="38" t="s">
        <v>543</v>
      </c>
      <c r="AB82" s="13"/>
      <c r="AC82" s="13"/>
    </row>
    <row r="83" spans="2:29" ht="10.25" customHeight="1" x14ac:dyDescent="0.55000000000000004">
      <c r="B83" s="15" t="s">
        <v>158</v>
      </c>
      <c r="C83" s="65">
        <v>74</v>
      </c>
      <c r="D83" s="15" t="s">
        <v>158</v>
      </c>
      <c r="E83" s="14" t="s">
        <v>876</v>
      </c>
      <c r="F83" s="14" t="s">
        <v>877</v>
      </c>
      <c r="G83" s="14" t="s">
        <v>878</v>
      </c>
      <c r="H83" s="14" t="s">
        <v>879</v>
      </c>
      <c r="I83" s="14" t="s">
        <v>159</v>
      </c>
      <c r="J83" s="14" t="s">
        <v>880</v>
      </c>
      <c r="K83" s="12" t="s">
        <v>272</v>
      </c>
      <c r="L83" s="14" t="s">
        <v>881</v>
      </c>
      <c r="M83" s="14" t="s">
        <v>92</v>
      </c>
      <c r="N83" s="12" t="s">
        <v>272</v>
      </c>
      <c r="O83" s="14" t="s">
        <v>882</v>
      </c>
      <c r="P83" s="12" t="s">
        <v>272</v>
      </c>
      <c r="Q83" s="12" t="s">
        <v>272</v>
      </c>
      <c r="R83" s="12" t="s">
        <v>272</v>
      </c>
      <c r="S83" s="12" t="s">
        <v>272</v>
      </c>
      <c r="T83" s="12" t="s">
        <v>272</v>
      </c>
      <c r="U83" s="14" t="s">
        <v>313</v>
      </c>
      <c r="V83" s="16"/>
      <c r="W83" s="21"/>
      <c r="X83" s="25" t="str">
        <f>_xlfn.IFS(AND(COUNTIF(V83,"SCB*")=1, 'PCH144'!G60&gt;=2), "See the Notice *2", TRUE, "")</f>
        <v/>
      </c>
      <c r="Y83" s="13"/>
      <c r="Z83" s="38" t="s">
        <v>271</v>
      </c>
      <c r="AA83" s="13" t="s">
        <v>354</v>
      </c>
      <c r="AB83" s="13"/>
      <c r="AC83" s="13"/>
    </row>
    <row r="84" spans="2:29" ht="10.25" customHeight="1" x14ac:dyDescent="0.55000000000000004">
      <c r="B84" s="15" t="s">
        <v>160</v>
      </c>
      <c r="C84" s="65">
        <v>75</v>
      </c>
      <c r="D84" s="15" t="s">
        <v>160</v>
      </c>
      <c r="E84" s="14" t="s">
        <v>883</v>
      </c>
      <c r="F84" s="14" t="s">
        <v>884</v>
      </c>
      <c r="G84" s="14" t="s">
        <v>885</v>
      </c>
      <c r="H84" s="14" t="s">
        <v>886</v>
      </c>
      <c r="I84" s="14" t="s">
        <v>161</v>
      </c>
      <c r="J84" s="14" t="s">
        <v>887</v>
      </c>
      <c r="K84" s="14" t="s">
        <v>888</v>
      </c>
      <c r="L84" s="14" t="s">
        <v>889</v>
      </c>
      <c r="M84" s="14" t="s">
        <v>94</v>
      </c>
      <c r="N84" s="12" t="s">
        <v>272</v>
      </c>
      <c r="O84" s="14" t="s">
        <v>890</v>
      </c>
      <c r="P84" s="12" t="s">
        <v>272</v>
      </c>
      <c r="Q84" s="12" t="s">
        <v>272</v>
      </c>
      <c r="R84" s="12" t="s">
        <v>272</v>
      </c>
      <c r="S84" s="12" t="s">
        <v>272</v>
      </c>
      <c r="T84" s="12" t="s">
        <v>272</v>
      </c>
      <c r="U84" s="14" t="s">
        <v>314</v>
      </c>
      <c r="V84" s="16"/>
      <c r="W84" s="21"/>
      <c r="X84" s="25" t="str">
        <f>_xlfn.IFS(AND(COUNTIF(V84,"SCB*")=1, 'PCH144'!G60&gt;=2), "See the Notice *2", TRUE, "")</f>
        <v/>
      </c>
      <c r="Y84" s="13"/>
      <c r="Z84" s="38" t="s">
        <v>271</v>
      </c>
      <c r="AA84" s="13" t="s">
        <v>354</v>
      </c>
      <c r="AB84" s="13"/>
      <c r="AC84" s="13"/>
    </row>
    <row r="85" spans="2:29" ht="10.25" customHeight="1" x14ac:dyDescent="0.55000000000000004">
      <c r="B85" s="15" t="s">
        <v>162</v>
      </c>
      <c r="C85" s="65">
        <v>76</v>
      </c>
      <c r="D85" s="15" t="s">
        <v>162</v>
      </c>
      <c r="E85" s="14" t="s">
        <v>891</v>
      </c>
      <c r="F85" s="14" t="s">
        <v>892</v>
      </c>
      <c r="G85" s="14" t="s">
        <v>893</v>
      </c>
      <c r="H85" s="14" t="s">
        <v>894</v>
      </c>
      <c r="I85" s="14" t="s">
        <v>163</v>
      </c>
      <c r="J85" s="14" t="s">
        <v>895</v>
      </c>
      <c r="K85" s="14" t="s">
        <v>896</v>
      </c>
      <c r="L85" s="14" t="s">
        <v>897</v>
      </c>
      <c r="M85" s="14" t="s">
        <v>96</v>
      </c>
      <c r="N85" s="12" t="s">
        <v>272</v>
      </c>
      <c r="O85" s="14" t="s">
        <v>898</v>
      </c>
      <c r="P85" s="12" t="s">
        <v>272</v>
      </c>
      <c r="Q85" s="12" t="s">
        <v>272</v>
      </c>
      <c r="R85" s="12" t="s">
        <v>272</v>
      </c>
      <c r="S85" s="12" t="s">
        <v>272</v>
      </c>
      <c r="T85" s="12" t="s">
        <v>272</v>
      </c>
      <c r="U85" s="14" t="s">
        <v>315</v>
      </c>
      <c r="V85" s="18"/>
      <c r="W85" s="21"/>
      <c r="X85" s="25" t="str">
        <f>_xlfn.IFS(AND(COUNTIF(V85,"SCB*")=1, 'PCH144'!G60&gt;=2), "See the Notice *2", TRUE, "")</f>
        <v/>
      </c>
      <c r="Y85" s="13"/>
      <c r="Z85" s="38" t="s">
        <v>271</v>
      </c>
      <c r="AA85" s="13" t="s">
        <v>354</v>
      </c>
      <c r="AB85" s="13"/>
      <c r="AC85" s="13"/>
    </row>
    <row r="86" spans="2:29" ht="10.25" customHeight="1" x14ac:dyDescent="0.55000000000000004">
      <c r="B86" s="15" t="s">
        <v>164</v>
      </c>
      <c r="C86" s="65">
        <v>77</v>
      </c>
      <c r="D86" s="15" t="s">
        <v>164</v>
      </c>
      <c r="E86" s="14" t="s">
        <v>899</v>
      </c>
      <c r="F86" s="14" t="s">
        <v>900</v>
      </c>
      <c r="G86" s="14" t="s">
        <v>901</v>
      </c>
      <c r="H86" s="14" t="s">
        <v>902</v>
      </c>
      <c r="I86" s="14" t="s">
        <v>165</v>
      </c>
      <c r="J86" s="14" t="s">
        <v>903</v>
      </c>
      <c r="K86" s="12" t="s">
        <v>272</v>
      </c>
      <c r="L86" s="14" t="s">
        <v>904</v>
      </c>
      <c r="M86" s="12" t="s">
        <v>272</v>
      </c>
      <c r="N86" s="12" t="s">
        <v>272</v>
      </c>
      <c r="O86" s="12" t="s">
        <v>272</v>
      </c>
      <c r="P86" s="12" t="s">
        <v>272</v>
      </c>
      <c r="Q86" s="12" t="s">
        <v>272</v>
      </c>
      <c r="R86" s="12" t="s">
        <v>272</v>
      </c>
      <c r="S86" s="12" t="s">
        <v>272</v>
      </c>
      <c r="T86" s="12" t="s">
        <v>272</v>
      </c>
      <c r="U86" s="14" t="s">
        <v>316</v>
      </c>
      <c r="V86" s="18"/>
      <c r="W86" s="21"/>
      <c r="X86" s="25" t="str">
        <f>_xlfn.IFS(AND(COUNTIF(V86,"SCB*")=1, 'PCH144'!G60&gt;=2), "See the Notice *2", TRUE, "")</f>
        <v/>
      </c>
      <c r="Y86" s="13"/>
      <c r="Z86" s="38" t="s">
        <v>271</v>
      </c>
      <c r="AA86" s="13" t="s">
        <v>354</v>
      </c>
      <c r="AB86" s="13"/>
      <c r="AC86" s="13"/>
    </row>
    <row r="87" spans="2:29" ht="10.25" customHeight="1" x14ac:dyDescent="0.55000000000000004">
      <c r="B87" s="15" t="s">
        <v>166</v>
      </c>
      <c r="C87" s="65">
        <v>78</v>
      </c>
      <c r="D87" s="15" t="s">
        <v>166</v>
      </c>
      <c r="E87" s="14" t="s">
        <v>905</v>
      </c>
      <c r="F87" s="14" t="s">
        <v>906</v>
      </c>
      <c r="G87" s="14" t="s">
        <v>907</v>
      </c>
      <c r="H87" s="14" t="s">
        <v>908</v>
      </c>
      <c r="I87" s="14" t="s">
        <v>590</v>
      </c>
      <c r="J87" s="12" t="s">
        <v>272</v>
      </c>
      <c r="K87" s="12" t="s">
        <v>272</v>
      </c>
      <c r="L87" s="14" t="s">
        <v>909</v>
      </c>
      <c r="M87" s="14" t="s">
        <v>817</v>
      </c>
      <c r="N87" s="12" t="s">
        <v>272</v>
      </c>
      <c r="O87" s="12" t="s">
        <v>272</v>
      </c>
      <c r="P87" s="12" t="s">
        <v>272</v>
      </c>
      <c r="Q87" s="12" t="s">
        <v>272</v>
      </c>
      <c r="R87" s="12" t="s">
        <v>272</v>
      </c>
      <c r="S87" s="12" t="s">
        <v>272</v>
      </c>
      <c r="T87" s="12" t="s">
        <v>272</v>
      </c>
      <c r="U87" s="14" t="s">
        <v>317</v>
      </c>
      <c r="V87" s="18"/>
      <c r="W87" s="21"/>
      <c r="X87" s="25" t="str">
        <f>_xlfn.IFS(AND(COUNTIF(V87,"SCB*")=1, 'PCH144'!G60&gt;=2), "See the Notice *2", TRUE, "")</f>
        <v/>
      </c>
      <c r="Y87" s="13"/>
      <c r="Z87" s="38" t="s">
        <v>271</v>
      </c>
      <c r="AA87" s="13" t="s">
        <v>354</v>
      </c>
      <c r="AB87" s="13"/>
      <c r="AC87" s="13"/>
    </row>
    <row r="88" spans="2:29" ht="10.25" customHeight="1" x14ac:dyDescent="0.55000000000000004">
      <c r="B88" s="15" t="s">
        <v>167</v>
      </c>
      <c r="C88" s="65">
        <v>79</v>
      </c>
      <c r="D88" s="15" t="s">
        <v>167</v>
      </c>
      <c r="E88" s="14" t="s">
        <v>910</v>
      </c>
      <c r="F88" s="14" t="s">
        <v>911</v>
      </c>
      <c r="G88" s="14" t="s">
        <v>912</v>
      </c>
      <c r="H88" s="14" t="s">
        <v>913</v>
      </c>
      <c r="I88" s="14" t="s">
        <v>640</v>
      </c>
      <c r="J88" s="12" t="s">
        <v>272</v>
      </c>
      <c r="K88" s="12" t="s">
        <v>272</v>
      </c>
      <c r="L88" s="14" t="s">
        <v>914</v>
      </c>
      <c r="M88" s="14" t="s">
        <v>824</v>
      </c>
      <c r="N88" s="12" t="s">
        <v>272</v>
      </c>
      <c r="O88" s="14" t="s">
        <v>915</v>
      </c>
      <c r="P88" s="12" t="s">
        <v>272</v>
      </c>
      <c r="Q88" s="12" t="s">
        <v>272</v>
      </c>
      <c r="R88" s="12" t="s">
        <v>272</v>
      </c>
      <c r="S88" s="12" t="s">
        <v>272</v>
      </c>
      <c r="T88" s="12" t="s">
        <v>272</v>
      </c>
      <c r="U88" s="14" t="s">
        <v>318</v>
      </c>
      <c r="V88" s="18"/>
      <c r="W88" s="21"/>
      <c r="X88" s="25" t="str">
        <f>_xlfn.IFS(AND(COUNTIF(V88,"SCB*")=1, 'PCH144'!G60&gt;=2), "See the Notice *2", TRUE, "")</f>
        <v/>
      </c>
      <c r="Y88" s="13"/>
      <c r="Z88" s="38" t="s">
        <v>271</v>
      </c>
      <c r="AA88" s="13" t="s">
        <v>354</v>
      </c>
      <c r="AB88" s="13"/>
      <c r="AC88" s="13"/>
    </row>
    <row r="89" spans="2:29" ht="10.25" customHeight="1" x14ac:dyDescent="0.55000000000000004">
      <c r="B89" s="15" t="s">
        <v>168</v>
      </c>
      <c r="C89" s="65">
        <v>80</v>
      </c>
      <c r="D89" s="15" t="s">
        <v>168</v>
      </c>
      <c r="E89" s="14" t="s">
        <v>916</v>
      </c>
      <c r="F89" s="14" t="s">
        <v>917</v>
      </c>
      <c r="G89" s="14" t="s">
        <v>918</v>
      </c>
      <c r="H89" s="14" t="s">
        <v>919</v>
      </c>
      <c r="I89" s="14" t="s">
        <v>595</v>
      </c>
      <c r="J89" s="12" t="s">
        <v>272</v>
      </c>
      <c r="K89" s="12" t="s">
        <v>272</v>
      </c>
      <c r="L89" s="14" t="s">
        <v>920</v>
      </c>
      <c r="M89" s="14" t="s">
        <v>830</v>
      </c>
      <c r="N89" s="12" t="s">
        <v>272</v>
      </c>
      <c r="O89" s="14" t="s">
        <v>921</v>
      </c>
      <c r="P89" s="14" t="s">
        <v>169</v>
      </c>
      <c r="Q89" s="12" t="s">
        <v>272</v>
      </c>
      <c r="R89" s="12" t="s">
        <v>272</v>
      </c>
      <c r="S89" s="12" t="s">
        <v>272</v>
      </c>
      <c r="T89" s="12" t="s">
        <v>272</v>
      </c>
      <c r="U89" s="14" t="s">
        <v>319</v>
      </c>
      <c r="V89" s="18"/>
      <c r="W89" s="21"/>
      <c r="X89" s="25" t="str">
        <f>_xlfn.IFS(AND(COUNTIF(V89,"SCB*")=1, 'PCH144'!G60&gt;=2), "See the Notice *2", TRUE, "")</f>
        <v/>
      </c>
      <c r="Y89" s="13"/>
      <c r="Z89" s="38" t="s">
        <v>271</v>
      </c>
      <c r="AA89" s="13" t="s">
        <v>354</v>
      </c>
      <c r="AB89" s="13"/>
      <c r="AC89" s="13"/>
    </row>
    <row r="90" spans="2:29" ht="10.25" customHeight="1" x14ac:dyDescent="0.55000000000000004">
      <c r="B90" s="15" t="s">
        <v>170</v>
      </c>
      <c r="C90" s="65">
        <v>81</v>
      </c>
      <c r="D90" s="15" t="s">
        <v>170</v>
      </c>
      <c r="E90" s="14" t="s">
        <v>922</v>
      </c>
      <c r="F90" s="14" t="s">
        <v>923</v>
      </c>
      <c r="G90" s="14" t="s">
        <v>924</v>
      </c>
      <c r="H90" s="14" t="s">
        <v>925</v>
      </c>
      <c r="I90" s="14" t="s">
        <v>646</v>
      </c>
      <c r="J90" s="12" t="s">
        <v>272</v>
      </c>
      <c r="K90" s="12" t="s">
        <v>272</v>
      </c>
      <c r="L90" s="12" t="s">
        <v>272</v>
      </c>
      <c r="M90" s="12" t="s">
        <v>272</v>
      </c>
      <c r="N90" s="12" t="s">
        <v>272</v>
      </c>
      <c r="O90" s="14" t="s">
        <v>926</v>
      </c>
      <c r="P90" s="14" t="s">
        <v>171</v>
      </c>
      <c r="Q90" s="12" t="s">
        <v>272</v>
      </c>
      <c r="R90" s="12" t="s">
        <v>272</v>
      </c>
      <c r="S90" s="12" t="s">
        <v>272</v>
      </c>
      <c r="T90" s="12" t="s">
        <v>272</v>
      </c>
      <c r="U90" s="14" t="s">
        <v>320</v>
      </c>
      <c r="V90" s="18"/>
      <c r="W90" s="21"/>
      <c r="X90" s="25"/>
      <c r="Y90" s="13"/>
      <c r="Z90" s="38" t="s">
        <v>271</v>
      </c>
      <c r="AA90" s="13" t="s">
        <v>354</v>
      </c>
      <c r="AB90" s="13"/>
      <c r="AC90" s="13"/>
    </row>
    <row r="91" spans="2:29" ht="10.25" customHeight="1" x14ac:dyDescent="0.55000000000000004">
      <c r="B91" s="15" t="s">
        <v>172</v>
      </c>
      <c r="C91" s="65">
        <v>82</v>
      </c>
      <c r="D91" s="15" t="s">
        <v>172</v>
      </c>
      <c r="E91" s="14" t="s">
        <v>927</v>
      </c>
      <c r="F91" s="14" t="s">
        <v>928</v>
      </c>
      <c r="G91" s="14" t="s">
        <v>929</v>
      </c>
      <c r="H91" s="14" t="s">
        <v>930</v>
      </c>
      <c r="I91" s="14" t="s">
        <v>600</v>
      </c>
      <c r="J91" s="14" t="s">
        <v>931</v>
      </c>
      <c r="K91" s="12" t="s">
        <v>272</v>
      </c>
      <c r="L91" s="14" t="s">
        <v>932</v>
      </c>
      <c r="M91" s="12" t="s">
        <v>272</v>
      </c>
      <c r="N91" s="14" t="s">
        <v>173</v>
      </c>
      <c r="O91" s="12" t="s">
        <v>272</v>
      </c>
      <c r="P91" s="12" t="s">
        <v>272</v>
      </c>
      <c r="Q91" s="12" t="s">
        <v>272</v>
      </c>
      <c r="R91" s="12" t="s">
        <v>272</v>
      </c>
      <c r="S91" s="12" t="s">
        <v>272</v>
      </c>
      <c r="T91" s="12" t="s">
        <v>272</v>
      </c>
      <c r="U91" s="14" t="s">
        <v>321</v>
      </c>
      <c r="V91" s="18"/>
      <c r="W91" s="21"/>
      <c r="X91" s="25" t="str">
        <f>_xlfn.IFS(AND(COUNTIF(V91,"SCB*")=1, 'PCH144'!F60&gt;=2), "See the Notice *2", TRUE, "")</f>
        <v/>
      </c>
      <c r="Y91" s="13"/>
      <c r="Z91" s="38" t="s">
        <v>271</v>
      </c>
      <c r="AA91" s="13" t="s">
        <v>354</v>
      </c>
      <c r="AB91" s="13"/>
      <c r="AC91" s="13"/>
    </row>
    <row r="92" spans="2:29" ht="10.25" customHeight="1" x14ac:dyDescent="0.55000000000000004">
      <c r="B92" s="15" t="s">
        <v>174</v>
      </c>
      <c r="C92" s="65">
        <v>83</v>
      </c>
      <c r="D92" s="15" t="s">
        <v>174</v>
      </c>
      <c r="E92" s="14" t="s">
        <v>933</v>
      </c>
      <c r="F92" s="14" t="s">
        <v>934</v>
      </c>
      <c r="G92" s="14" t="s">
        <v>935</v>
      </c>
      <c r="H92" s="14" t="s">
        <v>936</v>
      </c>
      <c r="I92" s="14" t="s">
        <v>652</v>
      </c>
      <c r="J92" s="14" t="s">
        <v>937</v>
      </c>
      <c r="K92" s="14" t="s">
        <v>938</v>
      </c>
      <c r="L92" s="14" t="s">
        <v>939</v>
      </c>
      <c r="M92" s="12" t="s">
        <v>272</v>
      </c>
      <c r="N92" s="14" t="s">
        <v>175</v>
      </c>
      <c r="O92" s="12" t="s">
        <v>272</v>
      </c>
      <c r="P92" s="12" t="s">
        <v>272</v>
      </c>
      <c r="Q92" s="12" t="s">
        <v>272</v>
      </c>
      <c r="R92" s="12" t="s">
        <v>272</v>
      </c>
      <c r="S92" s="12" t="s">
        <v>272</v>
      </c>
      <c r="T92" s="12" t="s">
        <v>272</v>
      </c>
      <c r="U92" s="14" t="s">
        <v>322</v>
      </c>
      <c r="V92" s="16"/>
      <c r="W92" s="21"/>
      <c r="X92" s="25" t="str">
        <f>_xlfn.IFS(AND(COUNTIF(V92,"SCB*")=1, 'PCH144'!F60&gt;=2), "See the Notice *2", TRUE, "")</f>
        <v/>
      </c>
      <c r="Y92" s="13"/>
      <c r="Z92" s="38" t="s">
        <v>271</v>
      </c>
      <c r="AA92" s="13" t="s">
        <v>354</v>
      </c>
      <c r="AB92" s="13"/>
      <c r="AC92" s="13"/>
    </row>
    <row r="93" spans="2:29" ht="10.25" customHeight="1" x14ac:dyDescent="0.55000000000000004">
      <c r="B93" s="15" t="s">
        <v>176</v>
      </c>
      <c r="C93" s="65">
        <v>84</v>
      </c>
      <c r="D93" s="15" t="s">
        <v>176</v>
      </c>
      <c r="E93" s="14" t="s">
        <v>940</v>
      </c>
      <c r="F93" s="14" t="s">
        <v>941</v>
      </c>
      <c r="G93" s="14" t="s">
        <v>942</v>
      </c>
      <c r="H93" s="14" t="s">
        <v>943</v>
      </c>
      <c r="I93" s="14" t="s">
        <v>605</v>
      </c>
      <c r="J93" s="14" t="s">
        <v>944</v>
      </c>
      <c r="K93" s="14" t="s">
        <v>945</v>
      </c>
      <c r="L93" s="14" t="s">
        <v>946</v>
      </c>
      <c r="M93" s="14" t="s">
        <v>148</v>
      </c>
      <c r="N93" s="12" t="s">
        <v>272</v>
      </c>
      <c r="O93" s="12" t="s">
        <v>272</v>
      </c>
      <c r="P93" s="12" t="s">
        <v>272</v>
      </c>
      <c r="Q93" s="12" t="s">
        <v>272</v>
      </c>
      <c r="R93" s="12" t="s">
        <v>272</v>
      </c>
      <c r="S93" s="12" t="s">
        <v>272</v>
      </c>
      <c r="T93" s="12" t="s">
        <v>272</v>
      </c>
      <c r="U93" s="14" t="s">
        <v>323</v>
      </c>
      <c r="V93" s="16"/>
      <c r="W93" s="21"/>
      <c r="X93" s="25" t="str">
        <f>_xlfn.IFS(AND(COUNTIF(V93,"SCB*")=1, 'PCH144'!F60&gt;=2), "See the Notice *2", TRUE, "")</f>
        <v/>
      </c>
      <c r="Y93" s="13"/>
      <c r="Z93" s="38" t="s">
        <v>271</v>
      </c>
      <c r="AA93" s="13" t="s">
        <v>354</v>
      </c>
      <c r="AB93" s="13"/>
      <c r="AC93" s="13"/>
    </row>
    <row r="94" spans="2:29" ht="10.25" customHeight="1" x14ac:dyDescent="0.55000000000000004">
      <c r="B94" s="15" t="s">
        <v>177</v>
      </c>
      <c r="C94" s="65">
        <v>85</v>
      </c>
      <c r="D94" s="15" t="s">
        <v>177</v>
      </c>
      <c r="E94" s="14" t="s">
        <v>947</v>
      </c>
      <c r="F94" s="14" t="s">
        <v>948</v>
      </c>
      <c r="G94" s="14" t="s">
        <v>949</v>
      </c>
      <c r="H94" s="14" t="s">
        <v>950</v>
      </c>
      <c r="I94" s="14" t="s">
        <v>660</v>
      </c>
      <c r="J94" s="14" t="s">
        <v>951</v>
      </c>
      <c r="K94" s="12" t="s">
        <v>272</v>
      </c>
      <c r="L94" s="14" t="s">
        <v>952</v>
      </c>
      <c r="M94" s="14" t="s">
        <v>151</v>
      </c>
      <c r="N94" s="12" t="s">
        <v>272</v>
      </c>
      <c r="O94" s="12" t="s">
        <v>272</v>
      </c>
      <c r="P94" s="12" t="s">
        <v>272</v>
      </c>
      <c r="Q94" s="12" t="s">
        <v>272</v>
      </c>
      <c r="R94" s="12" t="s">
        <v>272</v>
      </c>
      <c r="S94" s="12" t="s">
        <v>272</v>
      </c>
      <c r="T94" s="12" t="s">
        <v>272</v>
      </c>
      <c r="U94" s="14" t="s">
        <v>324</v>
      </c>
      <c r="V94" s="16"/>
      <c r="W94" s="21"/>
      <c r="X94" s="25" t="str">
        <f>_xlfn.IFS(AND(COUNTIF(V94,"SCB*")=1, 'PCH144'!F60&gt;=2), "See the Notice *2", TRUE, "")</f>
        <v/>
      </c>
      <c r="Y94" s="13"/>
      <c r="Z94" s="38" t="s">
        <v>271</v>
      </c>
      <c r="AA94" s="13" t="s">
        <v>354</v>
      </c>
      <c r="AB94" s="13"/>
      <c r="AC94" s="13"/>
    </row>
    <row r="95" spans="2:29" ht="10.25" customHeight="1" x14ac:dyDescent="0.55000000000000004">
      <c r="B95" s="15" t="s">
        <v>178</v>
      </c>
      <c r="C95" s="65">
        <v>86</v>
      </c>
      <c r="D95" s="15" t="s">
        <v>178</v>
      </c>
      <c r="E95" s="14" t="s">
        <v>953</v>
      </c>
      <c r="F95" s="14" t="s">
        <v>954</v>
      </c>
      <c r="G95" s="14" t="s">
        <v>955</v>
      </c>
      <c r="H95" s="14" t="s">
        <v>956</v>
      </c>
      <c r="I95" s="14" t="s">
        <v>610</v>
      </c>
      <c r="J95" s="12" t="s">
        <v>272</v>
      </c>
      <c r="K95" s="12" t="s">
        <v>272</v>
      </c>
      <c r="L95" s="14" t="s">
        <v>957</v>
      </c>
      <c r="M95" s="14" t="s">
        <v>144</v>
      </c>
      <c r="N95" s="12" t="s">
        <v>272</v>
      </c>
      <c r="O95" s="12" t="s">
        <v>272</v>
      </c>
      <c r="P95" s="12" t="s">
        <v>272</v>
      </c>
      <c r="Q95" s="12" t="s">
        <v>272</v>
      </c>
      <c r="R95" s="12" t="s">
        <v>272</v>
      </c>
      <c r="S95" s="12" t="s">
        <v>272</v>
      </c>
      <c r="T95" s="12" t="s">
        <v>272</v>
      </c>
      <c r="U95" s="14" t="s">
        <v>325</v>
      </c>
      <c r="V95" s="16"/>
      <c r="W95" s="21"/>
      <c r="X95" s="25" t="str">
        <f>_xlfn.IFS(AND(COUNTIF(V95,"SCB*")=1, 'PCH144'!F60&gt;=2), "See the Notice *2", TRUE, "")</f>
        <v/>
      </c>
      <c r="Y95" s="13"/>
      <c r="Z95" s="38" t="s">
        <v>271</v>
      </c>
      <c r="AA95" s="13" t="s">
        <v>354</v>
      </c>
      <c r="AB95" s="13"/>
      <c r="AC95" s="13"/>
    </row>
    <row r="96" spans="2:29" ht="10.25" customHeight="1" x14ac:dyDescent="0.55000000000000004">
      <c r="B96" s="15" t="s">
        <v>179</v>
      </c>
      <c r="C96" s="65">
        <v>87</v>
      </c>
      <c r="D96" s="15" t="s">
        <v>179</v>
      </c>
      <c r="E96" s="14" t="s">
        <v>958</v>
      </c>
      <c r="F96" s="14" t="s">
        <v>959</v>
      </c>
      <c r="G96" s="14" t="s">
        <v>960</v>
      </c>
      <c r="H96" s="14" t="s">
        <v>961</v>
      </c>
      <c r="I96" s="14" t="s">
        <v>669</v>
      </c>
      <c r="J96" s="12" t="s">
        <v>272</v>
      </c>
      <c r="K96" s="12" t="s">
        <v>272</v>
      </c>
      <c r="L96" s="14" t="s">
        <v>962</v>
      </c>
      <c r="M96" s="12" t="s">
        <v>272</v>
      </c>
      <c r="N96" s="12" t="s">
        <v>272</v>
      </c>
      <c r="O96" s="14" t="s">
        <v>915</v>
      </c>
      <c r="P96" s="12" t="s">
        <v>272</v>
      </c>
      <c r="Q96" s="12" t="s">
        <v>272</v>
      </c>
      <c r="R96" s="12" t="s">
        <v>272</v>
      </c>
      <c r="S96" s="12" t="s">
        <v>272</v>
      </c>
      <c r="T96" s="12" t="s">
        <v>272</v>
      </c>
      <c r="U96" s="14" t="s">
        <v>326</v>
      </c>
      <c r="V96" s="16"/>
      <c r="W96" s="21"/>
      <c r="X96" s="25" t="str">
        <f>_xlfn.IFS(AND(COUNTIF(V96,"SCB*")=1, 'PCH144'!F60&gt;=2), "See the Notice *2", TRUE, "")</f>
        <v/>
      </c>
      <c r="Y96" s="13"/>
      <c r="Z96" s="38" t="s">
        <v>271</v>
      </c>
      <c r="AA96" s="13" t="s">
        <v>354</v>
      </c>
      <c r="AB96" s="13"/>
      <c r="AC96" s="13"/>
    </row>
    <row r="97" spans="2:29" ht="10.25" customHeight="1" x14ac:dyDescent="0.55000000000000004">
      <c r="B97" s="15" t="s">
        <v>184</v>
      </c>
      <c r="C97" s="65">
        <v>88</v>
      </c>
      <c r="D97" s="15" t="s">
        <v>184</v>
      </c>
      <c r="E97" s="14" t="s">
        <v>971</v>
      </c>
      <c r="F97" s="14" t="s">
        <v>972</v>
      </c>
      <c r="G97" s="14" t="s">
        <v>973</v>
      </c>
      <c r="H97" s="14" t="s">
        <v>974</v>
      </c>
      <c r="I97" s="14" t="s">
        <v>625</v>
      </c>
      <c r="J97" s="12" t="s">
        <v>272</v>
      </c>
      <c r="K97" s="12" t="s">
        <v>272</v>
      </c>
      <c r="L97" s="12" t="s">
        <v>272</v>
      </c>
      <c r="M97" s="12" t="s">
        <v>272</v>
      </c>
      <c r="N97" s="14" t="s">
        <v>975</v>
      </c>
      <c r="O97" s="14" t="s">
        <v>882</v>
      </c>
      <c r="P97" s="12" t="s">
        <v>272</v>
      </c>
      <c r="Q97" s="12" t="s">
        <v>272</v>
      </c>
      <c r="R97" s="12" t="s">
        <v>272</v>
      </c>
      <c r="S97" s="12" t="s">
        <v>272</v>
      </c>
      <c r="T97" s="12" t="s">
        <v>272</v>
      </c>
      <c r="U97" s="14" t="s">
        <v>329</v>
      </c>
      <c r="V97" s="18"/>
      <c r="W97" s="21"/>
      <c r="X97" s="25"/>
      <c r="Y97" s="13"/>
      <c r="Z97" s="38" t="s">
        <v>271</v>
      </c>
      <c r="AA97" s="13" t="s">
        <v>354</v>
      </c>
      <c r="AB97" s="13"/>
      <c r="AC97" s="13"/>
    </row>
    <row r="98" spans="2:29" ht="10.25" customHeight="1" x14ac:dyDescent="0.55000000000000004">
      <c r="B98" s="15" t="s">
        <v>185</v>
      </c>
      <c r="C98" s="65">
        <v>89</v>
      </c>
      <c r="D98" s="15" t="s">
        <v>185</v>
      </c>
      <c r="E98" s="14" t="s">
        <v>976</v>
      </c>
      <c r="F98" s="14" t="s">
        <v>977</v>
      </c>
      <c r="G98" s="14" t="s">
        <v>978</v>
      </c>
      <c r="H98" s="14" t="s">
        <v>979</v>
      </c>
      <c r="I98" s="14" t="s">
        <v>684</v>
      </c>
      <c r="J98" s="12" t="s">
        <v>272</v>
      </c>
      <c r="K98" s="12" t="s">
        <v>272</v>
      </c>
      <c r="L98" s="12" t="s">
        <v>272</v>
      </c>
      <c r="M98" s="12" t="s">
        <v>272</v>
      </c>
      <c r="N98" s="14" t="s">
        <v>980</v>
      </c>
      <c r="O98" s="14" t="s">
        <v>890</v>
      </c>
      <c r="P98" s="12" t="s">
        <v>272</v>
      </c>
      <c r="Q98" s="12" t="s">
        <v>272</v>
      </c>
      <c r="R98" s="12" t="s">
        <v>272</v>
      </c>
      <c r="S98" s="12" t="s">
        <v>272</v>
      </c>
      <c r="T98" s="12" t="s">
        <v>272</v>
      </c>
      <c r="U98" s="14" t="s">
        <v>330</v>
      </c>
      <c r="V98" s="18"/>
      <c r="W98" s="21"/>
      <c r="X98" s="25"/>
      <c r="Y98" s="13"/>
      <c r="Z98" s="38" t="s">
        <v>271</v>
      </c>
      <c r="AA98" s="13" t="s">
        <v>354</v>
      </c>
      <c r="AB98" s="13"/>
      <c r="AC98" s="13"/>
    </row>
    <row r="99" spans="2:29" ht="10.25" customHeight="1" x14ac:dyDescent="0.55000000000000004">
      <c r="B99" s="15" t="s">
        <v>186</v>
      </c>
      <c r="C99" s="65">
        <v>90</v>
      </c>
      <c r="D99" s="15" t="s">
        <v>186</v>
      </c>
      <c r="E99" s="14" t="s">
        <v>981</v>
      </c>
      <c r="F99" s="14" t="s">
        <v>982</v>
      </c>
      <c r="G99" s="14" t="s">
        <v>983</v>
      </c>
      <c r="H99" s="14" t="s">
        <v>984</v>
      </c>
      <c r="I99" s="14" t="s">
        <v>633</v>
      </c>
      <c r="J99" s="12" t="s">
        <v>272</v>
      </c>
      <c r="K99" s="12" t="s">
        <v>272</v>
      </c>
      <c r="L99" s="12" t="s">
        <v>272</v>
      </c>
      <c r="M99" s="12" t="s">
        <v>272</v>
      </c>
      <c r="N99" s="12" t="s">
        <v>272</v>
      </c>
      <c r="O99" s="14" t="s">
        <v>898</v>
      </c>
      <c r="P99" s="12" t="s">
        <v>272</v>
      </c>
      <c r="Q99" s="12" t="s">
        <v>272</v>
      </c>
      <c r="R99" s="12" t="s">
        <v>272</v>
      </c>
      <c r="S99" s="12" t="s">
        <v>272</v>
      </c>
      <c r="T99" s="12" t="s">
        <v>272</v>
      </c>
      <c r="U99" s="14" t="s">
        <v>331</v>
      </c>
      <c r="V99" s="18"/>
      <c r="W99" s="21"/>
      <c r="X99" s="25"/>
      <c r="Y99" s="13"/>
      <c r="Z99" s="38" t="s">
        <v>271</v>
      </c>
      <c r="AA99" s="13" t="s">
        <v>354</v>
      </c>
      <c r="AB99" s="13"/>
      <c r="AC99" s="13"/>
    </row>
    <row r="100" spans="2:29" ht="10.25" customHeight="1" x14ac:dyDescent="0.55000000000000004">
      <c r="B100" s="15" t="s">
        <v>187</v>
      </c>
      <c r="C100" s="65">
        <v>91</v>
      </c>
      <c r="D100" s="15" t="s">
        <v>187</v>
      </c>
      <c r="E100" s="14" t="s">
        <v>985</v>
      </c>
      <c r="F100" s="14" t="s">
        <v>986</v>
      </c>
      <c r="G100" s="14" t="s">
        <v>987</v>
      </c>
      <c r="H100" s="14" t="s">
        <v>988</v>
      </c>
      <c r="I100" s="14" t="s">
        <v>690</v>
      </c>
      <c r="J100" s="12" t="s">
        <v>272</v>
      </c>
      <c r="K100" s="12" t="s">
        <v>272</v>
      </c>
      <c r="L100" s="12" t="s">
        <v>272</v>
      </c>
      <c r="M100" s="12" t="s">
        <v>272</v>
      </c>
      <c r="N100" s="12" t="s">
        <v>272</v>
      </c>
      <c r="O100" s="12" t="s">
        <v>272</v>
      </c>
      <c r="P100" s="12" t="s">
        <v>272</v>
      </c>
      <c r="Q100" s="12" t="s">
        <v>272</v>
      </c>
      <c r="R100" s="12" t="s">
        <v>272</v>
      </c>
      <c r="S100" s="12" t="s">
        <v>272</v>
      </c>
      <c r="T100" s="12" t="s">
        <v>272</v>
      </c>
      <c r="U100" s="14" t="s">
        <v>332</v>
      </c>
      <c r="V100" s="18"/>
      <c r="W100" s="21"/>
      <c r="X100" s="25"/>
      <c r="Y100" s="13"/>
      <c r="Z100" s="38" t="s">
        <v>271</v>
      </c>
      <c r="AA100" s="13" t="s">
        <v>354</v>
      </c>
      <c r="AB100" s="13"/>
      <c r="AC100" s="13"/>
    </row>
    <row r="101" spans="2:29" ht="10.25" customHeight="1" x14ac:dyDescent="0.55000000000000004">
      <c r="B101" s="15" t="s">
        <v>188</v>
      </c>
      <c r="C101" s="65">
        <v>92</v>
      </c>
      <c r="D101" s="15" t="s">
        <v>188</v>
      </c>
      <c r="E101" s="14" t="s">
        <v>989</v>
      </c>
      <c r="F101" s="14" t="s">
        <v>990</v>
      </c>
      <c r="G101" s="14" t="s">
        <v>991</v>
      </c>
      <c r="H101" s="14" t="s">
        <v>992</v>
      </c>
      <c r="I101" s="14" t="s">
        <v>993</v>
      </c>
      <c r="J101" s="12" t="s">
        <v>272</v>
      </c>
      <c r="K101" s="12" t="s">
        <v>272</v>
      </c>
      <c r="L101" s="12" t="s">
        <v>272</v>
      </c>
      <c r="M101" s="14" t="s">
        <v>994</v>
      </c>
      <c r="N101" s="12" t="s">
        <v>272</v>
      </c>
      <c r="O101" s="12" t="s">
        <v>272</v>
      </c>
      <c r="P101" s="12" t="s">
        <v>272</v>
      </c>
      <c r="Q101" s="12" t="s">
        <v>272</v>
      </c>
      <c r="R101" s="12" t="s">
        <v>272</v>
      </c>
      <c r="S101" s="12" t="s">
        <v>272</v>
      </c>
      <c r="T101" s="12" t="s">
        <v>272</v>
      </c>
      <c r="U101" s="12" t="s">
        <v>272</v>
      </c>
      <c r="V101" s="18"/>
      <c r="W101" s="12" t="s">
        <v>272</v>
      </c>
      <c r="X101" s="25"/>
      <c r="Y101" s="13"/>
      <c r="Z101" s="38" t="s">
        <v>271</v>
      </c>
      <c r="AA101" s="13" t="s">
        <v>254</v>
      </c>
      <c r="AB101" s="13"/>
      <c r="AC101" s="13"/>
    </row>
    <row r="102" spans="2:29" ht="10.25" customHeight="1" x14ac:dyDescent="0.55000000000000004">
      <c r="B102" s="15" t="s">
        <v>189</v>
      </c>
      <c r="C102" s="65">
        <v>93</v>
      </c>
      <c r="D102" s="15" t="s">
        <v>189</v>
      </c>
      <c r="E102" s="14" t="s">
        <v>995</v>
      </c>
      <c r="F102" s="14" t="s">
        <v>996</v>
      </c>
      <c r="G102" s="14" t="s">
        <v>997</v>
      </c>
      <c r="H102" s="14" t="s">
        <v>998</v>
      </c>
      <c r="I102" s="14" t="s">
        <v>999</v>
      </c>
      <c r="J102" s="12" t="s">
        <v>272</v>
      </c>
      <c r="K102" s="12" t="s">
        <v>272</v>
      </c>
      <c r="L102" s="12" t="s">
        <v>272</v>
      </c>
      <c r="M102" s="14" t="s">
        <v>1000</v>
      </c>
      <c r="N102" s="12" t="s">
        <v>272</v>
      </c>
      <c r="O102" s="12" t="s">
        <v>272</v>
      </c>
      <c r="P102" s="12" t="s">
        <v>272</v>
      </c>
      <c r="Q102" s="12" t="s">
        <v>272</v>
      </c>
      <c r="R102" s="12" t="s">
        <v>272</v>
      </c>
      <c r="S102" s="12" t="s">
        <v>272</v>
      </c>
      <c r="T102" s="12" t="s">
        <v>272</v>
      </c>
      <c r="U102" s="12" t="s">
        <v>272</v>
      </c>
      <c r="V102" s="18"/>
      <c r="W102" s="12" t="s">
        <v>272</v>
      </c>
      <c r="X102" s="25"/>
      <c r="Y102" s="13"/>
      <c r="Z102" s="38" t="s">
        <v>271</v>
      </c>
      <c r="AA102" s="13" t="s">
        <v>254</v>
      </c>
      <c r="AB102" s="13"/>
      <c r="AC102" s="13"/>
    </row>
    <row r="103" spans="2:29" ht="10.25" customHeight="1" x14ac:dyDescent="0.55000000000000004">
      <c r="B103" s="15" t="s">
        <v>190</v>
      </c>
      <c r="C103" s="65">
        <v>94</v>
      </c>
      <c r="D103" s="15" t="s">
        <v>190</v>
      </c>
      <c r="E103" s="14" t="s">
        <v>1001</v>
      </c>
      <c r="F103" s="14" t="s">
        <v>1002</v>
      </c>
      <c r="G103" s="14" t="s">
        <v>1003</v>
      </c>
      <c r="H103" s="14" t="s">
        <v>1004</v>
      </c>
      <c r="I103" s="14" t="s">
        <v>1005</v>
      </c>
      <c r="J103" s="12" t="s">
        <v>272</v>
      </c>
      <c r="K103" s="12" t="s">
        <v>272</v>
      </c>
      <c r="L103" s="12" t="s">
        <v>272</v>
      </c>
      <c r="M103" s="14" t="s">
        <v>1006</v>
      </c>
      <c r="N103" s="12" t="s">
        <v>272</v>
      </c>
      <c r="O103" s="12" t="s">
        <v>272</v>
      </c>
      <c r="P103" s="12" t="s">
        <v>272</v>
      </c>
      <c r="Q103" s="12" t="s">
        <v>272</v>
      </c>
      <c r="R103" s="12" t="s">
        <v>272</v>
      </c>
      <c r="S103" s="12" t="s">
        <v>272</v>
      </c>
      <c r="T103" s="12" t="s">
        <v>272</v>
      </c>
      <c r="U103" s="12" t="s">
        <v>272</v>
      </c>
      <c r="V103" s="18"/>
      <c r="W103" s="12" t="s">
        <v>272</v>
      </c>
      <c r="X103" s="25"/>
      <c r="Y103" s="13"/>
      <c r="Z103" s="38" t="s">
        <v>271</v>
      </c>
      <c r="AA103" s="13" t="s">
        <v>254</v>
      </c>
      <c r="AB103" s="13"/>
      <c r="AC103" s="13"/>
    </row>
    <row r="104" spans="2:29" ht="10.25" customHeight="1" x14ac:dyDescent="0.55000000000000004">
      <c r="B104" s="15" t="s">
        <v>192</v>
      </c>
      <c r="C104" s="65">
        <v>95</v>
      </c>
      <c r="D104" s="15" t="s">
        <v>192</v>
      </c>
      <c r="E104" s="14" t="s">
        <v>995</v>
      </c>
      <c r="F104" s="14" t="s">
        <v>1007</v>
      </c>
      <c r="G104" s="14" t="s">
        <v>997</v>
      </c>
      <c r="H104" s="14" t="s">
        <v>1008</v>
      </c>
      <c r="I104" s="12" t="s">
        <v>272</v>
      </c>
      <c r="J104" s="12" t="s">
        <v>272</v>
      </c>
      <c r="K104" s="12" t="s">
        <v>272</v>
      </c>
      <c r="L104" s="12" t="s">
        <v>272</v>
      </c>
      <c r="M104" s="12" t="s">
        <v>272</v>
      </c>
      <c r="N104" s="14" t="s">
        <v>193</v>
      </c>
      <c r="O104" s="12" t="s">
        <v>272</v>
      </c>
      <c r="P104" s="12" t="s">
        <v>272</v>
      </c>
      <c r="Q104" s="12" t="s">
        <v>272</v>
      </c>
      <c r="R104" s="12" t="s">
        <v>272</v>
      </c>
      <c r="S104" s="12" t="s">
        <v>272</v>
      </c>
      <c r="T104" s="12" t="s">
        <v>272</v>
      </c>
      <c r="U104" s="12" t="s">
        <v>272</v>
      </c>
      <c r="V104" s="16"/>
      <c r="W104" s="21"/>
      <c r="X104" s="25"/>
      <c r="Y104" s="13"/>
      <c r="Z104" s="38" t="s">
        <v>271</v>
      </c>
      <c r="AA104" s="13" t="s">
        <v>254</v>
      </c>
      <c r="AB104" s="13"/>
      <c r="AC104" s="13"/>
    </row>
    <row r="105" spans="2:29" ht="10.25" customHeight="1" x14ac:dyDescent="0.55000000000000004">
      <c r="B105" s="15" t="s">
        <v>194</v>
      </c>
      <c r="C105" s="65">
        <v>96</v>
      </c>
      <c r="D105" s="15" t="s">
        <v>194</v>
      </c>
      <c r="E105" s="14" t="s">
        <v>989</v>
      </c>
      <c r="F105" s="14" t="s">
        <v>1002</v>
      </c>
      <c r="G105" s="14" t="s">
        <v>991</v>
      </c>
      <c r="H105" s="14" t="s">
        <v>1004</v>
      </c>
      <c r="I105" s="14" t="s">
        <v>1010</v>
      </c>
      <c r="J105" s="14" t="s">
        <v>1011</v>
      </c>
      <c r="K105" s="12" t="s">
        <v>272</v>
      </c>
      <c r="L105" s="14" t="s">
        <v>1012</v>
      </c>
      <c r="M105" s="12" t="s">
        <v>272</v>
      </c>
      <c r="N105" s="14" t="s">
        <v>195</v>
      </c>
      <c r="O105" s="12" t="s">
        <v>272</v>
      </c>
      <c r="P105" s="12" t="s">
        <v>272</v>
      </c>
      <c r="Q105" s="12" t="s">
        <v>272</v>
      </c>
      <c r="R105" s="12" t="s">
        <v>272</v>
      </c>
      <c r="S105" s="12" t="s">
        <v>272</v>
      </c>
      <c r="T105" s="12" t="s">
        <v>272</v>
      </c>
      <c r="U105" s="12" t="s">
        <v>272</v>
      </c>
      <c r="V105" s="16"/>
      <c r="W105" s="21"/>
      <c r="X105" s="25" t="str">
        <f>_xlfn.IFS(AND(COUNTIF(V105,"SCB*")=1, 'PCH144'!G60&gt;=2), "See the Notice *2", TRUE, "")</f>
        <v/>
      </c>
      <c r="Y105" s="13"/>
      <c r="Z105" s="38" t="s">
        <v>271</v>
      </c>
      <c r="AA105" s="13" t="s">
        <v>254</v>
      </c>
      <c r="AB105" s="13"/>
      <c r="AC105" s="13"/>
    </row>
    <row r="106" spans="2:29" ht="10.25" customHeight="1" x14ac:dyDescent="0.55000000000000004">
      <c r="B106" s="15" t="s">
        <v>196</v>
      </c>
      <c r="C106" s="65">
        <v>97</v>
      </c>
      <c r="D106" s="15" t="s">
        <v>196</v>
      </c>
      <c r="E106" s="14" t="s">
        <v>985</v>
      </c>
      <c r="F106" s="14" t="s">
        <v>996</v>
      </c>
      <c r="G106" s="14" t="s">
        <v>987</v>
      </c>
      <c r="H106" s="14" t="s">
        <v>998</v>
      </c>
      <c r="I106" s="14" t="s">
        <v>1013</v>
      </c>
      <c r="J106" s="14" t="s">
        <v>1014</v>
      </c>
      <c r="K106" s="14" t="s">
        <v>1015</v>
      </c>
      <c r="L106" s="14" t="s">
        <v>1016</v>
      </c>
      <c r="M106" s="12" t="s">
        <v>272</v>
      </c>
      <c r="N106" s="12" t="s">
        <v>272</v>
      </c>
      <c r="O106" s="12" t="s">
        <v>272</v>
      </c>
      <c r="P106" s="12" t="s">
        <v>272</v>
      </c>
      <c r="Q106" s="12" t="s">
        <v>272</v>
      </c>
      <c r="R106" s="12" t="s">
        <v>272</v>
      </c>
      <c r="S106" s="12" t="s">
        <v>272</v>
      </c>
      <c r="T106" s="12" t="s">
        <v>272</v>
      </c>
      <c r="U106" s="12" t="s">
        <v>272</v>
      </c>
      <c r="V106" s="16"/>
      <c r="W106" s="21"/>
      <c r="X106" s="25" t="str">
        <f>_xlfn.IFS(AND(COUNTIF(V106,"SCB*")=1, 'PCH144'!G60&gt;=2), "See the Notice *2", TRUE, "")</f>
        <v/>
      </c>
      <c r="Y106" s="13"/>
      <c r="Z106" s="38" t="s">
        <v>271</v>
      </c>
      <c r="AA106" s="13" t="s">
        <v>254</v>
      </c>
      <c r="AB106" s="13"/>
      <c r="AC106" s="13"/>
    </row>
    <row r="107" spans="2:29" ht="10.25" customHeight="1" x14ac:dyDescent="0.55000000000000004">
      <c r="B107" s="15" t="s">
        <v>197</v>
      </c>
      <c r="C107" s="65">
        <v>98</v>
      </c>
      <c r="D107" s="15" t="s">
        <v>197</v>
      </c>
      <c r="E107" s="14" t="s">
        <v>981</v>
      </c>
      <c r="F107" s="14" t="s">
        <v>990</v>
      </c>
      <c r="G107" s="14" t="s">
        <v>983</v>
      </c>
      <c r="H107" s="14" t="s">
        <v>992</v>
      </c>
      <c r="I107" s="14" t="s">
        <v>1017</v>
      </c>
      <c r="J107" s="14" t="s">
        <v>1018</v>
      </c>
      <c r="K107" s="14" t="s">
        <v>1019</v>
      </c>
      <c r="L107" s="14" t="s">
        <v>1020</v>
      </c>
      <c r="M107" s="12" t="s">
        <v>272</v>
      </c>
      <c r="N107" s="12" t="s">
        <v>272</v>
      </c>
      <c r="O107" s="12" t="s">
        <v>272</v>
      </c>
      <c r="P107" s="14" t="s">
        <v>198</v>
      </c>
      <c r="Q107" s="12" t="s">
        <v>272</v>
      </c>
      <c r="R107" s="12" t="s">
        <v>272</v>
      </c>
      <c r="S107" s="12" t="s">
        <v>272</v>
      </c>
      <c r="T107" s="12" t="s">
        <v>272</v>
      </c>
      <c r="U107" s="12" t="s">
        <v>272</v>
      </c>
      <c r="V107" s="16"/>
      <c r="W107" s="21"/>
      <c r="X107" s="25" t="str">
        <f>_xlfn.IFS(AND(COUNTIF(V107,"SCB*")=1, 'PCH144'!G60&gt;=2), "See the Notice *2", TRUE, "")</f>
        <v/>
      </c>
      <c r="Y107" s="13"/>
      <c r="Z107" s="38" t="s">
        <v>271</v>
      </c>
      <c r="AA107" s="13" t="s">
        <v>254</v>
      </c>
      <c r="AB107" s="13"/>
      <c r="AC107" s="13"/>
    </row>
    <row r="108" spans="2:29" ht="10.25" customHeight="1" x14ac:dyDescent="0.55000000000000004">
      <c r="B108" s="15" t="s">
        <v>199</v>
      </c>
      <c r="C108" s="65">
        <v>99</v>
      </c>
      <c r="D108" s="15" t="s">
        <v>199</v>
      </c>
      <c r="E108" s="14" t="s">
        <v>976</v>
      </c>
      <c r="F108" s="14" t="s">
        <v>986</v>
      </c>
      <c r="G108" s="14" t="s">
        <v>978</v>
      </c>
      <c r="H108" s="14" t="s">
        <v>988</v>
      </c>
      <c r="I108" s="14" t="s">
        <v>1021</v>
      </c>
      <c r="J108" s="14" t="s">
        <v>1022</v>
      </c>
      <c r="K108" s="14"/>
      <c r="L108" s="14" t="s">
        <v>1023</v>
      </c>
      <c r="M108" s="12" t="s">
        <v>272</v>
      </c>
      <c r="N108" s="12" t="s">
        <v>272</v>
      </c>
      <c r="O108" s="12" t="s">
        <v>272</v>
      </c>
      <c r="P108" s="14" t="s">
        <v>200</v>
      </c>
      <c r="Q108" s="12" t="s">
        <v>272</v>
      </c>
      <c r="R108" s="12" t="s">
        <v>272</v>
      </c>
      <c r="S108" s="12" t="s">
        <v>272</v>
      </c>
      <c r="T108" s="12" t="s">
        <v>272</v>
      </c>
      <c r="U108" s="12" t="s">
        <v>272</v>
      </c>
      <c r="V108" s="16"/>
      <c r="W108" s="21"/>
      <c r="X108" s="25" t="str">
        <f>_xlfn.IFS(AND(COUNTIF(V108,"SCB*")=1, 'PCH144'!G60&gt;=2), "See the Notice *2", TRUE, "")</f>
        <v/>
      </c>
      <c r="Y108" s="13"/>
      <c r="Z108" s="38" t="s">
        <v>271</v>
      </c>
      <c r="AA108" s="13" t="s">
        <v>254</v>
      </c>
      <c r="AB108" s="13"/>
      <c r="AC108" s="13"/>
    </row>
    <row r="109" spans="2:29" ht="10.25" customHeight="1" x14ac:dyDescent="0.55000000000000004">
      <c r="B109" s="15" t="s">
        <v>204</v>
      </c>
      <c r="C109" s="65">
        <v>100</v>
      </c>
      <c r="D109" s="15" t="s">
        <v>204</v>
      </c>
      <c r="E109" s="14" t="s">
        <v>750</v>
      </c>
      <c r="F109" s="14" t="s">
        <v>745</v>
      </c>
      <c r="G109" s="14" t="s">
        <v>752</v>
      </c>
      <c r="H109" s="14" t="s">
        <v>747</v>
      </c>
      <c r="I109" s="14" t="s">
        <v>993</v>
      </c>
      <c r="J109" s="14" t="s">
        <v>1026</v>
      </c>
      <c r="K109" s="12" t="s">
        <v>272</v>
      </c>
      <c r="L109" s="14" t="s">
        <v>1027</v>
      </c>
      <c r="M109" s="12" t="s">
        <v>272</v>
      </c>
      <c r="N109" s="12" t="s">
        <v>272</v>
      </c>
      <c r="O109" s="12" t="s">
        <v>272</v>
      </c>
      <c r="P109" s="12" t="s">
        <v>272</v>
      </c>
      <c r="Q109" s="14" t="s">
        <v>205</v>
      </c>
      <c r="R109" s="12" t="s">
        <v>272</v>
      </c>
      <c r="S109" s="12" t="s">
        <v>272</v>
      </c>
      <c r="T109" s="12" t="s">
        <v>272</v>
      </c>
      <c r="U109" s="14" t="s">
        <v>333</v>
      </c>
      <c r="V109" s="16"/>
      <c r="W109" s="12" t="s">
        <v>272</v>
      </c>
      <c r="X109" s="25" t="str">
        <f>_xlfn.IFS(AND(COUNTIF(V109,"SCB*")=1, 'PCH144'!E60&gt;=2), "See the Notice *2", TRUE, "")</f>
        <v/>
      </c>
      <c r="Y109" s="13"/>
      <c r="Z109" s="38" t="s">
        <v>271</v>
      </c>
      <c r="AA109" s="13" t="s">
        <v>254</v>
      </c>
      <c r="AB109" s="13"/>
      <c r="AC109" s="13"/>
    </row>
    <row r="110" spans="2:29" ht="10.25" customHeight="1" x14ac:dyDescent="0.55000000000000004">
      <c r="B110" s="15" t="s">
        <v>206</v>
      </c>
      <c r="C110" s="65">
        <v>101</v>
      </c>
      <c r="D110" s="15" t="s">
        <v>206</v>
      </c>
      <c r="E110" s="14" t="s">
        <v>759</v>
      </c>
      <c r="F110" s="14" t="s">
        <v>755</v>
      </c>
      <c r="G110" s="14" t="s">
        <v>760</v>
      </c>
      <c r="H110" s="14" t="s">
        <v>756</v>
      </c>
      <c r="I110" s="14" t="s">
        <v>999</v>
      </c>
      <c r="J110" s="14" t="s">
        <v>1028</v>
      </c>
      <c r="K110" s="14" t="s">
        <v>1029</v>
      </c>
      <c r="L110" s="14" t="s">
        <v>1030</v>
      </c>
      <c r="M110" s="12" t="s">
        <v>272</v>
      </c>
      <c r="N110" s="12" t="s">
        <v>272</v>
      </c>
      <c r="O110" s="12" t="s">
        <v>272</v>
      </c>
      <c r="P110" s="12" t="s">
        <v>272</v>
      </c>
      <c r="Q110" s="14" t="s">
        <v>207</v>
      </c>
      <c r="R110" s="12" t="s">
        <v>272</v>
      </c>
      <c r="S110" s="12" t="s">
        <v>272</v>
      </c>
      <c r="T110" s="12" t="s">
        <v>272</v>
      </c>
      <c r="U110" s="14" t="s">
        <v>334</v>
      </c>
      <c r="V110" s="16"/>
      <c r="W110" s="12" t="s">
        <v>272</v>
      </c>
      <c r="X110" s="25" t="str">
        <f>_xlfn.IFS(AND(COUNTIF(V110,"SCB*")=1, 'PCH144'!E60&gt;=2), "See the Notice *2", TRUE, "")</f>
        <v/>
      </c>
      <c r="Y110" s="13"/>
      <c r="Z110" s="38" t="s">
        <v>271</v>
      </c>
      <c r="AA110" s="13" t="s">
        <v>254</v>
      </c>
      <c r="AB110" s="13"/>
      <c r="AC110" s="13"/>
    </row>
    <row r="111" spans="2:29" ht="10.25" customHeight="1" x14ac:dyDescent="0.55000000000000004">
      <c r="B111" s="15" t="s">
        <v>208</v>
      </c>
      <c r="C111" s="65">
        <v>102</v>
      </c>
      <c r="D111" s="15" t="s">
        <v>208</v>
      </c>
      <c r="E111" s="14" t="s">
        <v>967</v>
      </c>
      <c r="F111" s="14" t="s">
        <v>762</v>
      </c>
      <c r="G111" s="14" t="s">
        <v>969</v>
      </c>
      <c r="H111" s="14" t="s">
        <v>763</v>
      </c>
      <c r="I111" s="14" t="s">
        <v>1005</v>
      </c>
      <c r="J111" s="14" t="s">
        <v>1031</v>
      </c>
      <c r="K111" s="14" t="s">
        <v>1032</v>
      </c>
      <c r="L111" s="14" t="s">
        <v>1033</v>
      </c>
      <c r="M111" s="12" t="s">
        <v>272</v>
      </c>
      <c r="N111" s="12" t="s">
        <v>272</v>
      </c>
      <c r="O111" s="12" t="s">
        <v>272</v>
      </c>
      <c r="P111" s="12" t="s">
        <v>272</v>
      </c>
      <c r="Q111" s="12" t="s">
        <v>272</v>
      </c>
      <c r="R111" s="12" t="s">
        <v>272</v>
      </c>
      <c r="S111" s="12" t="s">
        <v>272</v>
      </c>
      <c r="T111" s="12" t="s">
        <v>272</v>
      </c>
      <c r="U111" s="14" t="s">
        <v>335</v>
      </c>
      <c r="V111" s="16"/>
      <c r="W111" s="12" t="s">
        <v>272</v>
      </c>
      <c r="X111" s="25" t="str">
        <f>_xlfn.IFS(AND(COUNTIF(V111,"SCB*")=1, 'PCH144'!E60&gt;=2), "See the Notice *2", TRUE, "")</f>
        <v/>
      </c>
      <c r="Y111" s="13"/>
      <c r="Z111" s="38" t="s">
        <v>271</v>
      </c>
      <c r="AA111" s="13" t="s">
        <v>254</v>
      </c>
      <c r="AB111" s="13"/>
      <c r="AC111" s="13"/>
    </row>
    <row r="112" spans="2:29" ht="10.25" customHeight="1" x14ac:dyDescent="0.55000000000000004">
      <c r="B112" s="15" t="s">
        <v>209</v>
      </c>
      <c r="C112" s="65">
        <v>103</v>
      </c>
      <c r="D112" s="15" t="s">
        <v>209</v>
      </c>
      <c r="E112" s="14" t="s">
        <v>963</v>
      </c>
      <c r="F112" s="14" t="s">
        <v>972</v>
      </c>
      <c r="G112" s="14" t="s">
        <v>965</v>
      </c>
      <c r="H112" s="14" t="s">
        <v>974</v>
      </c>
      <c r="I112" s="14" t="s">
        <v>1009</v>
      </c>
      <c r="J112" s="14" t="s">
        <v>1034</v>
      </c>
      <c r="K112" s="12" t="s">
        <v>272</v>
      </c>
      <c r="L112" s="14" t="s">
        <v>1035</v>
      </c>
      <c r="M112" s="12" t="s">
        <v>272</v>
      </c>
      <c r="N112" s="12" t="s">
        <v>272</v>
      </c>
      <c r="O112" s="12" t="s">
        <v>272</v>
      </c>
      <c r="P112" s="12" t="s">
        <v>272</v>
      </c>
      <c r="Q112" s="14" t="s">
        <v>1036</v>
      </c>
      <c r="R112" s="12" t="s">
        <v>272</v>
      </c>
      <c r="S112" s="12" t="s">
        <v>272</v>
      </c>
      <c r="T112" s="12" t="s">
        <v>272</v>
      </c>
      <c r="U112" s="14" t="s">
        <v>336</v>
      </c>
      <c r="V112" s="16"/>
      <c r="W112" s="12" t="s">
        <v>272</v>
      </c>
      <c r="X112" s="25" t="str">
        <f>_xlfn.IFS(AND(COUNTIF(V112,"SCB*")=1, 'PCH144'!E60&gt;=2), "See the Notice *2", TRUE, "")</f>
        <v/>
      </c>
      <c r="Y112" s="13"/>
      <c r="Z112" s="38" t="s">
        <v>271</v>
      </c>
      <c r="AA112" s="13" t="s">
        <v>254</v>
      </c>
      <c r="AB112" s="13"/>
      <c r="AC112" s="13"/>
    </row>
    <row r="113" spans="2:29" ht="10.25" customHeight="1" x14ac:dyDescent="0.55000000000000004">
      <c r="B113" s="15" t="s">
        <v>210</v>
      </c>
      <c r="C113" s="65">
        <v>104</v>
      </c>
      <c r="D113" s="15" t="s">
        <v>210</v>
      </c>
      <c r="E113" s="14" t="s">
        <v>958</v>
      </c>
      <c r="F113" s="14" t="s">
        <v>968</v>
      </c>
      <c r="G113" s="14" t="s">
        <v>960</v>
      </c>
      <c r="H113" s="14" t="s">
        <v>970</v>
      </c>
      <c r="I113" s="14" t="s">
        <v>1010</v>
      </c>
      <c r="J113" s="12" t="s">
        <v>272</v>
      </c>
      <c r="K113" s="12" t="s">
        <v>272</v>
      </c>
      <c r="L113" s="14" t="s">
        <v>1037</v>
      </c>
      <c r="M113" s="12" t="s">
        <v>272</v>
      </c>
      <c r="N113" s="12" t="s">
        <v>272</v>
      </c>
      <c r="O113" s="12" t="s">
        <v>272</v>
      </c>
      <c r="P113" s="12" t="s">
        <v>272</v>
      </c>
      <c r="Q113" s="14" t="s">
        <v>1038</v>
      </c>
      <c r="R113" s="12" t="s">
        <v>272</v>
      </c>
      <c r="S113" s="12" t="s">
        <v>272</v>
      </c>
      <c r="T113" s="12" t="s">
        <v>272</v>
      </c>
      <c r="U113" s="14" t="s">
        <v>337</v>
      </c>
      <c r="V113" s="16"/>
      <c r="W113" s="12" t="s">
        <v>272</v>
      </c>
      <c r="X113" s="25" t="str">
        <f>_xlfn.IFS(AND(COUNTIF(V113,"SCB*")=1, 'PCH144'!E60&gt;=2), "See the Notice *2", TRUE, "")</f>
        <v/>
      </c>
      <c r="Y113" s="13"/>
      <c r="Z113" s="38" t="s">
        <v>271</v>
      </c>
      <c r="AA113" s="13" t="s">
        <v>254</v>
      </c>
      <c r="AB113" s="13"/>
      <c r="AC113" s="13"/>
    </row>
    <row r="114" spans="2:29" ht="10.25" customHeight="1" x14ac:dyDescent="0.55000000000000004">
      <c r="B114" s="15" t="s">
        <v>211</v>
      </c>
      <c r="C114" s="65">
        <v>105</v>
      </c>
      <c r="D114" s="15" t="s">
        <v>211</v>
      </c>
      <c r="E114" s="14" t="s">
        <v>953</v>
      </c>
      <c r="F114" s="14" t="s">
        <v>964</v>
      </c>
      <c r="G114" s="14" t="s">
        <v>955</v>
      </c>
      <c r="H114" s="14" t="s">
        <v>966</v>
      </c>
      <c r="I114" s="14" t="s">
        <v>1013</v>
      </c>
      <c r="J114" s="12" t="s">
        <v>272</v>
      </c>
      <c r="K114" s="12" t="s">
        <v>272</v>
      </c>
      <c r="L114" s="14" t="s">
        <v>1039</v>
      </c>
      <c r="M114" s="12" t="s">
        <v>272</v>
      </c>
      <c r="N114" s="12" t="s">
        <v>272</v>
      </c>
      <c r="O114" s="12" t="s">
        <v>272</v>
      </c>
      <c r="P114" s="12" t="s">
        <v>272</v>
      </c>
      <c r="Q114" s="14" t="s">
        <v>1040</v>
      </c>
      <c r="R114" s="12" t="s">
        <v>272</v>
      </c>
      <c r="S114" s="12" t="s">
        <v>272</v>
      </c>
      <c r="T114" s="12" t="s">
        <v>272</v>
      </c>
      <c r="U114" s="14" t="s">
        <v>338</v>
      </c>
      <c r="V114" s="16"/>
      <c r="W114" s="12" t="s">
        <v>272</v>
      </c>
      <c r="X114" s="25" t="str">
        <f>_xlfn.IFS(AND(COUNTIF(V114,"SCB*")=1, 'PCH144'!E60&gt;=2), "See the Notice *2", TRUE, "")</f>
        <v/>
      </c>
      <c r="Y114" s="13"/>
      <c r="Z114" s="38" t="s">
        <v>271</v>
      </c>
      <c r="AA114" s="13" t="s">
        <v>254</v>
      </c>
      <c r="AB114" s="13"/>
      <c r="AC114" s="13"/>
    </row>
    <row r="115" spans="2:29" ht="10.25" customHeight="1" x14ac:dyDescent="0.55000000000000004">
      <c r="B115" s="15" t="s">
        <v>212</v>
      </c>
      <c r="C115" s="65">
        <v>106</v>
      </c>
      <c r="D115" s="15" t="s">
        <v>212</v>
      </c>
      <c r="E115" s="14" t="s">
        <v>947</v>
      </c>
      <c r="F115" s="14" t="s">
        <v>959</v>
      </c>
      <c r="G115" s="14" t="s">
        <v>949</v>
      </c>
      <c r="H115" s="14" t="s">
        <v>961</v>
      </c>
      <c r="I115" s="14" t="s">
        <v>1017</v>
      </c>
      <c r="J115" s="12" t="s">
        <v>272</v>
      </c>
      <c r="K115" s="12" t="s">
        <v>272</v>
      </c>
      <c r="L115" s="14" t="s">
        <v>1041</v>
      </c>
      <c r="M115" s="12" t="s">
        <v>272</v>
      </c>
      <c r="N115" s="14" t="s">
        <v>213</v>
      </c>
      <c r="O115" s="12" t="s">
        <v>272</v>
      </c>
      <c r="P115" s="12" t="s">
        <v>272</v>
      </c>
      <c r="Q115" s="14" t="s">
        <v>1042</v>
      </c>
      <c r="R115" s="12" t="s">
        <v>272</v>
      </c>
      <c r="S115" s="12" t="s">
        <v>272</v>
      </c>
      <c r="T115" s="12" t="s">
        <v>272</v>
      </c>
      <c r="U115" s="14" t="s">
        <v>339</v>
      </c>
      <c r="V115" s="16"/>
      <c r="W115" s="12" t="s">
        <v>272</v>
      </c>
      <c r="X115" s="25" t="str">
        <f>_xlfn.IFS(AND(COUNTIF(V115,"SCB*")=1, 'PCH144'!E60&gt;=2), "See the Notice *2", TRUE, "")</f>
        <v/>
      </c>
      <c r="Y115" s="13"/>
      <c r="Z115" s="38" t="s">
        <v>271</v>
      </c>
      <c r="AA115" s="13" t="s">
        <v>254</v>
      </c>
      <c r="AB115" s="13"/>
      <c r="AC115" s="13"/>
    </row>
    <row r="116" spans="2:29" ht="10.25" customHeight="1" x14ac:dyDescent="0.55000000000000004">
      <c r="B116" s="15" t="s">
        <v>214</v>
      </c>
      <c r="C116" s="65">
        <v>107</v>
      </c>
      <c r="D116" s="15" t="s">
        <v>214</v>
      </c>
      <c r="E116" s="14" t="s">
        <v>940</v>
      </c>
      <c r="F116" s="14" t="s">
        <v>954</v>
      </c>
      <c r="G116" s="14" t="s">
        <v>942</v>
      </c>
      <c r="H116" s="14" t="s">
        <v>956</v>
      </c>
      <c r="I116" s="14" t="s">
        <v>1021</v>
      </c>
      <c r="J116" s="12" t="s">
        <v>272</v>
      </c>
      <c r="K116" s="12" t="s">
        <v>272</v>
      </c>
      <c r="L116" s="12" t="s">
        <v>272</v>
      </c>
      <c r="M116" s="12" t="s">
        <v>272</v>
      </c>
      <c r="N116" s="14" t="s">
        <v>215</v>
      </c>
      <c r="O116" s="12" t="s">
        <v>272</v>
      </c>
      <c r="P116" s="12" t="s">
        <v>272</v>
      </c>
      <c r="Q116" s="14" t="s">
        <v>1043</v>
      </c>
      <c r="R116" s="12" t="s">
        <v>272</v>
      </c>
      <c r="S116" s="12" t="s">
        <v>272</v>
      </c>
      <c r="T116" s="12" t="s">
        <v>272</v>
      </c>
      <c r="U116" s="14" t="s">
        <v>340</v>
      </c>
      <c r="V116" s="16"/>
      <c r="W116" s="12" t="s">
        <v>272</v>
      </c>
      <c r="X116" s="25"/>
      <c r="Y116" s="13"/>
      <c r="Z116" s="38" t="s">
        <v>271</v>
      </c>
      <c r="AA116" s="13" t="s">
        <v>254</v>
      </c>
      <c r="AB116" s="13"/>
      <c r="AC116" s="13"/>
    </row>
    <row r="117" spans="2:29" ht="10.25" customHeight="1" x14ac:dyDescent="0.55000000000000004">
      <c r="B117" s="17" t="s">
        <v>254</v>
      </c>
      <c r="C117" s="11">
        <v>108</v>
      </c>
      <c r="D117" s="12" t="s">
        <v>272</v>
      </c>
      <c r="E117" s="12" t="s">
        <v>272</v>
      </c>
      <c r="F117" s="12" t="s">
        <v>272</v>
      </c>
      <c r="G117" s="12" t="s">
        <v>272</v>
      </c>
      <c r="H117" s="12" t="s">
        <v>272</v>
      </c>
      <c r="I117" s="12" t="s">
        <v>272</v>
      </c>
      <c r="J117" s="12" t="s">
        <v>272</v>
      </c>
      <c r="K117" s="12" t="s">
        <v>272</v>
      </c>
      <c r="L117" s="12" t="s">
        <v>272</v>
      </c>
      <c r="M117" s="12" t="s">
        <v>272</v>
      </c>
      <c r="N117" s="12" t="s">
        <v>272</v>
      </c>
      <c r="O117" s="12" t="s">
        <v>272</v>
      </c>
      <c r="P117" s="12" t="s">
        <v>272</v>
      </c>
      <c r="Q117" s="12" t="s">
        <v>272</v>
      </c>
      <c r="R117" s="12" t="s">
        <v>272</v>
      </c>
      <c r="S117" s="12" t="s">
        <v>272</v>
      </c>
      <c r="T117" s="12" t="s">
        <v>272</v>
      </c>
      <c r="U117" s="12" t="s">
        <v>272</v>
      </c>
      <c r="V117" s="17" t="s">
        <v>254</v>
      </c>
      <c r="W117" s="12" t="s">
        <v>272</v>
      </c>
      <c r="X117" s="25"/>
      <c r="Y117" s="13" t="s">
        <v>530</v>
      </c>
      <c r="Z117" s="38" t="s">
        <v>543</v>
      </c>
      <c r="AA117" s="38" t="s">
        <v>543</v>
      </c>
      <c r="AB117" s="13"/>
      <c r="AC117" s="13"/>
    </row>
    <row r="118" spans="2:29" ht="10.25" customHeight="1" x14ac:dyDescent="0.55000000000000004">
      <c r="B118" s="10" t="s">
        <v>253</v>
      </c>
      <c r="C118" s="11">
        <v>109</v>
      </c>
      <c r="D118" s="12" t="s">
        <v>272</v>
      </c>
      <c r="E118" s="12" t="s">
        <v>272</v>
      </c>
      <c r="F118" s="12" t="s">
        <v>272</v>
      </c>
      <c r="G118" s="12" t="s">
        <v>272</v>
      </c>
      <c r="H118" s="12" t="s">
        <v>272</v>
      </c>
      <c r="I118" s="12" t="s">
        <v>272</v>
      </c>
      <c r="J118" s="12" t="s">
        <v>272</v>
      </c>
      <c r="K118" s="12" t="s">
        <v>272</v>
      </c>
      <c r="L118" s="12" t="s">
        <v>272</v>
      </c>
      <c r="M118" s="12" t="s">
        <v>272</v>
      </c>
      <c r="N118" s="12" t="s">
        <v>272</v>
      </c>
      <c r="O118" s="12" t="s">
        <v>272</v>
      </c>
      <c r="P118" s="12" t="s">
        <v>272</v>
      </c>
      <c r="Q118" s="12" t="s">
        <v>272</v>
      </c>
      <c r="R118" s="12" t="s">
        <v>272</v>
      </c>
      <c r="S118" s="12" t="s">
        <v>272</v>
      </c>
      <c r="T118" s="12" t="s">
        <v>272</v>
      </c>
      <c r="U118" s="12" t="s">
        <v>272</v>
      </c>
      <c r="V118" s="10" t="s">
        <v>253</v>
      </c>
      <c r="W118" s="12" t="s">
        <v>272</v>
      </c>
      <c r="X118" s="25"/>
      <c r="Y118" s="13" t="s">
        <v>531</v>
      </c>
      <c r="Z118" s="38" t="s">
        <v>543</v>
      </c>
      <c r="AA118" s="38" t="s">
        <v>543</v>
      </c>
      <c r="AB118" s="13"/>
      <c r="AC118" s="13"/>
    </row>
    <row r="119" spans="2:29" ht="10.25" customHeight="1" x14ac:dyDescent="0.55000000000000004">
      <c r="B119" s="15" t="s">
        <v>216</v>
      </c>
      <c r="C119" s="65">
        <v>110</v>
      </c>
      <c r="D119" s="15" t="s">
        <v>216</v>
      </c>
      <c r="E119" s="14" t="s">
        <v>665</v>
      </c>
      <c r="F119" s="14" t="s">
        <v>948</v>
      </c>
      <c r="G119" s="14" t="s">
        <v>667</v>
      </c>
      <c r="H119" s="14" t="s">
        <v>950</v>
      </c>
      <c r="I119" s="14" t="s">
        <v>1044</v>
      </c>
      <c r="J119" s="14" t="s">
        <v>1045</v>
      </c>
      <c r="K119" s="12" t="s">
        <v>272</v>
      </c>
      <c r="L119" s="14" t="s">
        <v>1046</v>
      </c>
      <c r="M119" s="12" t="s">
        <v>272</v>
      </c>
      <c r="N119" s="14" t="s">
        <v>975</v>
      </c>
      <c r="O119" s="12" t="s">
        <v>272</v>
      </c>
      <c r="P119" s="12" t="s">
        <v>272</v>
      </c>
      <c r="Q119" s="14" t="s">
        <v>217</v>
      </c>
      <c r="R119" s="12" t="s">
        <v>272</v>
      </c>
      <c r="S119" s="12" t="s">
        <v>272</v>
      </c>
      <c r="T119" s="12" t="s">
        <v>272</v>
      </c>
      <c r="U119" s="12" t="s">
        <v>272</v>
      </c>
      <c r="V119" s="16"/>
      <c r="W119" s="12" t="s">
        <v>272</v>
      </c>
      <c r="X119" s="25" t="str">
        <f>_xlfn.IFS(AND(COUNTIF(V119,"SCB*")=1, 'PCH144'!F60&gt;=2), "See the Notice *2", TRUE, "")</f>
        <v/>
      </c>
      <c r="Y119" s="13"/>
      <c r="Z119" s="38" t="s">
        <v>271</v>
      </c>
      <c r="AA119" s="13" t="s">
        <v>254</v>
      </c>
      <c r="AB119" s="13"/>
      <c r="AC119" s="13"/>
    </row>
    <row r="120" spans="2:29" ht="10.25" customHeight="1" x14ac:dyDescent="0.55000000000000004">
      <c r="B120" s="15" t="s">
        <v>218</v>
      </c>
      <c r="C120" s="65">
        <v>111</v>
      </c>
      <c r="D120" s="15" t="s">
        <v>218</v>
      </c>
      <c r="E120" s="14" t="s">
        <v>789</v>
      </c>
      <c r="F120" s="14" t="s">
        <v>674</v>
      </c>
      <c r="G120" s="14" t="s">
        <v>791</v>
      </c>
      <c r="H120" s="14" t="s">
        <v>676</v>
      </c>
      <c r="I120" s="14" t="s">
        <v>1047</v>
      </c>
      <c r="J120" s="14" t="s">
        <v>1048</v>
      </c>
      <c r="K120" s="14" t="s">
        <v>1049</v>
      </c>
      <c r="L120" s="14" t="s">
        <v>1050</v>
      </c>
      <c r="M120" s="12" t="s">
        <v>272</v>
      </c>
      <c r="N120" s="14" t="s">
        <v>980</v>
      </c>
      <c r="O120" s="14" t="s">
        <v>1051</v>
      </c>
      <c r="P120" s="12" t="s">
        <v>272</v>
      </c>
      <c r="Q120" s="14" t="s">
        <v>219</v>
      </c>
      <c r="R120" s="12" t="s">
        <v>272</v>
      </c>
      <c r="S120" s="12" t="s">
        <v>272</v>
      </c>
      <c r="T120" s="12" t="s">
        <v>272</v>
      </c>
      <c r="U120" s="12" t="s">
        <v>272</v>
      </c>
      <c r="V120" s="16"/>
      <c r="W120" s="12" t="s">
        <v>272</v>
      </c>
      <c r="X120" s="25" t="str">
        <f>_xlfn.IFS(AND(COUNTIF(V120,"SCB*")=1, 'PCH144'!F60&gt;=2), "See the Notice *2", TRUE, "")</f>
        <v/>
      </c>
      <c r="Y120" s="13"/>
      <c r="Z120" s="38" t="s">
        <v>271</v>
      </c>
      <c r="AA120" s="13" t="s">
        <v>254</v>
      </c>
      <c r="AB120" s="13"/>
      <c r="AC120" s="13"/>
    </row>
    <row r="121" spans="2:29" ht="10.25" customHeight="1" x14ac:dyDescent="0.55000000000000004">
      <c r="B121" s="15" t="s">
        <v>220</v>
      </c>
      <c r="C121" s="65">
        <v>112</v>
      </c>
      <c r="D121" s="15" t="s">
        <v>220</v>
      </c>
      <c r="E121" s="14" t="s">
        <v>793</v>
      </c>
      <c r="F121" s="14" t="s">
        <v>794</v>
      </c>
      <c r="G121" s="14" t="s">
        <v>795</v>
      </c>
      <c r="H121" s="14" t="s">
        <v>796</v>
      </c>
      <c r="I121" s="14" t="s">
        <v>1052</v>
      </c>
      <c r="J121" s="14" t="s">
        <v>1053</v>
      </c>
      <c r="K121" s="14" t="s">
        <v>1054</v>
      </c>
      <c r="L121" s="14" t="s">
        <v>1055</v>
      </c>
      <c r="M121" s="12" t="s">
        <v>272</v>
      </c>
      <c r="N121" s="12" t="s">
        <v>272</v>
      </c>
      <c r="O121" s="14" t="s">
        <v>1056</v>
      </c>
      <c r="P121" s="14" t="s">
        <v>221</v>
      </c>
      <c r="Q121" s="12" t="s">
        <v>272</v>
      </c>
      <c r="R121" s="12" t="s">
        <v>272</v>
      </c>
      <c r="S121" s="12" t="s">
        <v>272</v>
      </c>
      <c r="T121" s="12" t="s">
        <v>272</v>
      </c>
      <c r="U121" s="12" t="s">
        <v>272</v>
      </c>
      <c r="V121" s="16"/>
      <c r="W121" s="12" t="s">
        <v>272</v>
      </c>
      <c r="X121" s="25" t="str">
        <f>_xlfn.IFS(AND(COUNTIF(V121,"SCB*")=1, 'PCH144'!F60&gt;=2), "See the Notice *2", TRUE, "")</f>
        <v/>
      </c>
      <c r="Y121" s="13"/>
      <c r="Z121" s="38" t="s">
        <v>271</v>
      </c>
      <c r="AA121" s="13" t="s">
        <v>254</v>
      </c>
      <c r="AB121" s="13"/>
      <c r="AC121" s="13"/>
    </row>
    <row r="122" spans="2:29" ht="10.25" customHeight="1" x14ac:dyDescent="0.55000000000000004">
      <c r="B122" s="15" t="s">
        <v>222</v>
      </c>
      <c r="C122" s="65">
        <v>113</v>
      </c>
      <c r="D122" s="15" t="s">
        <v>222</v>
      </c>
      <c r="E122" s="14" t="s">
        <v>797</v>
      </c>
      <c r="F122" s="14" t="s">
        <v>798</v>
      </c>
      <c r="G122" s="14" t="s">
        <v>799</v>
      </c>
      <c r="H122" s="14" t="s">
        <v>800</v>
      </c>
      <c r="I122" s="14" t="s">
        <v>1057</v>
      </c>
      <c r="J122" s="14" t="s">
        <v>1058</v>
      </c>
      <c r="K122" s="12" t="s">
        <v>272</v>
      </c>
      <c r="L122" s="14" t="s">
        <v>1059</v>
      </c>
      <c r="M122" s="12" t="s">
        <v>272</v>
      </c>
      <c r="N122" s="12" t="s">
        <v>272</v>
      </c>
      <c r="O122" s="14" t="s">
        <v>1060</v>
      </c>
      <c r="P122" s="14" t="s">
        <v>223</v>
      </c>
      <c r="Q122" s="12" t="s">
        <v>272</v>
      </c>
      <c r="R122" s="12" t="s">
        <v>272</v>
      </c>
      <c r="S122" s="12" t="s">
        <v>272</v>
      </c>
      <c r="T122" s="12" t="s">
        <v>272</v>
      </c>
      <c r="U122" s="12" t="s">
        <v>272</v>
      </c>
      <c r="V122" s="16"/>
      <c r="W122" s="12" t="s">
        <v>272</v>
      </c>
      <c r="X122" s="25" t="str">
        <f>_xlfn.IFS(AND(COUNTIF(V122,"SCB*")=1, 'PCH144'!F60&gt;=2), "See the Notice *2", TRUE, "")</f>
        <v/>
      </c>
      <c r="Y122" s="13"/>
      <c r="Z122" s="38" t="s">
        <v>271</v>
      </c>
      <c r="AA122" s="13" t="s">
        <v>254</v>
      </c>
      <c r="AB122" s="13"/>
      <c r="AC122" s="13"/>
    </row>
    <row r="123" spans="2:29" ht="10.25" customHeight="1" x14ac:dyDescent="0.55000000000000004">
      <c r="B123" s="15" t="s">
        <v>224</v>
      </c>
      <c r="C123" s="65">
        <v>114</v>
      </c>
      <c r="D123" s="15" t="s">
        <v>224</v>
      </c>
      <c r="E123" s="14" t="s">
        <v>803</v>
      </c>
      <c r="F123" s="14" t="s">
        <v>804</v>
      </c>
      <c r="G123" s="14" t="s">
        <v>805</v>
      </c>
      <c r="H123" s="14" t="s">
        <v>806</v>
      </c>
      <c r="I123" s="14" t="s">
        <v>1061</v>
      </c>
      <c r="J123" s="12" t="s">
        <v>272</v>
      </c>
      <c r="K123" s="12" t="s">
        <v>272</v>
      </c>
      <c r="L123" s="14" t="s">
        <v>1062</v>
      </c>
      <c r="M123" s="12" t="s">
        <v>272</v>
      </c>
      <c r="N123" s="12" t="s">
        <v>272</v>
      </c>
      <c r="O123" s="12" t="s">
        <v>272</v>
      </c>
      <c r="P123" s="12" t="s">
        <v>272</v>
      </c>
      <c r="Q123" s="12" t="s">
        <v>272</v>
      </c>
      <c r="R123" s="12" t="s">
        <v>272</v>
      </c>
      <c r="S123" s="12" t="s">
        <v>272</v>
      </c>
      <c r="T123" s="12" t="s">
        <v>272</v>
      </c>
      <c r="U123" s="12" t="s">
        <v>272</v>
      </c>
      <c r="V123" s="16"/>
      <c r="W123" s="12" t="s">
        <v>272</v>
      </c>
      <c r="X123" s="25" t="str">
        <f>_xlfn.IFS(AND(COUNTIF(V123,"SCB*")=1, 'PCH144'!F60&gt;=2), "See the Notice *2", TRUE, "")</f>
        <v/>
      </c>
      <c r="Y123" s="13"/>
      <c r="Z123" s="38" t="s">
        <v>271</v>
      </c>
      <c r="AA123" s="13" t="s">
        <v>254</v>
      </c>
      <c r="AB123" s="13"/>
      <c r="AC123" s="13"/>
    </row>
    <row r="124" spans="2:29" ht="10.25" customHeight="1" x14ac:dyDescent="0.55000000000000004">
      <c r="B124" s="15" t="s">
        <v>225</v>
      </c>
      <c r="C124" s="65">
        <v>115</v>
      </c>
      <c r="D124" s="15" t="s">
        <v>225</v>
      </c>
      <c r="E124" s="14" t="s">
        <v>810</v>
      </c>
      <c r="F124" s="14" t="s">
        <v>811</v>
      </c>
      <c r="G124" s="14" t="s">
        <v>812</v>
      </c>
      <c r="H124" s="14" t="s">
        <v>813</v>
      </c>
      <c r="I124" s="14" t="s">
        <v>1063</v>
      </c>
      <c r="J124" s="12" t="s">
        <v>272</v>
      </c>
      <c r="K124" s="12" t="s">
        <v>272</v>
      </c>
      <c r="L124" s="14" t="s">
        <v>1064</v>
      </c>
      <c r="M124" s="14" t="s">
        <v>50</v>
      </c>
      <c r="N124" s="12" t="s">
        <v>272</v>
      </c>
      <c r="O124" s="12" t="s">
        <v>272</v>
      </c>
      <c r="P124" s="12" t="s">
        <v>272</v>
      </c>
      <c r="Q124" s="12" t="s">
        <v>272</v>
      </c>
      <c r="R124" s="12" t="s">
        <v>272</v>
      </c>
      <c r="S124" s="12" t="s">
        <v>272</v>
      </c>
      <c r="T124" s="12" t="s">
        <v>272</v>
      </c>
      <c r="U124" s="12" t="s">
        <v>272</v>
      </c>
      <c r="V124" s="16"/>
      <c r="W124" s="12" t="s">
        <v>272</v>
      </c>
      <c r="X124" s="25" t="str">
        <f>_xlfn.IFS(AND(COUNTIF(V124,"SCB*")=1, 'PCH144'!F60&gt;=2), "See the Notice *2", TRUE, "")</f>
        <v/>
      </c>
      <c r="Y124" s="13"/>
      <c r="Z124" s="38" t="s">
        <v>271</v>
      </c>
      <c r="AA124" s="13" t="s">
        <v>254</v>
      </c>
      <c r="AB124" s="13"/>
      <c r="AC124" s="13"/>
    </row>
    <row r="125" spans="2:29" ht="10.25" customHeight="1" x14ac:dyDescent="0.55000000000000004">
      <c r="B125" s="15" t="s">
        <v>226</v>
      </c>
      <c r="C125" s="65">
        <v>116</v>
      </c>
      <c r="D125" s="15" t="s">
        <v>226</v>
      </c>
      <c r="E125" s="14" t="s">
        <v>933</v>
      </c>
      <c r="F125" s="14" t="s">
        <v>819</v>
      </c>
      <c r="G125" s="14" t="s">
        <v>935</v>
      </c>
      <c r="H125" s="14" t="s">
        <v>821</v>
      </c>
      <c r="I125" s="14" t="s">
        <v>1065</v>
      </c>
      <c r="J125" s="12" t="s">
        <v>272</v>
      </c>
      <c r="K125" s="12" t="s">
        <v>272</v>
      </c>
      <c r="L125" s="12" t="s">
        <v>272</v>
      </c>
      <c r="M125" s="14" t="s">
        <v>53</v>
      </c>
      <c r="N125" s="12" t="s">
        <v>272</v>
      </c>
      <c r="O125" s="12" t="s">
        <v>272</v>
      </c>
      <c r="P125" s="12" t="s">
        <v>272</v>
      </c>
      <c r="Q125" s="12" t="s">
        <v>272</v>
      </c>
      <c r="R125" s="12" t="s">
        <v>272</v>
      </c>
      <c r="S125" s="12" t="s">
        <v>272</v>
      </c>
      <c r="T125" s="12" t="s">
        <v>272</v>
      </c>
      <c r="U125" s="12" t="s">
        <v>272</v>
      </c>
      <c r="V125" s="16"/>
      <c r="W125" s="12" t="s">
        <v>272</v>
      </c>
      <c r="X125" s="25"/>
      <c r="Y125" s="13"/>
      <c r="Z125" s="38" t="s">
        <v>271</v>
      </c>
      <c r="AA125" s="13" t="s">
        <v>254</v>
      </c>
      <c r="AB125" s="13"/>
      <c r="AC125" s="13"/>
    </row>
    <row r="126" spans="2:29" ht="10.25" customHeight="1" x14ac:dyDescent="0.55000000000000004">
      <c r="B126" s="15" t="s">
        <v>227</v>
      </c>
      <c r="C126" s="65">
        <v>117</v>
      </c>
      <c r="D126" s="15" t="s">
        <v>227</v>
      </c>
      <c r="E126" s="14" t="s">
        <v>927</v>
      </c>
      <c r="F126" s="14" t="s">
        <v>941</v>
      </c>
      <c r="G126" s="14" t="s">
        <v>929</v>
      </c>
      <c r="H126" s="14" t="s">
        <v>943</v>
      </c>
      <c r="I126" s="14" t="s">
        <v>1066</v>
      </c>
      <c r="J126" s="12" t="s">
        <v>272</v>
      </c>
      <c r="K126" s="12" t="s">
        <v>272</v>
      </c>
      <c r="L126" s="12" t="s">
        <v>272</v>
      </c>
      <c r="M126" s="14" t="s">
        <v>56</v>
      </c>
      <c r="N126" s="12" t="s">
        <v>272</v>
      </c>
      <c r="O126" s="12" t="s">
        <v>272</v>
      </c>
      <c r="P126" s="12" t="s">
        <v>272</v>
      </c>
      <c r="Q126" s="12" t="s">
        <v>272</v>
      </c>
      <c r="R126" s="12" t="s">
        <v>272</v>
      </c>
      <c r="S126" s="12" t="s">
        <v>272</v>
      </c>
      <c r="T126" s="12" t="s">
        <v>272</v>
      </c>
      <c r="U126" s="12" t="s">
        <v>272</v>
      </c>
      <c r="V126" s="16"/>
      <c r="W126" s="12" t="s">
        <v>272</v>
      </c>
      <c r="X126" s="25"/>
      <c r="Y126" s="13"/>
      <c r="Z126" s="38" t="s">
        <v>271</v>
      </c>
      <c r="AA126" s="13" t="s">
        <v>254</v>
      </c>
      <c r="AB126" s="13"/>
      <c r="AC126" s="13"/>
    </row>
    <row r="127" spans="2:29" ht="10.25" customHeight="1" x14ac:dyDescent="0.55000000000000004">
      <c r="B127" s="15" t="s">
        <v>228</v>
      </c>
      <c r="C127" s="65">
        <v>118</v>
      </c>
      <c r="D127" s="15" t="s">
        <v>228</v>
      </c>
      <c r="E127" s="14" t="s">
        <v>922</v>
      </c>
      <c r="F127" s="14" t="s">
        <v>934</v>
      </c>
      <c r="G127" s="14" t="s">
        <v>924</v>
      </c>
      <c r="H127" s="14" t="s">
        <v>936</v>
      </c>
      <c r="I127" s="12" t="s">
        <v>272</v>
      </c>
      <c r="J127" s="14" t="s">
        <v>1067</v>
      </c>
      <c r="K127" s="12" t="s">
        <v>272</v>
      </c>
      <c r="L127" s="14" t="s">
        <v>1068</v>
      </c>
      <c r="M127" s="12" t="s">
        <v>272</v>
      </c>
      <c r="N127" s="14" t="s">
        <v>213</v>
      </c>
      <c r="O127" s="12" t="s">
        <v>272</v>
      </c>
      <c r="P127" s="12" t="s">
        <v>272</v>
      </c>
      <c r="Q127" s="12" t="s">
        <v>272</v>
      </c>
      <c r="R127" s="12" t="s">
        <v>272</v>
      </c>
      <c r="S127" s="12" t="s">
        <v>272</v>
      </c>
      <c r="T127" s="12" t="s">
        <v>272</v>
      </c>
      <c r="U127" s="12" t="s">
        <v>272</v>
      </c>
      <c r="V127" s="16"/>
      <c r="W127" s="12" t="s">
        <v>272</v>
      </c>
      <c r="X127" s="25" t="str">
        <f>_xlfn.IFS(AND(COUNTIF(V127,"SCB*")=1, 'PCH144'!E60&gt;=2), "See the Notice *2", TRUE, "")</f>
        <v/>
      </c>
      <c r="Y127" s="13"/>
      <c r="Z127" s="38" t="s">
        <v>271</v>
      </c>
      <c r="AA127" s="13" t="s">
        <v>254</v>
      </c>
      <c r="AB127" s="13"/>
      <c r="AC127" s="13"/>
    </row>
    <row r="128" spans="2:29" ht="10.25" customHeight="1" x14ac:dyDescent="0.55000000000000004">
      <c r="B128" s="15" t="s">
        <v>1172</v>
      </c>
      <c r="C128" s="65">
        <v>119</v>
      </c>
      <c r="D128" s="15" t="s">
        <v>1169</v>
      </c>
      <c r="E128" s="14" t="s">
        <v>868</v>
      </c>
      <c r="F128" s="14" t="s">
        <v>877</v>
      </c>
      <c r="G128" s="14" t="s">
        <v>870</v>
      </c>
      <c r="H128" s="14" t="s">
        <v>879</v>
      </c>
      <c r="I128" s="12" t="s">
        <v>272</v>
      </c>
      <c r="J128" s="12" t="s">
        <v>272</v>
      </c>
      <c r="K128" s="12" t="s">
        <v>272</v>
      </c>
      <c r="L128" s="14" t="s">
        <v>1078</v>
      </c>
      <c r="M128" s="12" t="s">
        <v>272</v>
      </c>
      <c r="N128" s="12" t="s">
        <v>272</v>
      </c>
      <c r="O128" s="12" t="s">
        <v>272</v>
      </c>
      <c r="P128" s="12" t="s">
        <v>272</v>
      </c>
      <c r="Q128" s="12" t="s">
        <v>272</v>
      </c>
      <c r="R128" s="12" t="s">
        <v>272</v>
      </c>
      <c r="S128" s="12" t="s">
        <v>272</v>
      </c>
      <c r="T128" s="12" t="s">
        <v>272</v>
      </c>
      <c r="U128" s="14" t="s">
        <v>1179</v>
      </c>
      <c r="V128" s="16"/>
      <c r="W128" s="12" t="s">
        <v>272</v>
      </c>
      <c r="X128" s="25" t="str">
        <f>_xlfn.IFS(AND(COUNTIF(V128,"SCB*")=1, 'PCH144'!E60&gt;=2), "See the Notice *2", TRUE, "")</f>
        <v/>
      </c>
      <c r="Y128" s="13"/>
      <c r="Z128" s="38" t="s">
        <v>271</v>
      </c>
      <c r="AA128" s="13" t="s">
        <v>254</v>
      </c>
      <c r="AB128" s="13"/>
      <c r="AC128" s="13"/>
    </row>
    <row r="129" spans="2:29" ht="10.25" customHeight="1" x14ac:dyDescent="0.55000000000000004">
      <c r="B129" s="15" t="s">
        <v>1173</v>
      </c>
      <c r="C129" s="65">
        <v>120</v>
      </c>
      <c r="D129" s="15" t="s">
        <v>1168</v>
      </c>
      <c r="E129" s="14" t="s">
        <v>864</v>
      </c>
      <c r="F129" s="14" t="s">
        <v>873</v>
      </c>
      <c r="G129" s="14" t="s">
        <v>866</v>
      </c>
      <c r="H129" s="14" t="s">
        <v>875</v>
      </c>
      <c r="I129" s="12" t="s">
        <v>272</v>
      </c>
      <c r="J129" s="12" t="s">
        <v>272</v>
      </c>
      <c r="K129" s="12" t="s">
        <v>272</v>
      </c>
      <c r="L129" s="12" t="s">
        <v>272</v>
      </c>
      <c r="M129" s="12" t="s">
        <v>272</v>
      </c>
      <c r="N129" s="12" t="s">
        <v>272</v>
      </c>
      <c r="O129" s="12" t="s">
        <v>272</v>
      </c>
      <c r="P129" s="12" t="s">
        <v>272</v>
      </c>
      <c r="Q129" s="12" t="s">
        <v>272</v>
      </c>
      <c r="R129" s="12" t="s">
        <v>272</v>
      </c>
      <c r="S129" s="12" t="s">
        <v>272</v>
      </c>
      <c r="T129" s="12" t="s">
        <v>272</v>
      </c>
      <c r="U129" s="14" t="s">
        <v>1180</v>
      </c>
      <c r="V129" s="16"/>
      <c r="W129" s="12" t="s">
        <v>272</v>
      </c>
      <c r="X129" s="25"/>
      <c r="Y129" s="13"/>
      <c r="Z129" s="38" t="s">
        <v>271</v>
      </c>
      <c r="AA129" s="13" t="s">
        <v>254</v>
      </c>
      <c r="AB129" s="13"/>
      <c r="AC129" s="13"/>
    </row>
    <row r="130" spans="2:29" ht="10.25" customHeight="1" x14ac:dyDescent="0.55000000000000004">
      <c r="B130" s="15" t="s">
        <v>1174</v>
      </c>
      <c r="C130" s="65">
        <v>121</v>
      </c>
      <c r="D130" s="15" t="s">
        <v>1167</v>
      </c>
      <c r="E130" s="14" t="s">
        <v>860</v>
      </c>
      <c r="F130" s="14" t="s">
        <v>869</v>
      </c>
      <c r="G130" s="14" t="s">
        <v>862</v>
      </c>
      <c r="H130" s="14" t="s">
        <v>871</v>
      </c>
      <c r="I130" s="12" t="s">
        <v>272</v>
      </c>
      <c r="J130" s="12" t="s">
        <v>272</v>
      </c>
      <c r="K130" s="12" t="s">
        <v>272</v>
      </c>
      <c r="L130" s="12" t="s">
        <v>272</v>
      </c>
      <c r="M130" s="12" t="s">
        <v>272</v>
      </c>
      <c r="N130" s="12" t="s">
        <v>272</v>
      </c>
      <c r="O130" s="12" t="s">
        <v>272</v>
      </c>
      <c r="P130" s="14" t="s">
        <v>233</v>
      </c>
      <c r="Q130" s="14" t="s">
        <v>61</v>
      </c>
      <c r="R130" s="12" t="s">
        <v>272</v>
      </c>
      <c r="S130" s="12" t="s">
        <v>272</v>
      </c>
      <c r="T130" s="12" t="s">
        <v>272</v>
      </c>
      <c r="U130" s="14" t="s">
        <v>1181</v>
      </c>
      <c r="V130" s="16"/>
      <c r="W130" s="12" t="s">
        <v>272</v>
      </c>
      <c r="X130" s="25"/>
      <c r="Y130" s="13"/>
      <c r="Z130" s="38" t="s">
        <v>271</v>
      </c>
      <c r="AA130" s="13" t="s">
        <v>254</v>
      </c>
      <c r="AB130" s="13"/>
      <c r="AC130" s="13"/>
    </row>
    <row r="131" spans="2:29" ht="10.25" customHeight="1" x14ac:dyDescent="0.55000000000000004">
      <c r="B131" s="15" t="s">
        <v>1175</v>
      </c>
      <c r="C131" s="65">
        <v>122</v>
      </c>
      <c r="D131" s="15" t="s">
        <v>1166</v>
      </c>
      <c r="E131" s="14" t="s">
        <v>856</v>
      </c>
      <c r="F131" s="14" t="s">
        <v>865</v>
      </c>
      <c r="G131" s="14" t="s">
        <v>858</v>
      </c>
      <c r="H131" s="14" t="s">
        <v>867</v>
      </c>
      <c r="I131" s="12" t="s">
        <v>272</v>
      </c>
      <c r="J131" s="12" t="s">
        <v>272</v>
      </c>
      <c r="K131" s="12" t="s">
        <v>272</v>
      </c>
      <c r="L131" s="12" t="s">
        <v>272</v>
      </c>
      <c r="M131" s="12" t="s">
        <v>272</v>
      </c>
      <c r="N131" s="12" t="s">
        <v>272</v>
      </c>
      <c r="O131" s="12" t="s">
        <v>272</v>
      </c>
      <c r="P131" s="12" t="s">
        <v>272</v>
      </c>
      <c r="Q131" s="12" t="s">
        <v>272</v>
      </c>
      <c r="R131" s="12" t="s">
        <v>272</v>
      </c>
      <c r="S131" s="12" t="s">
        <v>272</v>
      </c>
      <c r="T131" s="12" t="s">
        <v>272</v>
      </c>
      <c r="U131" s="14" t="s">
        <v>1182</v>
      </c>
      <c r="V131" s="16"/>
      <c r="W131" s="12" t="s">
        <v>272</v>
      </c>
      <c r="X131" s="25"/>
      <c r="Y131" s="13"/>
      <c r="Z131" s="38" t="s">
        <v>271</v>
      </c>
      <c r="AA131" s="13" t="s">
        <v>254</v>
      </c>
      <c r="AB131" s="13"/>
      <c r="AC131" s="13"/>
    </row>
    <row r="132" spans="2:29" ht="10.25" customHeight="1" x14ac:dyDescent="0.55000000000000004">
      <c r="B132" s="22" t="s">
        <v>261</v>
      </c>
      <c r="C132" s="11">
        <v>123</v>
      </c>
      <c r="D132" s="22" t="s">
        <v>261</v>
      </c>
      <c r="E132" s="12" t="s">
        <v>272</v>
      </c>
      <c r="F132" s="12" t="s">
        <v>272</v>
      </c>
      <c r="G132" s="12" t="s">
        <v>272</v>
      </c>
      <c r="H132" s="12" t="s">
        <v>272</v>
      </c>
      <c r="I132" s="12" t="s">
        <v>272</v>
      </c>
      <c r="J132" s="12" t="s">
        <v>272</v>
      </c>
      <c r="K132" s="12" t="s">
        <v>272</v>
      </c>
      <c r="L132" s="12" t="s">
        <v>272</v>
      </c>
      <c r="M132" s="12" t="s">
        <v>272</v>
      </c>
      <c r="N132" s="12" t="s">
        <v>272</v>
      </c>
      <c r="O132" s="12" t="s">
        <v>272</v>
      </c>
      <c r="P132" s="12" t="s">
        <v>272</v>
      </c>
      <c r="Q132" s="12" t="s">
        <v>272</v>
      </c>
      <c r="R132" s="12" t="s">
        <v>272</v>
      </c>
      <c r="S132" s="12" t="s">
        <v>272</v>
      </c>
      <c r="T132" s="12" t="s">
        <v>272</v>
      </c>
      <c r="U132" s="12" t="s">
        <v>272</v>
      </c>
      <c r="V132" s="22" t="s">
        <v>261</v>
      </c>
      <c r="W132" s="12" t="s">
        <v>272</v>
      </c>
      <c r="X132" s="25"/>
      <c r="Y132" s="13" t="s">
        <v>538</v>
      </c>
      <c r="Z132" s="38" t="s">
        <v>543</v>
      </c>
      <c r="AA132" s="38" t="s">
        <v>543</v>
      </c>
      <c r="AB132" s="13"/>
      <c r="AC132" s="13"/>
    </row>
    <row r="133" spans="2:29" ht="10.25" customHeight="1" x14ac:dyDescent="0.55000000000000004">
      <c r="B133" s="17" t="s">
        <v>254</v>
      </c>
      <c r="C133" s="11">
        <v>124</v>
      </c>
      <c r="D133" s="12" t="s">
        <v>272</v>
      </c>
      <c r="E133" s="12" t="s">
        <v>272</v>
      </c>
      <c r="F133" s="12" t="s">
        <v>272</v>
      </c>
      <c r="G133" s="12" t="s">
        <v>272</v>
      </c>
      <c r="H133" s="12" t="s">
        <v>272</v>
      </c>
      <c r="I133" s="12" t="s">
        <v>272</v>
      </c>
      <c r="J133" s="12" t="s">
        <v>272</v>
      </c>
      <c r="K133" s="12" t="s">
        <v>272</v>
      </c>
      <c r="L133" s="12" t="s">
        <v>272</v>
      </c>
      <c r="M133" s="12" t="s">
        <v>272</v>
      </c>
      <c r="N133" s="12" t="s">
        <v>272</v>
      </c>
      <c r="O133" s="12" t="s">
        <v>272</v>
      </c>
      <c r="P133" s="12" t="s">
        <v>272</v>
      </c>
      <c r="Q133" s="12" t="s">
        <v>272</v>
      </c>
      <c r="R133" s="12" t="s">
        <v>272</v>
      </c>
      <c r="S133" s="12" t="s">
        <v>272</v>
      </c>
      <c r="T133" s="12" t="s">
        <v>272</v>
      </c>
      <c r="U133" s="12" t="s">
        <v>272</v>
      </c>
      <c r="V133" s="17" t="s">
        <v>254</v>
      </c>
      <c r="W133" s="12" t="s">
        <v>272</v>
      </c>
      <c r="X133" s="25"/>
      <c r="Y133" s="13" t="s">
        <v>530</v>
      </c>
      <c r="Z133" s="38" t="s">
        <v>543</v>
      </c>
      <c r="AA133" s="38" t="s">
        <v>543</v>
      </c>
      <c r="AB133" s="13"/>
      <c r="AC133" s="13"/>
    </row>
    <row r="134" spans="2:29" ht="10.25" customHeight="1" x14ac:dyDescent="0.55000000000000004">
      <c r="B134" s="10" t="s">
        <v>253</v>
      </c>
      <c r="C134" s="11">
        <v>125</v>
      </c>
      <c r="D134" s="12" t="s">
        <v>272</v>
      </c>
      <c r="E134" s="12" t="s">
        <v>272</v>
      </c>
      <c r="F134" s="12" t="s">
        <v>272</v>
      </c>
      <c r="G134" s="12" t="s">
        <v>272</v>
      </c>
      <c r="H134" s="12" t="s">
        <v>272</v>
      </c>
      <c r="I134" s="12" t="s">
        <v>272</v>
      </c>
      <c r="J134" s="12" t="s">
        <v>272</v>
      </c>
      <c r="K134" s="12" t="s">
        <v>272</v>
      </c>
      <c r="L134" s="12" t="s">
        <v>272</v>
      </c>
      <c r="M134" s="12" t="s">
        <v>272</v>
      </c>
      <c r="N134" s="12" t="s">
        <v>272</v>
      </c>
      <c r="O134" s="12" t="s">
        <v>272</v>
      </c>
      <c r="P134" s="12" t="s">
        <v>272</v>
      </c>
      <c r="Q134" s="12" t="s">
        <v>272</v>
      </c>
      <c r="R134" s="12" t="s">
        <v>272</v>
      </c>
      <c r="S134" s="12" t="s">
        <v>272</v>
      </c>
      <c r="T134" s="12" t="s">
        <v>272</v>
      </c>
      <c r="U134" s="12" t="s">
        <v>272</v>
      </c>
      <c r="V134" s="10" t="s">
        <v>253</v>
      </c>
      <c r="W134" s="12" t="s">
        <v>272</v>
      </c>
      <c r="X134" s="25"/>
      <c r="Y134" s="13" t="s">
        <v>531</v>
      </c>
      <c r="Z134" s="38" t="s">
        <v>543</v>
      </c>
      <c r="AA134" s="38" t="s">
        <v>543</v>
      </c>
      <c r="AB134" s="13"/>
      <c r="AC134" s="13"/>
    </row>
    <row r="135" spans="2:29" ht="10.25" customHeight="1" x14ac:dyDescent="0.55000000000000004">
      <c r="B135" s="10" t="s">
        <v>253</v>
      </c>
      <c r="C135" s="11">
        <v>126</v>
      </c>
      <c r="D135" s="12" t="s">
        <v>272</v>
      </c>
      <c r="E135" s="12" t="s">
        <v>272</v>
      </c>
      <c r="F135" s="12" t="s">
        <v>272</v>
      </c>
      <c r="G135" s="12" t="s">
        <v>272</v>
      </c>
      <c r="H135" s="12" t="s">
        <v>272</v>
      </c>
      <c r="I135" s="12" t="s">
        <v>272</v>
      </c>
      <c r="J135" s="12" t="s">
        <v>272</v>
      </c>
      <c r="K135" s="12" t="s">
        <v>272</v>
      </c>
      <c r="L135" s="12" t="s">
        <v>272</v>
      </c>
      <c r="M135" s="12" t="s">
        <v>272</v>
      </c>
      <c r="N135" s="12" t="s">
        <v>272</v>
      </c>
      <c r="O135" s="12" t="s">
        <v>272</v>
      </c>
      <c r="P135" s="12" t="s">
        <v>272</v>
      </c>
      <c r="Q135" s="12" t="s">
        <v>272</v>
      </c>
      <c r="R135" s="12" t="s">
        <v>272</v>
      </c>
      <c r="S135" s="12" t="s">
        <v>272</v>
      </c>
      <c r="T135" s="12" t="s">
        <v>272</v>
      </c>
      <c r="U135" s="12" t="s">
        <v>272</v>
      </c>
      <c r="V135" s="10" t="s">
        <v>253</v>
      </c>
      <c r="W135" s="12" t="s">
        <v>272</v>
      </c>
      <c r="X135" s="25"/>
      <c r="Y135" s="13" t="s">
        <v>531</v>
      </c>
      <c r="Z135" s="38" t="s">
        <v>543</v>
      </c>
      <c r="AA135" s="38" t="s">
        <v>543</v>
      </c>
      <c r="AB135" s="13"/>
      <c r="AC135" s="13"/>
    </row>
    <row r="136" spans="2:29" ht="10.25" customHeight="1" x14ac:dyDescent="0.55000000000000004">
      <c r="B136" s="17" t="s">
        <v>256</v>
      </c>
      <c r="C136" s="11">
        <v>127</v>
      </c>
      <c r="D136" s="12" t="s">
        <v>272</v>
      </c>
      <c r="E136" s="12" t="s">
        <v>272</v>
      </c>
      <c r="F136" s="12" t="s">
        <v>272</v>
      </c>
      <c r="G136" s="12" t="s">
        <v>272</v>
      </c>
      <c r="H136" s="12" t="s">
        <v>272</v>
      </c>
      <c r="I136" s="12" t="s">
        <v>272</v>
      </c>
      <c r="J136" s="12" t="s">
        <v>272</v>
      </c>
      <c r="K136" s="12" t="s">
        <v>272</v>
      </c>
      <c r="L136" s="12" t="s">
        <v>272</v>
      </c>
      <c r="M136" s="12" t="s">
        <v>272</v>
      </c>
      <c r="N136" s="12" t="s">
        <v>272</v>
      </c>
      <c r="O136" s="12" t="s">
        <v>272</v>
      </c>
      <c r="P136" s="12" t="s">
        <v>272</v>
      </c>
      <c r="Q136" s="12" t="s">
        <v>272</v>
      </c>
      <c r="R136" s="12" t="s">
        <v>272</v>
      </c>
      <c r="S136" s="12" t="s">
        <v>272</v>
      </c>
      <c r="T136" s="12" t="s">
        <v>272</v>
      </c>
      <c r="U136" s="12" t="s">
        <v>272</v>
      </c>
      <c r="V136" s="17" t="s">
        <v>256</v>
      </c>
      <c r="W136" s="12" t="s">
        <v>272</v>
      </c>
      <c r="X136" s="25"/>
      <c r="Y136" s="13" t="s">
        <v>533</v>
      </c>
      <c r="Z136" s="38" t="s">
        <v>543</v>
      </c>
      <c r="AA136" s="38" t="s">
        <v>543</v>
      </c>
      <c r="AB136" s="13"/>
      <c r="AC136" s="13"/>
    </row>
    <row r="137" spans="2:29" ht="10.25" customHeight="1" x14ac:dyDescent="0.55000000000000004">
      <c r="B137" s="15" t="s">
        <v>1170</v>
      </c>
      <c r="C137" s="65">
        <v>128</v>
      </c>
      <c r="D137" s="15" t="s">
        <v>1162</v>
      </c>
      <c r="E137" s="14" t="s">
        <v>848</v>
      </c>
      <c r="F137" s="14" t="s">
        <v>857</v>
      </c>
      <c r="G137" s="14" t="s">
        <v>850</v>
      </c>
      <c r="H137" s="14" t="s">
        <v>859</v>
      </c>
      <c r="I137" s="12" t="s">
        <v>272</v>
      </c>
      <c r="J137" s="12" t="s">
        <v>272</v>
      </c>
      <c r="K137" s="12" t="s">
        <v>272</v>
      </c>
      <c r="L137" s="12" t="s">
        <v>272</v>
      </c>
      <c r="M137" s="14" t="s">
        <v>39</v>
      </c>
      <c r="N137" s="12" t="s">
        <v>272</v>
      </c>
      <c r="O137" s="12" t="s">
        <v>272</v>
      </c>
      <c r="P137" s="12" t="s">
        <v>272</v>
      </c>
      <c r="Q137" s="12" t="s">
        <v>272</v>
      </c>
      <c r="R137" s="12" t="s">
        <v>272</v>
      </c>
      <c r="S137" s="12" t="s">
        <v>272</v>
      </c>
      <c r="T137" s="12" t="s">
        <v>272</v>
      </c>
      <c r="U137" s="12" t="s">
        <v>272</v>
      </c>
      <c r="V137" s="16"/>
      <c r="W137" s="12" t="s">
        <v>272</v>
      </c>
      <c r="X137" s="25"/>
      <c r="Y137" s="13"/>
      <c r="Z137" s="38" t="s">
        <v>271</v>
      </c>
      <c r="AA137" s="13" t="s">
        <v>254</v>
      </c>
      <c r="AB137" s="13"/>
      <c r="AC137" s="13"/>
    </row>
    <row r="138" spans="2:29" ht="10.25" customHeight="1" x14ac:dyDescent="0.55000000000000004">
      <c r="B138" s="15" t="s">
        <v>1171</v>
      </c>
      <c r="C138" s="65">
        <v>129</v>
      </c>
      <c r="D138" s="15" t="s">
        <v>1164</v>
      </c>
      <c r="E138" s="14" t="s">
        <v>844</v>
      </c>
      <c r="F138" s="14" t="s">
        <v>853</v>
      </c>
      <c r="G138" s="14" t="s">
        <v>846</v>
      </c>
      <c r="H138" s="14" t="s">
        <v>855</v>
      </c>
      <c r="I138" s="12" t="s">
        <v>272</v>
      </c>
      <c r="J138" s="12" t="s">
        <v>272</v>
      </c>
      <c r="K138" s="12" t="s">
        <v>272</v>
      </c>
      <c r="L138" s="12" t="s">
        <v>272</v>
      </c>
      <c r="M138" s="14" t="s">
        <v>43</v>
      </c>
      <c r="N138" s="12" t="s">
        <v>272</v>
      </c>
      <c r="O138" s="12" t="s">
        <v>272</v>
      </c>
      <c r="P138" s="12" t="s">
        <v>272</v>
      </c>
      <c r="Q138" s="12" t="s">
        <v>272</v>
      </c>
      <c r="R138" s="12" t="s">
        <v>272</v>
      </c>
      <c r="S138" s="12" t="s">
        <v>272</v>
      </c>
      <c r="T138" s="12" t="s">
        <v>272</v>
      </c>
      <c r="U138" s="12" t="s">
        <v>272</v>
      </c>
      <c r="V138" s="16"/>
      <c r="W138" s="12" t="s">
        <v>272</v>
      </c>
      <c r="X138" s="25"/>
      <c r="Y138" s="13"/>
      <c r="Z138" s="38" t="s">
        <v>271</v>
      </c>
      <c r="AA138" s="13" t="s">
        <v>254</v>
      </c>
      <c r="AB138" s="13"/>
      <c r="AC138" s="13"/>
    </row>
    <row r="139" spans="2:29" ht="10.25" customHeight="1" x14ac:dyDescent="0.55000000000000004">
      <c r="B139" s="15" t="s">
        <v>234</v>
      </c>
      <c r="C139" s="65">
        <v>130</v>
      </c>
      <c r="D139" s="15" t="s">
        <v>547</v>
      </c>
      <c r="E139" s="14" t="s">
        <v>836</v>
      </c>
      <c r="F139" s="14" t="s">
        <v>845</v>
      </c>
      <c r="G139" s="14" t="s">
        <v>838</v>
      </c>
      <c r="H139" s="14" t="s">
        <v>847</v>
      </c>
      <c r="I139" s="12" t="s">
        <v>272</v>
      </c>
      <c r="J139" s="14" t="s">
        <v>1079</v>
      </c>
      <c r="K139" s="12" t="s">
        <v>272</v>
      </c>
      <c r="L139" s="14" t="s">
        <v>1080</v>
      </c>
      <c r="M139" s="12" t="s">
        <v>272</v>
      </c>
      <c r="N139" s="14" t="s">
        <v>193</v>
      </c>
      <c r="O139" s="12" t="s">
        <v>272</v>
      </c>
      <c r="P139" s="12" t="s">
        <v>272</v>
      </c>
      <c r="Q139" s="14" t="s">
        <v>1081</v>
      </c>
      <c r="R139" s="12" t="s">
        <v>272</v>
      </c>
      <c r="S139" s="12" t="s">
        <v>272</v>
      </c>
      <c r="T139" s="12" t="s">
        <v>272</v>
      </c>
      <c r="U139" s="12" t="s">
        <v>272</v>
      </c>
      <c r="V139" s="16"/>
      <c r="W139" s="12" t="s">
        <v>272</v>
      </c>
      <c r="X139" s="25" t="str">
        <f>_xlfn.IFS(AND(COUNTIF(V139,"SCB*")=1, 'PCH144'!J60&gt;=2), "See the Notice *2", TRUE, "")</f>
        <v/>
      </c>
      <c r="Y139" s="13"/>
      <c r="Z139" s="38" t="s">
        <v>271</v>
      </c>
      <c r="AA139" s="13" t="s">
        <v>254</v>
      </c>
      <c r="AB139" s="13"/>
      <c r="AC139" s="13"/>
    </row>
    <row r="140" spans="2:29" ht="10.25" customHeight="1" x14ac:dyDescent="0.55000000000000004">
      <c r="B140" s="15" t="s">
        <v>235</v>
      </c>
      <c r="C140" s="65">
        <v>131</v>
      </c>
      <c r="D140" s="15" t="s">
        <v>235</v>
      </c>
      <c r="E140" s="14" t="s">
        <v>831</v>
      </c>
      <c r="F140" s="14" t="s">
        <v>841</v>
      </c>
      <c r="G140" s="14" t="s">
        <v>833</v>
      </c>
      <c r="H140" s="14" t="s">
        <v>843</v>
      </c>
      <c r="I140" s="12" t="s">
        <v>272</v>
      </c>
      <c r="J140" s="14" t="s">
        <v>1082</v>
      </c>
      <c r="K140" s="14" t="s">
        <v>1083</v>
      </c>
      <c r="L140" s="14" t="s">
        <v>1084</v>
      </c>
      <c r="M140" s="12" t="s">
        <v>272</v>
      </c>
      <c r="N140" s="14" t="s">
        <v>195</v>
      </c>
      <c r="O140" s="12" t="s">
        <v>272</v>
      </c>
      <c r="P140" s="12" t="s">
        <v>272</v>
      </c>
      <c r="Q140" s="14" t="s">
        <v>1085</v>
      </c>
      <c r="R140" s="12" t="s">
        <v>272</v>
      </c>
      <c r="S140" s="12" t="s">
        <v>272</v>
      </c>
      <c r="T140" s="12" t="s">
        <v>272</v>
      </c>
      <c r="U140" s="12" t="s">
        <v>272</v>
      </c>
      <c r="V140" s="16"/>
      <c r="W140" s="12" t="s">
        <v>272</v>
      </c>
      <c r="X140" s="25" t="str">
        <f>_xlfn.IFS(AND(COUNTIF(V140,"SCB*")=1, 'PCH144'!J60&gt;=2), "See the Notice *2", TRUE, "")</f>
        <v/>
      </c>
      <c r="Y140" s="13"/>
      <c r="Z140" s="38" t="s">
        <v>271</v>
      </c>
      <c r="AA140" s="13" t="s">
        <v>254</v>
      </c>
      <c r="AB140" s="13"/>
      <c r="AC140" s="13"/>
    </row>
    <row r="141" spans="2:29" ht="10.25" customHeight="1" x14ac:dyDescent="0.55000000000000004">
      <c r="B141" s="15" t="s">
        <v>236</v>
      </c>
      <c r="C141" s="65">
        <v>132</v>
      </c>
      <c r="D141" s="15" t="s">
        <v>236</v>
      </c>
      <c r="E141" s="14" t="s">
        <v>825</v>
      </c>
      <c r="F141" s="14" t="s">
        <v>837</v>
      </c>
      <c r="G141" s="14" t="s">
        <v>827</v>
      </c>
      <c r="H141" s="14" t="s">
        <v>839</v>
      </c>
      <c r="I141" s="12" t="s">
        <v>272</v>
      </c>
      <c r="J141" s="14" t="s">
        <v>1086</v>
      </c>
      <c r="K141" s="14" t="s">
        <v>1087</v>
      </c>
      <c r="L141" s="14" t="s">
        <v>1088</v>
      </c>
      <c r="M141" s="12" t="s">
        <v>272</v>
      </c>
      <c r="N141" s="12" t="s">
        <v>272</v>
      </c>
      <c r="O141" s="12" t="s">
        <v>272</v>
      </c>
      <c r="P141" s="12" t="s">
        <v>272</v>
      </c>
      <c r="Q141" s="14" t="s">
        <v>1089</v>
      </c>
      <c r="R141" s="12" t="s">
        <v>272</v>
      </c>
      <c r="S141" s="12" t="s">
        <v>272</v>
      </c>
      <c r="T141" s="12" t="s">
        <v>272</v>
      </c>
      <c r="U141" s="12" t="s">
        <v>272</v>
      </c>
      <c r="V141" s="16"/>
      <c r="W141" s="12" t="s">
        <v>272</v>
      </c>
      <c r="X141" s="25" t="str">
        <f>_xlfn.IFS(AND(COUNTIF(V141,"SCB*")=1, 'PCH144'!J60&gt;=2), "See the Notice *2", TRUE, "")</f>
        <v/>
      </c>
      <c r="Y141" s="13"/>
      <c r="Z141" s="38" t="s">
        <v>271</v>
      </c>
      <c r="AA141" s="13" t="s">
        <v>254</v>
      </c>
      <c r="AB141" s="13"/>
      <c r="AC141" s="13"/>
    </row>
    <row r="142" spans="2:29" ht="10.25" customHeight="1" x14ac:dyDescent="0.55000000000000004">
      <c r="B142" s="15" t="s">
        <v>237</v>
      </c>
      <c r="C142" s="65">
        <v>133</v>
      </c>
      <c r="D142" s="15" t="s">
        <v>237</v>
      </c>
      <c r="E142" s="14" t="s">
        <v>818</v>
      </c>
      <c r="F142" s="14" t="s">
        <v>832</v>
      </c>
      <c r="G142" s="14" t="s">
        <v>820</v>
      </c>
      <c r="H142" s="14" t="s">
        <v>834</v>
      </c>
      <c r="I142" s="12" t="s">
        <v>272</v>
      </c>
      <c r="J142" s="14" t="s">
        <v>1090</v>
      </c>
      <c r="K142" s="12" t="s">
        <v>272</v>
      </c>
      <c r="L142" s="14" t="s">
        <v>1091</v>
      </c>
      <c r="M142" s="12" t="s">
        <v>272</v>
      </c>
      <c r="N142" s="12" t="s">
        <v>272</v>
      </c>
      <c r="O142" s="12" t="s">
        <v>272</v>
      </c>
      <c r="P142" s="12" t="s">
        <v>272</v>
      </c>
      <c r="Q142" s="14" t="s">
        <v>1092</v>
      </c>
      <c r="R142" s="12" t="s">
        <v>272</v>
      </c>
      <c r="S142" s="12" t="s">
        <v>272</v>
      </c>
      <c r="T142" s="12" t="s">
        <v>272</v>
      </c>
      <c r="U142" s="12" t="s">
        <v>272</v>
      </c>
      <c r="V142" s="16"/>
      <c r="W142" s="12" t="s">
        <v>272</v>
      </c>
      <c r="X142" s="25" t="str">
        <f>_xlfn.IFS(AND(COUNTIF(V142,"SCB*")=1, 'PCH144'!J60&gt;=2), "See the Notice *2", TRUE, "")</f>
        <v/>
      </c>
      <c r="Y142" s="13"/>
      <c r="Z142" s="38" t="s">
        <v>271</v>
      </c>
      <c r="AA142" s="13" t="s">
        <v>254</v>
      </c>
      <c r="AB142" s="13"/>
      <c r="AC142" s="13"/>
    </row>
    <row r="143" spans="2:29" ht="10.25" customHeight="1" x14ac:dyDescent="0.55000000000000004">
      <c r="B143" s="15" t="s">
        <v>238</v>
      </c>
      <c r="C143" s="65">
        <v>134</v>
      </c>
      <c r="D143" s="15" t="s">
        <v>238</v>
      </c>
      <c r="E143" s="14" t="s">
        <v>810</v>
      </c>
      <c r="F143" s="14" t="s">
        <v>826</v>
      </c>
      <c r="G143" s="14" t="s">
        <v>812</v>
      </c>
      <c r="H143" s="14" t="s">
        <v>828</v>
      </c>
      <c r="I143" s="12" t="s">
        <v>272</v>
      </c>
      <c r="J143" s="12" t="s">
        <v>272</v>
      </c>
      <c r="K143" s="12" t="s">
        <v>272</v>
      </c>
      <c r="L143" s="14" t="s">
        <v>1093</v>
      </c>
      <c r="M143" s="12" t="s">
        <v>272</v>
      </c>
      <c r="N143" s="12" t="s">
        <v>272</v>
      </c>
      <c r="O143" s="12" t="s">
        <v>272</v>
      </c>
      <c r="P143" s="12" t="s">
        <v>272</v>
      </c>
      <c r="Q143" s="14" t="s">
        <v>1094</v>
      </c>
      <c r="R143" s="12" t="s">
        <v>272</v>
      </c>
      <c r="S143" s="12" t="s">
        <v>272</v>
      </c>
      <c r="T143" s="12" t="s">
        <v>272</v>
      </c>
      <c r="U143" s="12" t="s">
        <v>272</v>
      </c>
      <c r="V143" s="16"/>
      <c r="W143" s="12" t="s">
        <v>272</v>
      </c>
      <c r="X143" s="25" t="str">
        <f>_xlfn.IFS(AND(COUNTIF(V143,"SCB*")=1, 'PCH144'!J60&gt;=2), "See the Notice *2", TRUE, "")</f>
        <v/>
      </c>
      <c r="Y143" s="13"/>
      <c r="Z143" s="38" t="s">
        <v>271</v>
      </c>
      <c r="AA143" s="13" t="s">
        <v>254</v>
      </c>
      <c r="AB143" s="13"/>
      <c r="AC143" s="13"/>
    </row>
    <row r="144" spans="2:29" ht="10.25" customHeight="1" x14ac:dyDescent="0.55000000000000004">
      <c r="B144" s="15" t="s">
        <v>239</v>
      </c>
      <c r="C144" s="65">
        <v>135</v>
      </c>
      <c r="D144" s="15" t="s">
        <v>239</v>
      </c>
      <c r="E144" s="14" t="s">
        <v>803</v>
      </c>
      <c r="F144" s="14" t="s">
        <v>819</v>
      </c>
      <c r="G144" s="14" t="s">
        <v>805</v>
      </c>
      <c r="H144" s="14" t="s">
        <v>821</v>
      </c>
      <c r="I144" s="12" t="s">
        <v>272</v>
      </c>
      <c r="J144" s="12" t="s">
        <v>272</v>
      </c>
      <c r="K144" s="12" t="s">
        <v>272</v>
      </c>
      <c r="L144" s="14" t="s">
        <v>1095</v>
      </c>
      <c r="M144" s="14" t="s">
        <v>80</v>
      </c>
      <c r="N144" s="12" t="s">
        <v>272</v>
      </c>
      <c r="O144" s="12" t="s">
        <v>272</v>
      </c>
      <c r="P144" s="12" t="s">
        <v>272</v>
      </c>
      <c r="Q144" s="12" t="s">
        <v>272</v>
      </c>
      <c r="R144" s="12" t="s">
        <v>272</v>
      </c>
      <c r="S144" s="12" t="s">
        <v>272</v>
      </c>
      <c r="T144" s="12" t="s">
        <v>272</v>
      </c>
      <c r="U144" s="12" t="s">
        <v>272</v>
      </c>
      <c r="V144" s="16"/>
      <c r="W144" s="12" t="s">
        <v>272</v>
      </c>
      <c r="X144" s="25" t="str">
        <f>_xlfn.IFS(AND(COUNTIF(V144,"SCB*")=1, 'PCH144'!J60&gt;=2), "See the Notice *2", TRUE, "")</f>
        <v/>
      </c>
      <c r="Y144" s="13"/>
      <c r="Z144" s="38" t="s">
        <v>271</v>
      </c>
      <c r="AA144" s="13" t="s">
        <v>254</v>
      </c>
      <c r="AB144" s="13"/>
      <c r="AC144" s="13"/>
    </row>
    <row r="145" spans="2:29" ht="10.25" customHeight="1" x14ac:dyDescent="0.55000000000000004">
      <c r="B145" s="15" t="s">
        <v>240</v>
      </c>
      <c r="C145" s="65">
        <v>136</v>
      </c>
      <c r="D145" s="15" t="s">
        <v>240</v>
      </c>
      <c r="E145" s="14" t="s">
        <v>797</v>
      </c>
      <c r="F145" s="14" t="s">
        <v>811</v>
      </c>
      <c r="G145" s="14" t="s">
        <v>799</v>
      </c>
      <c r="H145" s="14" t="s">
        <v>813</v>
      </c>
      <c r="I145" s="12" t="s">
        <v>272</v>
      </c>
      <c r="J145" s="12" t="s">
        <v>272</v>
      </c>
      <c r="K145" s="12" t="s">
        <v>272</v>
      </c>
      <c r="L145" s="12" t="s">
        <v>272</v>
      </c>
      <c r="M145" s="14" t="s">
        <v>82</v>
      </c>
      <c r="N145" s="12" t="s">
        <v>272</v>
      </c>
      <c r="O145" s="12" t="s">
        <v>272</v>
      </c>
      <c r="P145" s="12" t="s">
        <v>272</v>
      </c>
      <c r="Q145" s="12" t="s">
        <v>272</v>
      </c>
      <c r="R145" s="12" t="s">
        <v>272</v>
      </c>
      <c r="S145" s="12" t="s">
        <v>272</v>
      </c>
      <c r="T145" s="12" t="s">
        <v>272</v>
      </c>
      <c r="U145" s="12" t="s">
        <v>272</v>
      </c>
      <c r="V145" s="16"/>
      <c r="W145" s="12" t="s">
        <v>272</v>
      </c>
      <c r="X145" s="25"/>
      <c r="Y145" s="13"/>
      <c r="Z145" s="38" t="s">
        <v>271</v>
      </c>
      <c r="AA145" s="13" t="s">
        <v>254</v>
      </c>
      <c r="AB145" s="13"/>
      <c r="AC145" s="13"/>
    </row>
    <row r="146" spans="2:29" ht="10.25" customHeight="1" x14ac:dyDescent="0.55000000000000004">
      <c r="B146" s="15" t="s">
        <v>242</v>
      </c>
      <c r="C146" s="65">
        <v>137</v>
      </c>
      <c r="D146" s="15" t="s">
        <v>242</v>
      </c>
      <c r="E146" s="14" t="s">
        <v>876</v>
      </c>
      <c r="F146" s="14" t="s">
        <v>798</v>
      </c>
      <c r="G146" s="14" t="s">
        <v>878</v>
      </c>
      <c r="H146" s="14" t="s">
        <v>800</v>
      </c>
      <c r="I146" s="12" t="s">
        <v>272</v>
      </c>
      <c r="J146" s="14" t="s">
        <v>1096</v>
      </c>
      <c r="K146" s="12" t="s">
        <v>272</v>
      </c>
      <c r="L146" s="14" t="s">
        <v>1097</v>
      </c>
      <c r="M146" s="12" t="s">
        <v>272</v>
      </c>
      <c r="N146" s="14" t="s">
        <v>173</v>
      </c>
      <c r="O146" s="12" t="s">
        <v>272</v>
      </c>
      <c r="P146" s="12" t="s">
        <v>272</v>
      </c>
      <c r="Q146" s="14" t="s">
        <v>205</v>
      </c>
      <c r="R146" s="12" t="s">
        <v>272</v>
      </c>
      <c r="S146" s="12" t="s">
        <v>272</v>
      </c>
      <c r="T146" s="12" t="s">
        <v>272</v>
      </c>
      <c r="U146" s="12" t="s">
        <v>272</v>
      </c>
      <c r="V146" s="16"/>
      <c r="W146" s="12" t="s">
        <v>272</v>
      </c>
      <c r="X146" s="25" t="str">
        <f>_xlfn.IFS(AND(COUNTIF(V146,"SCB*")=1, 'PCH144'!K60&gt;=2), "See the Notice *2", TRUE, "")</f>
        <v/>
      </c>
      <c r="Y146" s="13"/>
      <c r="Z146" s="38" t="s">
        <v>271</v>
      </c>
      <c r="AA146" s="13" t="s">
        <v>254</v>
      </c>
      <c r="AB146" s="13"/>
      <c r="AC146" s="13"/>
    </row>
    <row r="147" spans="2:29" ht="10.25" customHeight="1" x14ac:dyDescent="0.55000000000000004">
      <c r="B147" s="15" t="s">
        <v>243</v>
      </c>
      <c r="C147" s="65">
        <v>138</v>
      </c>
      <c r="D147" s="15" t="s">
        <v>243</v>
      </c>
      <c r="E147" s="14" t="s">
        <v>891</v>
      </c>
      <c r="F147" s="14" t="s">
        <v>884</v>
      </c>
      <c r="G147" s="14" t="s">
        <v>893</v>
      </c>
      <c r="H147" s="14" t="s">
        <v>886</v>
      </c>
      <c r="I147" s="12" t="s">
        <v>272</v>
      </c>
      <c r="J147" s="14" t="s">
        <v>1098</v>
      </c>
      <c r="K147" s="14" t="s">
        <v>1099</v>
      </c>
      <c r="L147" s="14" t="s">
        <v>1100</v>
      </c>
      <c r="M147" s="12" t="s">
        <v>272</v>
      </c>
      <c r="N147" s="14" t="s">
        <v>175</v>
      </c>
      <c r="O147" s="12" t="s">
        <v>272</v>
      </c>
      <c r="P147" s="12" t="s">
        <v>272</v>
      </c>
      <c r="Q147" s="14" t="s">
        <v>207</v>
      </c>
      <c r="R147" s="12" t="s">
        <v>272</v>
      </c>
      <c r="S147" s="12" t="s">
        <v>272</v>
      </c>
      <c r="T147" s="12" t="s">
        <v>272</v>
      </c>
      <c r="U147" s="12" t="s">
        <v>272</v>
      </c>
      <c r="V147" s="16"/>
      <c r="W147" s="12" t="s">
        <v>272</v>
      </c>
      <c r="X147" s="25" t="str">
        <f>_xlfn.IFS(AND(COUNTIF(V147,"SCB*")=1, 'PCH144'!K60&gt;=2), "See the Notice *2", TRUE, "")</f>
        <v/>
      </c>
      <c r="Y147" s="13"/>
      <c r="Z147" s="38" t="s">
        <v>271</v>
      </c>
      <c r="AA147" s="13" t="s">
        <v>254</v>
      </c>
      <c r="AB147" s="13"/>
      <c r="AC147" s="13"/>
    </row>
    <row r="148" spans="2:29" ht="10.25" customHeight="1" x14ac:dyDescent="0.55000000000000004">
      <c r="B148" s="15" t="s">
        <v>245</v>
      </c>
      <c r="C148" s="65">
        <v>139</v>
      </c>
      <c r="D148" s="15" t="s">
        <v>245</v>
      </c>
      <c r="E148" s="14" t="s">
        <v>916</v>
      </c>
      <c r="F148" s="14" t="s">
        <v>911</v>
      </c>
      <c r="G148" s="14" t="s">
        <v>918</v>
      </c>
      <c r="H148" s="14" t="s">
        <v>913</v>
      </c>
      <c r="I148" s="12" t="s">
        <v>272</v>
      </c>
      <c r="J148" s="14" t="s">
        <v>1104</v>
      </c>
      <c r="K148" s="12" t="s">
        <v>272</v>
      </c>
      <c r="L148" s="14" t="s">
        <v>1105</v>
      </c>
      <c r="M148" s="12" t="s">
        <v>272</v>
      </c>
      <c r="N148" s="12" t="s">
        <v>272</v>
      </c>
      <c r="O148" s="12" t="s">
        <v>272</v>
      </c>
      <c r="P148" s="14" t="s">
        <v>246</v>
      </c>
      <c r="Q148" s="14" t="s">
        <v>219</v>
      </c>
      <c r="R148" s="12" t="s">
        <v>272</v>
      </c>
      <c r="S148" s="12" t="s">
        <v>272</v>
      </c>
      <c r="T148" s="12" t="s">
        <v>272</v>
      </c>
      <c r="U148" s="12" t="s">
        <v>272</v>
      </c>
      <c r="V148" s="16"/>
      <c r="W148" s="12" t="s">
        <v>272</v>
      </c>
      <c r="X148" s="25" t="str">
        <f>_xlfn.IFS(AND(COUNTIF(V148,"SCB*")=1, 'PCH144'!K60&gt;=2), "See the Notice *2", TRUE, "")</f>
        <v/>
      </c>
      <c r="Y148" s="13"/>
      <c r="Z148" s="38" t="s">
        <v>271</v>
      </c>
      <c r="AA148" s="13" t="s">
        <v>254</v>
      </c>
      <c r="AB148" s="13"/>
      <c r="AC148" s="13"/>
    </row>
    <row r="149" spans="2:29" ht="10.25" customHeight="1" x14ac:dyDescent="0.55000000000000004">
      <c r="B149" s="15" t="s">
        <v>247</v>
      </c>
      <c r="C149" s="65">
        <v>140</v>
      </c>
      <c r="D149" s="15" t="s">
        <v>247</v>
      </c>
      <c r="E149" s="14" t="s">
        <v>785</v>
      </c>
      <c r="F149" s="14" t="s">
        <v>923</v>
      </c>
      <c r="G149" s="14" t="s">
        <v>787</v>
      </c>
      <c r="H149" s="14" t="s">
        <v>925</v>
      </c>
      <c r="I149" s="12" t="s">
        <v>272</v>
      </c>
      <c r="J149" s="12" t="s">
        <v>272</v>
      </c>
      <c r="K149" s="12" t="s">
        <v>272</v>
      </c>
      <c r="L149" s="14" t="s">
        <v>1106</v>
      </c>
      <c r="M149" s="12" t="s">
        <v>272</v>
      </c>
      <c r="N149" s="12" t="s">
        <v>272</v>
      </c>
      <c r="O149" s="12" t="s">
        <v>272</v>
      </c>
      <c r="P149" s="14" t="s">
        <v>248</v>
      </c>
      <c r="Q149" s="14" t="s">
        <v>59</v>
      </c>
      <c r="R149" s="12" t="s">
        <v>272</v>
      </c>
      <c r="S149" s="14" t="s">
        <v>342</v>
      </c>
      <c r="T149" s="12" t="s">
        <v>272</v>
      </c>
      <c r="U149" s="12" t="s">
        <v>272</v>
      </c>
      <c r="V149" s="16"/>
      <c r="W149" s="12" t="s">
        <v>272</v>
      </c>
      <c r="X149" s="25" t="str">
        <f>_xlfn.IFS(AND(COUNTIF(V149,"SCB*")=1, 'PCH144'!K60&gt;=2), "See the Notice *2", TRUE, "")</f>
        <v/>
      </c>
      <c r="Y149" s="13"/>
      <c r="Z149" s="38" t="s">
        <v>271</v>
      </c>
      <c r="AA149" s="13" t="s">
        <v>254</v>
      </c>
      <c r="AB149" s="13"/>
      <c r="AC149" s="13"/>
    </row>
    <row r="150" spans="2:29" ht="10.25" customHeight="1" x14ac:dyDescent="0.55000000000000004">
      <c r="B150" s="15" t="s">
        <v>249</v>
      </c>
      <c r="C150" s="65">
        <v>141</v>
      </c>
      <c r="D150" s="15" t="s">
        <v>249</v>
      </c>
      <c r="E150" s="14" t="s">
        <v>781</v>
      </c>
      <c r="F150" s="14" t="s">
        <v>790</v>
      </c>
      <c r="G150" s="14" t="s">
        <v>783</v>
      </c>
      <c r="H150" s="14" t="s">
        <v>792</v>
      </c>
      <c r="I150" s="12" t="s">
        <v>272</v>
      </c>
      <c r="J150" s="12" t="s">
        <v>272</v>
      </c>
      <c r="K150" s="12" t="s">
        <v>272</v>
      </c>
      <c r="L150" s="14" t="s">
        <v>1107</v>
      </c>
      <c r="M150" s="14" t="s">
        <v>1108</v>
      </c>
      <c r="N150" s="12" t="s">
        <v>272</v>
      </c>
      <c r="O150" s="12" t="s">
        <v>272</v>
      </c>
      <c r="P150" s="12" t="s">
        <v>272</v>
      </c>
      <c r="Q150" s="12" t="s">
        <v>272</v>
      </c>
      <c r="R150" s="12" t="s">
        <v>272</v>
      </c>
      <c r="S150" s="14" t="s">
        <v>343</v>
      </c>
      <c r="T150" s="12" t="s">
        <v>272</v>
      </c>
      <c r="U150" s="12" t="s">
        <v>272</v>
      </c>
      <c r="V150" s="16"/>
      <c r="W150" s="12" t="s">
        <v>272</v>
      </c>
      <c r="X150" s="25" t="str">
        <f>_xlfn.IFS(AND(COUNTIF(V150,"SCB*")=1, 'PCH144'!K60&gt;=2), "See the Notice *2", TRUE, "")</f>
        <v/>
      </c>
      <c r="Y150" s="13"/>
      <c r="Z150" s="38" t="s">
        <v>271</v>
      </c>
      <c r="AA150" s="13" t="s">
        <v>254</v>
      </c>
      <c r="AB150" s="13"/>
      <c r="AC150" s="13"/>
    </row>
    <row r="151" spans="2:29" ht="10.25" customHeight="1" x14ac:dyDescent="0.55000000000000004">
      <c r="B151" s="15" t="s">
        <v>250</v>
      </c>
      <c r="C151" s="65">
        <v>142</v>
      </c>
      <c r="D151" s="15" t="s">
        <v>250</v>
      </c>
      <c r="E151" s="14" t="s">
        <v>779</v>
      </c>
      <c r="F151" s="14" t="s">
        <v>786</v>
      </c>
      <c r="G151" s="14" t="s">
        <v>780</v>
      </c>
      <c r="H151" s="14" t="s">
        <v>788</v>
      </c>
      <c r="I151" s="12" t="s">
        <v>272</v>
      </c>
      <c r="J151" s="12" t="s">
        <v>272</v>
      </c>
      <c r="K151" s="12" t="s">
        <v>272</v>
      </c>
      <c r="L151" s="12" t="s">
        <v>272</v>
      </c>
      <c r="M151" s="14" t="s">
        <v>1109</v>
      </c>
      <c r="N151" s="12" t="s">
        <v>272</v>
      </c>
      <c r="O151" s="12" t="s">
        <v>272</v>
      </c>
      <c r="P151" s="12" t="s">
        <v>272</v>
      </c>
      <c r="Q151" s="12" t="s">
        <v>272</v>
      </c>
      <c r="R151" s="12" t="s">
        <v>272</v>
      </c>
      <c r="S151" s="14" t="s">
        <v>344</v>
      </c>
      <c r="T151" s="12" t="s">
        <v>272</v>
      </c>
      <c r="U151" s="12" t="s">
        <v>272</v>
      </c>
      <c r="V151" s="16"/>
      <c r="W151" s="12" t="s">
        <v>272</v>
      </c>
      <c r="X151" s="25"/>
      <c r="Y151" s="13"/>
      <c r="Z151" s="38" t="s">
        <v>271</v>
      </c>
      <c r="AA151" s="13" t="s">
        <v>254</v>
      </c>
      <c r="AB151" s="13"/>
      <c r="AC151" s="13"/>
    </row>
    <row r="152" spans="2:29" ht="10.25" customHeight="1" x14ac:dyDescent="0.55000000000000004">
      <c r="B152" s="15" t="s">
        <v>251</v>
      </c>
      <c r="C152" s="65">
        <v>143</v>
      </c>
      <c r="D152" s="15" t="s">
        <v>251</v>
      </c>
      <c r="E152" s="14" t="s">
        <v>775</v>
      </c>
      <c r="F152" s="14" t="s">
        <v>782</v>
      </c>
      <c r="G152" s="14" t="s">
        <v>777</v>
      </c>
      <c r="H152" s="14" t="s">
        <v>784</v>
      </c>
      <c r="I152" s="12" t="s">
        <v>272</v>
      </c>
      <c r="J152" s="12" t="s">
        <v>272</v>
      </c>
      <c r="K152" s="12" t="s">
        <v>272</v>
      </c>
      <c r="L152" s="12" t="s">
        <v>272</v>
      </c>
      <c r="M152" s="14" t="s">
        <v>1110</v>
      </c>
      <c r="N152" s="12" t="s">
        <v>272</v>
      </c>
      <c r="O152" s="12" t="s">
        <v>272</v>
      </c>
      <c r="P152" s="14" t="s">
        <v>233</v>
      </c>
      <c r="Q152" s="14" t="s">
        <v>101</v>
      </c>
      <c r="R152" s="12" t="s">
        <v>272</v>
      </c>
      <c r="S152" s="14" t="s">
        <v>345</v>
      </c>
      <c r="T152" s="12" t="s">
        <v>272</v>
      </c>
      <c r="U152" s="14" t="s">
        <v>539</v>
      </c>
      <c r="V152" s="16"/>
      <c r="W152" s="12" t="s">
        <v>272</v>
      </c>
      <c r="X152" s="25"/>
      <c r="Y152" s="13"/>
      <c r="Z152" s="38" t="s">
        <v>271</v>
      </c>
      <c r="AA152" s="13" t="s">
        <v>254</v>
      </c>
      <c r="AB152" s="13"/>
      <c r="AC152" s="13"/>
    </row>
    <row r="153" spans="2:29" ht="10.25" customHeight="1" x14ac:dyDescent="0.55000000000000004">
      <c r="B153" s="17" t="s">
        <v>254</v>
      </c>
      <c r="C153" s="11">
        <v>144</v>
      </c>
      <c r="D153" s="12" t="s">
        <v>272</v>
      </c>
      <c r="E153" s="12" t="s">
        <v>272</v>
      </c>
      <c r="F153" s="12" t="s">
        <v>272</v>
      </c>
      <c r="G153" s="12" t="s">
        <v>272</v>
      </c>
      <c r="H153" s="12" t="s">
        <v>272</v>
      </c>
      <c r="I153" s="12" t="s">
        <v>272</v>
      </c>
      <c r="J153" s="12" t="s">
        <v>272</v>
      </c>
      <c r="K153" s="12" t="s">
        <v>272</v>
      </c>
      <c r="L153" s="12" t="s">
        <v>272</v>
      </c>
      <c r="M153" s="12" t="s">
        <v>272</v>
      </c>
      <c r="N153" s="12" t="s">
        <v>272</v>
      </c>
      <c r="O153" s="12" t="s">
        <v>272</v>
      </c>
      <c r="P153" s="12" t="s">
        <v>272</v>
      </c>
      <c r="Q153" s="12" t="s">
        <v>272</v>
      </c>
      <c r="R153" s="12" t="s">
        <v>272</v>
      </c>
      <c r="S153" s="12" t="s">
        <v>272</v>
      </c>
      <c r="T153" s="12" t="s">
        <v>272</v>
      </c>
      <c r="U153" s="12" t="s">
        <v>272</v>
      </c>
      <c r="V153" s="17" t="s">
        <v>254</v>
      </c>
      <c r="W153" s="12" t="s">
        <v>272</v>
      </c>
      <c r="X153" s="25"/>
      <c r="Y153" s="13" t="s">
        <v>530</v>
      </c>
      <c r="Z153" s="38" t="s">
        <v>543</v>
      </c>
      <c r="AA153" s="38" t="s">
        <v>543</v>
      </c>
      <c r="AB153" s="13"/>
      <c r="AC153" s="13"/>
    </row>
    <row r="156" spans="2:29" ht="10.25" customHeight="1" x14ac:dyDescent="0.55000000000000004">
      <c r="B156" s="4" t="s">
        <v>1196</v>
      </c>
    </row>
    <row r="157" spans="2:29" ht="10.25" customHeight="1" x14ac:dyDescent="0.55000000000000004">
      <c r="B157" s="4" t="s">
        <v>559</v>
      </c>
    </row>
    <row r="158" spans="2:29" ht="10.25" customHeight="1" x14ac:dyDescent="0.55000000000000004">
      <c r="B158" s="4" t="s">
        <v>1197</v>
      </c>
    </row>
    <row r="159" spans="2:29" ht="10.25" customHeight="1" x14ac:dyDescent="0.55000000000000004">
      <c r="B159" s="4" t="s">
        <v>1198</v>
      </c>
    </row>
    <row r="160" spans="2:29" ht="10.25" customHeight="1" x14ac:dyDescent="0.55000000000000004">
      <c r="B160" s="4" t="s">
        <v>1199</v>
      </c>
    </row>
    <row r="171" spans="4:17" ht="15" customHeight="1" x14ac:dyDescent="0.55000000000000004">
      <c r="D171" s="118" t="s">
        <v>1216</v>
      </c>
      <c r="E171" s="118"/>
      <c r="F171" s="118"/>
      <c r="G171" s="118"/>
      <c r="H171" s="118"/>
      <c r="I171" s="118"/>
      <c r="J171" s="118"/>
      <c r="K171" s="118"/>
      <c r="L171" s="118"/>
      <c r="M171" s="118"/>
      <c r="N171" s="118"/>
      <c r="O171" s="118"/>
      <c r="P171" s="118"/>
      <c r="Q171" s="118"/>
    </row>
    <row r="172" spans="4:17" ht="172" customHeight="1" x14ac:dyDescent="0.55000000000000004">
      <c r="D172" s="119" t="s">
        <v>1217</v>
      </c>
      <c r="E172" s="119"/>
      <c r="F172" s="119"/>
      <c r="G172" s="119"/>
      <c r="H172" s="119"/>
      <c r="I172" s="119"/>
      <c r="J172" s="119"/>
      <c r="K172" s="119"/>
      <c r="L172" s="119"/>
      <c r="M172" s="119"/>
      <c r="N172" s="119"/>
      <c r="O172" s="119"/>
      <c r="P172" s="119"/>
      <c r="Q172" s="119"/>
    </row>
  </sheetData>
  <sheetProtection algorithmName="SHA-512" hashValue="g3oUh+eIizXQz2ZuJWM52uupAnXBeLBmXP3awsf1zYHL8DX/gAO5pbZnokBOULwpiVREqQ2MB/uG8HHVJatP+w==" saltValue="pdyPc9dAn70iROOJn65WGg==" spinCount="100000" sheet="1" objects="1" scenarios="1" formatCells="0" formatColumns="0" formatRows="0" insertColumns="0" insertRows="0" insertHyperlinks="0" deleteColumns="0" deleteRows="0" selectLockedCells="1" sort="0" autoFilter="0" pivotTables="0"/>
  <mergeCells count="19">
    <mergeCell ref="D171:Q171"/>
    <mergeCell ref="D172:Q172"/>
    <mergeCell ref="U7:U9"/>
    <mergeCell ref="B7:B9"/>
    <mergeCell ref="C7:C9"/>
    <mergeCell ref="I7:K7"/>
    <mergeCell ref="D7:D9"/>
    <mergeCell ref="R7:T7"/>
    <mergeCell ref="AC8:AC9"/>
    <mergeCell ref="X8:X9"/>
    <mergeCell ref="V7:X7"/>
    <mergeCell ref="AB7:AC7"/>
    <mergeCell ref="AB8:AB9"/>
    <mergeCell ref="W8:W9"/>
    <mergeCell ref="Z7:AA7"/>
    <mergeCell ref="Z8:Z9"/>
    <mergeCell ref="AA8:AA9"/>
    <mergeCell ref="Y7:Y9"/>
    <mergeCell ref="V8:V9"/>
  </mergeCells>
  <phoneticPr fontId="3"/>
  <conditionalFormatting sqref="V16">
    <cfRule type="colorScale" priority="12">
      <colorScale>
        <cfvo type="min"/>
        <cfvo type="max"/>
        <color rgb="FFFF7128"/>
        <color rgb="FFFFEF9C"/>
      </colorScale>
    </cfRule>
  </conditionalFormatting>
  <conditionalFormatting sqref="V11:V26">
    <cfRule type="notContainsBlanks" dxfId="303" priority="11">
      <formula>LEN(TRIM(V11))&gt;0</formula>
    </cfRule>
  </conditionalFormatting>
  <conditionalFormatting sqref="V29:V43">
    <cfRule type="notContainsBlanks" dxfId="302" priority="10">
      <formula>LEN(TRIM(V29))&gt;0</formula>
    </cfRule>
  </conditionalFormatting>
  <conditionalFormatting sqref="V49:V70">
    <cfRule type="notContainsBlanks" dxfId="301" priority="9">
      <formula>LEN(TRIM(V49))&gt;0</formula>
    </cfRule>
  </conditionalFormatting>
  <conditionalFormatting sqref="V75:V80">
    <cfRule type="notContainsBlanks" dxfId="300" priority="8">
      <formula>LEN(TRIM(V75))&gt;0</formula>
    </cfRule>
  </conditionalFormatting>
  <conditionalFormatting sqref="V83:V116">
    <cfRule type="notContainsBlanks" dxfId="299" priority="7">
      <formula>LEN(TRIM(V83))&gt;0</formula>
    </cfRule>
  </conditionalFormatting>
  <conditionalFormatting sqref="V119:V131">
    <cfRule type="notContainsBlanks" dxfId="298" priority="6">
      <formula>LEN(TRIM(V119))&gt;0</formula>
    </cfRule>
  </conditionalFormatting>
  <conditionalFormatting sqref="V137:V152">
    <cfRule type="notContainsBlanks" dxfId="297" priority="5">
      <formula>LEN(TRIM(V137))&gt;0</formula>
    </cfRule>
  </conditionalFormatting>
  <conditionalFormatting sqref="V11:V26 V29:V43 V49:V70 V75:V80 V119:V131 V137:V152 V83:V116">
    <cfRule type="duplicateValues" dxfId="296" priority="4"/>
  </conditionalFormatting>
  <conditionalFormatting sqref="W75:W80">
    <cfRule type="notContainsBlanks" dxfId="295" priority="3">
      <formula>LEN(TRIM(W75))&gt;0</formula>
    </cfRule>
  </conditionalFormatting>
  <conditionalFormatting sqref="W83:W100">
    <cfRule type="notContainsBlanks" dxfId="294" priority="2">
      <formula>LEN(TRIM(W83))&gt;0</formula>
    </cfRule>
  </conditionalFormatting>
  <conditionalFormatting sqref="W104:W108">
    <cfRule type="notContainsBlanks" dxfId="293" priority="1">
      <formula>LEN(TRIM(W104))&gt;0</formula>
    </cfRule>
  </conditionalFormatting>
  <dataValidations count="151">
    <dataValidation type="list" allowBlank="1" showInputMessage="1" showErrorMessage="1" sqref="V116" xr:uid="{4945FD88-C8B3-49F0-8364-C04C7FE0DB54}">
      <formula1>$D$116:$U$116</formula1>
    </dataValidation>
    <dataValidation type="list" allowBlank="1" showInputMessage="1" showErrorMessage="1" sqref="V115" xr:uid="{7AA06661-9BB9-4FC7-A3A2-DF318A631441}">
      <formula1>$D$115:$U$115</formula1>
    </dataValidation>
    <dataValidation type="list" allowBlank="1" showInputMessage="1" showErrorMessage="1" sqref="V114" xr:uid="{26845B80-5828-4697-B2B8-E1F6E944A8F6}">
      <formula1>$D$114:$U$114</formula1>
    </dataValidation>
    <dataValidation type="list" allowBlank="1" showInputMessage="1" showErrorMessage="1" sqref="V113" xr:uid="{737F0704-D980-4282-83C2-8EC8391A657D}">
      <formula1>$D$113:$U$113</formula1>
    </dataValidation>
    <dataValidation type="list" allowBlank="1" showInputMessage="1" showErrorMessage="1" sqref="V112" xr:uid="{EE7701A5-05F7-4E59-AEA5-2E32E127E815}">
      <formula1>$D$112:$U$112</formula1>
    </dataValidation>
    <dataValidation type="list" allowBlank="1" showInputMessage="1" showErrorMessage="1" sqref="V111" xr:uid="{8EE8714D-C31D-48CB-9B61-525281379C33}">
      <formula1>$D$111:$U$111</formula1>
    </dataValidation>
    <dataValidation type="list" allowBlank="1" showInputMessage="1" showErrorMessage="1" sqref="V110" xr:uid="{F3075D52-E2DC-468E-8580-580AEC620FC1}">
      <formula1>$D$110:$U$110</formula1>
    </dataValidation>
    <dataValidation type="list" allowBlank="1" showInputMessage="1" showErrorMessage="1" sqref="V109" xr:uid="{0F379AED-F63E-4CBC-94AA-B0EE65724592}">
      <formula1>$D$109:$U$109</formula1>
    </dataValidation>
    <dataValidation type="list" allowBlank="1" showInputMessage="1" showErrorMessage="1" sqref="V108" xr:uid="{F6ED579A-1875-44BC-849A-DB422CFB0A81}">
      <formula1>$D$108:$U$108</formula1>
    </dataValidation>
    <dataValidation type="list" allowBlank="1" showInputMessage="1" showErrorMessage="1" sqref="V107" xr:uid="{52D58EAE-7EAA-4528-8CB7-D393F74FD6D0}">
      <formula1>$D$107:$U$107</formula1>
    </dataValidation>
    <dataValidation type="list" allowBlank="1" showInputMessage="1" showErrorMessage="1" sqref="V106" xr:uid="{01FC7C62-DBE3-4185-928A-389C45A3D698}">
      <formula1>$D$106:$U$106</formula1>
    </dataValidation>
    <dataValidation type="list" allowBlank="1" showInputMessage="1" showErrorMessage="1" sqref="V105" xr:uid="{CC23B519-3898-4B47-8CDA-1AC54BD95024}">
      <formula1>$D$105:$U$105</formula1>
    </dataValidation>
    <dataValidation type="list" allowBlank="1" showInputMessage="1" showErrorMessage="1" sqref="V104" xr:uid="{783B4A6F-F01A-4249-9F1E-48243CE4975F}">
      <formula1>$D$104:$U$104</formula1>
    </dataValidation>
    <dataValidation type="list" allowBlank="1" showInputMessage="1" showErrorMessage="1" sqref="V127" xr:uid="{82C72207-F72C-4EF4-9BEA-CD7C50CCFEF6}">
      <formula1>$D$127:$U$127</formula1>
    </dataValidation>
    <dataValidation type="list" allowBlank="1" showInputMessage="1" showErrorMessage="1" sqref="V126" xr:uid="{A4C0BB46-8513-48D6-AF02-6BFC3851DA6A}">
      <formula1>$D$126:$U$126</formula1>
    </dataValidation>
    <dataValidation type="list" allowBlank="1" showInputMessage="1" showErrorMessage="1" sqref="V125" xr:uid="{C25D2BC7-1F0C-4447-8411-CA1A50E28A72}">
      <formula1>$D$125:$U$125</formula1>
    </dataValidation>
    <dataValidation type="list" allowBlank="1" showInputMessage="1" showErrorMessage="1" sqref="V124" xr:uid="{E4D1329E-07F6-4967-8AB3-67F4B21E5F88}">
      <formula1>$D$124:$U$124</formula1>
    </dataValidation>
    <dataValidation type="list" allowBlank="1" showInputMessage="1" showErrorMessage="1" sqref="V123" xr:uid="{CC1D45A2-E5D3-4F5E-BFF4-E482B6DF4F33}">
      <formula1>$D$123:$U$123</formula1>
    </dataValidation>
    <dataValidation type="list" allowBlank="1" showInputMessage="1" showErrorMessage="1" sqref="V122" xr:uid="{5C0D0DE7-FBA6-4CDF-874A-22F61D82FC17}">
      <formula1>$D$122:$U$122</formula1>
    </dataValidation>
    <dataValidation type="list" allowBlank="1" showInputMessage="1" showErrorMessage="1" sqref="V121" xr:uid="{F27B716B-956D-4CB7-A9FA-B41907CCD292}">
      <formula1>$D$121:$U$121</formula1>
    </dataValidation>
    <dataValidation type="list" allowBlank="1" showInputMessage="1" showErrorMessage="1" sqref="V120" xr:uid="{1DF8C333-8143-4F2B-A7E1-D0D68FBE81CF}">
      <formula1>$D$120:$U$120</formula1>
    </dataValidation>
    <dataValidation type="list" allowBlank="1" showInputMessage="1" showErrorMessage="1" sqref="V119" xr:uid="{2643E944-7D77-4045-BEDB-D132398738C0}">
      <formula1>$D$119:$U$119</formula1>
    </dataValidation>
    <dataValidation type="list" allowBlank="1" showInputMessage="1" showErrorMessage="1" sqref="V131" xr:uid="{E3BAC7A3-1CF8-4A27-B1B4-24C7F6EE1804}">
      <formula1>$D$131:$U$131</formula1>
    </dataValidation>
    <dataValidation type="list" allowBlank="1" showInputMessage="1" showErrorMessage="1" sqref="V130" xr:uid="{58031A9B-C96A-4821-A3F8-3B99B944C7E3}">
      <formula1>$D$130:$U$130</formula1>
    </dataValidation>
    <dataValidation type="list" allowBlank="1" showInputMessage="1" showErrorMessage="1" sqref="V129" xr:uid="{C5C4A7B0-7520-4AE1-BAF6-E67C536167A9}">
      <formula1>$D$129:$U$129</formula1>
    </dataValidation>
    <dataValidation type="list" allowBlank="1" showInputMessage="1" showErrorMessage="1" sqref="V128" xr:uid="{017C288D-DFD8-439F-8D5D-5579EFF1A50F}">
      <formula1>$D$128:$U$128</formula1>
    </dataValidation>
    <dataValidation type="list" allowBlank="1" showInputMessage="1" showErrorMessage="1" sqref="V96" xr:uid="{73E3AD97-3A44-490B-9F21-FAFC3746571C}">
      <formula1>$D$96:$U$96</formula1>
    </dataValidation>
    <dataValidation type="list" allowBlank="1" showInputMessage="1" showErrorMessage="1" sqref="V95" xr:uid="{3CF9156A-B391-43ED-94FD-BC683C701544}">
      <formula1>$D$95:$U$95</formula1>
    </dataValidation>
    <dataValidation type="list" allowBlank="1" showInputMessage="1" showErrorMessage="1" sqref="V94" xr:uid="{4CDDFB72-164A-4430-A55A-5D37B599F472}">
      <formula1>$D$94:$U$94</formula1>
    </dataValidation>
    <dataValidation type="list" allowBlank="1" showInputMessage="1" showErrorMessage="1" sqref="V93" xr:uid="{11E2B848-DF2E-4130-99EB-60AE4072B598}">
      <formula1>$D$93:$U$93</formula1>
    </dataValidation>
    <dataValidation type="list" allowBlank="1" showInputMessage="1" showErrorMessage="1" sqref="V92" xr:uid="{D747950B-7AC8-4045-BC1E-BF664287A20D}">
      <formula1>$D$92:$U$92</formula1>
    </dataValidation>
    <dataValidation type="list" allowBlank="1" showInputMessage="1" showErrorMessage="1" sqref="V83" xr:uid="{AFECFB0D-669A-4F42-AC1E-0A27A1BF4FF0}">
      <formula1>$D$83:$U$83</formula1>
    </dataValidation>
    <dataValidation type="list" allowBlank="1" showInputMessage="1" showErrorMessage="1" sqref="V152" xr:uid="{C2E215A6-F590-471B-A91B-F119C10B0B1E}">
      <formula1>$D$152:$U$152</formula1>
    </dataValidation>
    <dataValidation type="list" allowBlank="1" showInputMessage="1" showErrorMessage="1" sqref="V151" xr:uid="{F06F882E-8898-47A7-A774-05C465AD6441}">
      <formula1>$D$151:$U$151</formula1>
    </dataValidation>
    <dataValidation type="list" allowBlank="1" showInputMessage="1" showErrorMessage="1" sqref="V150" xr:uid="{BE0E9920-696F-4EDC-9E6A-D01EE00E083F}">
      <formula1>$D$150:$U$150</formula1>
    </dataValidation>
    <dataValidation type="list" allowBlank="1" showInputMessage="1" showErrorMessage="1" sqref="V149" xr:uid="{73236AAC-31AD-4C3B-8325-844C5574B58C}">
      <formula1>$D$149:$U$149</formula1>
    </dataValidation>
    <dataValidation type="list" allowBlank="1" showInputMessage="1" showErrorMessage="1" sqref="V148" xr:uid="{C4AA1777-DC94-46DB-9498-BE8D0582759D}">
      <formula1>$D$148:$U$148</formula1>
    </dataValidation>
    <dataValidation type="list" allowBlank="1" showInputMessage="1" showErrorMessage="1" sqref="V147" xr:uid="{F33289FA-83AB-41A3-9320-1A4D4F0786F0}">
      <formula1>$D$147:$U$147</formula1>
    </dataValidation>
    <dataValidation type="list" allowBlank="1" showInputMessage="1" showErrorMessage="1" sqref="V146" xr:uid="{FF72168A-713A-4E91-832A-94C064CBC83A}">
      <formula1>$D$146:$U$146</formula1>
    </dataValidation>
    <dataValidation type="list" allowBlank="1" showInputMessage="1" showErrorMessage="1" sqref="V145" xr:uid="{5AB0BD77-129F-4273-913D-831FCD017321}">
      <formula1>$D$145:$U$145</formula1>
    </dataValidation>
    <dataValidation type="list" allowBlank="1" showInputMessage="1" showErrorMessage="1" sqref="V144" xr:uid="{8BFAFEDB-A8F1-4617-BE3B-ED80D96B4E67}">
      <formula1>$D$144:$U$144</formula1>
    </dataValidation>
    <dataValidation type="list" allowBlank="1" showInputMessage="1" showErrorMessage="1" sqref="V143" xr:uid="{6CFF4A0C-38E8-4B1B-A447-D831436640FD}">
      <formula1>$D$143:$U$143</formula1>
    </dataValidation>
    <dataValidation type="list" allowBlank="1" showInputMessage="1" showErrorMessage="1" sqref="V142" xr:uid="{DD747402-B3E7-41BD-9387-AAECBA434098}">
      <formula1>$D$142:$U$142</formula1>
    </dataValidation>
    <dataValidation type="list" allowBlank="1" showInputMessage="1" showErrorMessage="1" sqref="V141" xr:uid="{BA7AE299-EDCB-40E5-AE58-E97EB638D796}">
      <formula1>$D$141:$U$141</formula1>
    </dataValidation>
    <dataValidation type="list" allowBlank="1" showInputMessage="1" showErrorMessage="1" sqref="V140" xr:uid="{AF4BB755-7D11-4A63-BB61-8536C58A73C4}">
      <formula1>$D$140:$U$140</formula1>
    </dataValidation>
    <dataValidation type="list" allowBlank="1" showInputMessage="1" showErrorMessage="1" sqref="V139" xr:uid="{0B809051-674A-484D-ADD9-58239DD71027}">
      <formula1>$D$139:$U$139</formula1>
    </dataValidation>
    <dataValidation type="list" allowBlank="1" showInputMessage="1" showErrorMessage="1" sqref="V138" xr:uid="{848FF4DC-6805-44BD-B0D6-B6790746E42D}">
      <formula1>$D$138:$U$138</formula1>
    </dataValidation>
    <dataValidation type="list" allowBlank="1" showInputMessage="1" showErrorMessage="1" sqref="V137" xr:uid="{3245028B-7016-4716-B845-1EB9662456DD}">
      <formula1>$D$137:$U$137</formula1>
    </dataValidation>
    <dataValidation type="list" allowBlank="1" showInputMessage="1" showErrorMessage="1" sqref="V60" xr:uid="{CD10D6A2-857B-4F92-A7B3-776D442BF8EF}">
      <formula1>$D$60:$U$60</formula1>
    </dataValidation>
    <dataValidation type="list" allowBlank="1" showInputMessage="1" showErrorMessage="1" sqref="V59" xr:uid="{136F04FE-463C-467A-A538-D70C71B29C47}">
      <formula1>$D$59:$U$59</formula1>
    </dataValidation>
    <dataValidation type="list" allowBlank="1" showInputMessage="1" showErrorMessage="1" sqref="V53" xr:uid="{B9D98821-ED56-4B9B-9DA1-502ACEBC28BA}">
      <formula1>$D$53:$U$53</formula1>
    </dataValidation>
    <dataValidation type="list" allowBlank="1" showInputMessage="1" showErrorMessage="1" sqref="V52" xr:uid="{50ADB8A1-95EC-46E9-B1AC-1C079B041449}">
      <formula1>$D$52:$U$52</formula1>
    </dataValidation>
    <dataValidation type="list" allowBlank="1" showInputMessage="1" showErrorMessage="1" sqref="V51" xr:uid="{B4E5D8C2-EB2C-4560-A66C-F70DB2DDF968}">
      <formula1>$D$51:$U$51</formula1>
    </dataValidation>
    <dataValidation type="list" allowBlank="1" showInputMessage="1" showErrorMessage="1" sqref="V50" xr:uid="{ECA5F241-EBDB-4C09-80BD-55A6CC9E365B}">
      <formula1>$D$50:$U$50</formula1>
    </dataValidation>
    <dataValidation type="list" allowBlank="1" showInputMessage="1" showErrorMessage="1" sqref="V33" xr:uid="{8729AA29-5AE7-4F16-8826-0E24ED8FA91B}">
      <formula1>$D$33:$U$33</formula1>
    </dataValidation>
    <dataValidation type="list" allowBlank="1" showInputMessage="1" showErrorMessage="1" sqref="V32" xr:uid="{E7DFE542-B4BF-462D-AE6A-DD8BB940A18A}">
      <formula1>$D$32:$U$32</formula1>
    </dataValidation>
    <dataValidation type="list" allowBlank="1" showInputMessage="1" showErrorMessage="1" sqref="V31" xr:uid="{62C4CAB5-2233-433B-A7A8-60B9E4F50569}">
      <formula1>$D$31:$U$31</formula1>
    </dataValidation>
    <dataValidation type="list" allowBlank="1" showInputMessage="1" showErrorMessage="1" sqref="V21" xr:uid="{7B26A041-6993-4F1E-B4EA-AC584983F6A3}">
      <formula1>$D$21:$U$21</formula1>
    </dataValidation>
    <dataValidation type="list" allowBlank="1" showInputMessage="1" showErrorMessage="1" sqref="V20" xr:uid="{5B12DCC4-8020-47F6-9266-13EFDB12471B}">
      <formula1>$D$20:$U$20</formula1>
    </dataValidation>
    <dataValidation type="list" allowBlank="1" showInputMessage="1" showErrorMessage="1" sqref="V11" xr:uid="{B9F9697C-0C15-4404-8A9D-ED1B9FEAC975}">
      <formula1>$D$11:$U$11</formula1>
    </dataValidation>
    <dataValidation type="list" allowBlank="1" showInputMessage="1" showErrorMessage="1" sqref="V12" xr:uid="{62B3BE83-108E-4D60-9E98-BCF2C02C978C}">
      <formula1>$D$12:$U$12</formula1>
    </dataValidation>
    <dataValidation type="list" allowBlank="1" showInputMessage="1" showErrorMessage="1" sqref="V13" xr:uid="{B43A7D21-82A9-42A2-BF73-61B3A88F2C9F}">
      <formula1>$D$13:$U$13</formula1>
    </dataValidation>
    <dataValidation type="list" allowBlank="1" showInputMessage="1" showErrorMessage="1" sqref="V14" xr:uid="{A75EE8A0-09E0-4421-BD6D-043EC5BD2117}">
      <formula1>$D$14:$U$14</formula1>
    </dataValidation>
    <dataValidation type="list" allowBlank="1" showInputMessage="1" showErrorMessage="1" sqref="V15" xr:uid="{16884CAA-D0BE-40D3-BE19-9420F5E26280}">
      <formula1>$D$15:$U$15</formula1>
    </dataValidation>
    <dataValidation type="list" allowBlank="1" showInputMessage="1" showErrorMessage="1" sqref="V16" xr:uid="{ED32C354-5B70-4445-9CB0-505919B14E81}">
      <formula1>$D$16:$U$16</formula1>
    </dataValidation>
    <dataValidation type="list" allowBlank="1" showInputMessage="1" showErrorMessage="1" sqref="V17" xr:uid="{F5322EE7-E2B2-4D15-9EB5-EDA5FAA16F95}">
      <formula1>$D$17:$U$17</formula1>
    </dataValidation>
    <dataValidation type="list" allowBlank="1" showInputMessage="1" showErrorMessage="1" sqref="V18" xr:uid="{A8E5F32E-FDA3-4447-8596-6BD93D23A049}">
      <formula1>$D$18:$U$18</formula1>
    </dataValidation>
    <dataValidation type="list" allowBlank="1" showInputMessage="1" showErrorMessage="1" sqref="V19" xr:uid="{61562A21-88E0-47D1-A717-2666162F3FD8}">
      <formula1>$D$19:$U$19</formula1>
    </dataValidation>
    <dataValidation type="list" allowBlank="1" showInputMessage="1" showErrorMessage="1" sqref="V22" xr:uid="{15348F86-ED4F-48B4-98CF-595C6846110B}">
      <formula1>$D$22:$U$22</formula1>
    </dataValidation>
    <dataValidation type="list" allowBlank="1" showInputMessage="1" showErrorMessage="1" sqref="V23" xr:uid="{BCD3473D-9ECE-4DF7-AC65-5D086D667FC3}">
      <formula1>$D$23:$U$23</formula1>
    </dataValidation>
    <dataValidation type="list" allowBlank="1" showInputMessage="1" showErrorMessage="1" sqref="V24" xr:uid="{741D734B-2732-41A1-A3F4-0376B0FF2E0B}">
      <formula1>$D$24:$U$24</formula1>
    </dataValidation>
    <dataValidation type="list" allowBlank="1" showInputMessage="1" showErrorMessage="1" sqref="V25" xr:uid="{ED74DCE0-AA78-4106-9EA0-950729D06320}">
      <formula1>$D$25:$U$25</formula1>
    </dataValidation>
    <dataValidation type="list" allowBlank="1" showInputMessage="1" showErrorMessage="1" sqref="V26" xr:uid="{64869167-79B1-40D9-863E-E80F0A166312}">
      <formula1>$D$26:$U$26</formula1>
    </dataValidation>
    <dataValidation type="list" allowBlank="1" showInputMessage="1" showErrorMessage="1" sqref="V29" xr:uid="{39B41454-C362-4DEA-97C2-CC93DBE7692D}">
      <formula1>$D$29:$U$29</formula1>
    </dataValidation>
    <dataValidation type="list" allowBlank="1" showInputMessage="1" showErrorMessage="1" sqref="V30" xr:uid="{A0E308B2-91AA-4F6F-8B07-020E2BF66C37}">
      <formula1>$D$30:$U$30</formula1>
    </dataValidation>
    <dataValidation type="list" allowBlank="1" showInputMessage="1" showErrorMessage="1" sqref="V54" xr:uid="{B01DBCED-BD9F-400E-BF1F-F72CC3241753}">
      <formula1>$D$54:$U$54</formula1>
    </dataValidation>
    <dataValidation type="list" allowBlank="1" showInputMessage="1" showErrorMessage="1" sqref="V55" xr:uid="{852F7663-2D5D-466B-AB14-496E0DA3CF49}">
      <formula1>$D$55:$U$55</formula1>
    </dataValidation>
    <dataValidation type="list" allowBlank="1" showInputMessage="1" showErrorMessage="1" sqref="V56" xr:uid="{E8D38C0A-483E-4C38-9AD9-F07EB5CD6C71}">
      <formula1>$D$56:$U$56</formula1>
    </dataValidation>
    <dataValidation type="list" allowBlank="1" showInputMessage="1" showErrorMessage="1" sqref="V57" xr:uid="{276D69A2-1BCA-4B9D-B29D-B324A87EBCBD}">
      <formula1>$D$57:$U$57</formula1>
    </dataValidation>
    <dataValidation type="list" allowBlank="1" showInputMessage="1" showErrorMessage="1" sqref="V58" xr:uid="{DD223B46-226E-4757-BBAE-DDE48E5DB06B}">
      <formula1>$D$58:$U$58</formula1>
    </dataValidation>
    <dataValidation type="list" allowBlank="1" showInputMessage="1" showErrorMessage="1" sqref="V42" xr:uid="{8C28BB82-326F-47A5-BDDA-045B816A9DA5}">
      <formula1>$D$42:$U$42</formula1>
    </dataValidation>
    <dataValidation type="list" allowBlank="1" showInputMessage="1" showErrorMessage="1" sqref="V43" xr:uid="{E343EB37-7F7B-44D8-929F-49AE11BC89AF}">
      <formula1>$D$43:$U$43</formula1>
    </dataValidation>
    <dataValidation type="list" allowBlank="1" showInputMessage="1" showErrorMessage="1" sqref="V49" xr:uid="{DF4960DD-C8C2-4015-BB98-CAE47B70A6E1}">
      <formula1>$D$49:$U$49</formula1>
    </dataValidation>
    <dataValidation type="list" allowBlank="1" showInputMessage="1" showErrorMessage="1" sqref="V97" xr:uid="{180223BF-EA45-489C-AA41-89770EDACCED}">
      <formula1>$D$97:$U$97</formula1>
    </dataValidation>
    <dataValidation type="list" allowBlank="1" showInputMessage="1" showErrorMessage="1" sqref="V98" xr:uid="{DF8163B6-AE09-4F04-9AC3-C9D801D4DC80}">
      <formula1>$D$98:$U$98</formula1>
    </dataValidation>
    <dataValidation type="list" allowBlank="1" showInputMessage="1" showErrorMessage="1" sqref="V99" xr:uid="{20AF2CFE-AFED-460B-A4AF-ABD8AF25794A}">
      <formula1>$D$99:$U$99</formula1>
    </dataValidation>
    <dataValidation type="list" allowBlank="1" showInputMessage="1" showErrorMessage="1" sqref="V100" xr:uid="{6887D4B5-CEB7-47F0-A0D6-D87E035E2E98}">
      <formula1>$D$100:$U$100</formula1>
    </dataValidation>
    <dataValidation type="list" allowBlank="1" showInputMessage="1" showErrorMessage="1" sqref="V101" xr:uid="{64E47AAD-EF8E-418C-9FE3-FE1661988279}">
      <formula1>$D$101:$U$101</formula1>
    </dataValidation>
    <dataValidation type="list" allowBlank="1" showInputMessage="1" showErrorMessage="1" sqref="V102" xr:uid="{6AA9D7E7-2C3A-47D9-ADB3-F47D16EF0DED}">
      <formula1>$D$102:$U$102</formula1>
    </dataValidation>
    <dataValidation type="list" allowBlank="1" showInputMessage="1" showErrorMessage="1" sqref="V103" xr:uid="{0E8BD30D-57B3-40DE-BF46-B4B8F8896610}">
      <formula1>$D$103:$U$103</formula1>
    </dataValidation>
    <dataValidation type="list" allowBlank="1" showInputMessage="1" showErrorMessage="1" sqref="V85" xr:uid="{08EBEE1D-DF92-41AC-9DF0-368363A5C407}">
      <formula1>$D$85:$U$85</formula1>
    </dataValidation>
    <dataValidation type="list" allowBlank="1" showInputMessage="1" showErrorMessage="1" sqref="V34" xr:uid="{38253E41-A4B3-46B2-AEE0-0CFEB814DB63}">
      <formula1>$D$34:$U$34</formula1>
    </dataValidation>
    <dataValidation type="list" allowBlank="1" showInputMessage="1" showErrorMessage="1" sqref="V35" xr:uid="{C9D8B416-119C-41AD-94AD-2D4C3EEA6E82}">
      <formula1>$D$35:$U$35</formula1>
    </dataValidation>
    <dataValidation type="list" allowBlank="1" showInputMessage="1" showErrorMessage="1" sqref="V36" xr:uid="{21E3AB67-7649-4D82-AEE3-EE30CB212FA9}">
      <formula1>$D$36:$U$36</formula1>
    </dataValidation>
    <dataValidation type="list" allowBlank="1" showInputMessage="1" showErrorMessage="1" sqref="V37" xr:uid="{04619E6E-9CF7-4075-9290-B91EC25002A7}">
      <formula1>$D$37:$U$37</formula1>
    </dataValidation>
    <dataValidation type="list" allowBlank="1" showInputMessage="1" showErrorMessage="1" sqref="V38" xr:uid="{7AAAA7F6-B073-4742-A295-35EB1D103B46}">
      <formula1>$D$38:$U$38</formula1>
    </dataValidation>
    <dataValidation type="list" allowBlank="1" showInputMessage="1" showErrorMessage="1" sqref="V39" xr:uid="{F0D58372-9CA0-465E-9F75-062BFB7E0701}">
      <formula1>$D$39:$U$39</formula1>
    </dataValidation>
    <dataValidation type="list" allowBlank="1" showInputMessage="1" showErrorMessage="1" sqref="V40" xr:uid="{847525CA-B7CE-45D9-9905-38C71400A550}">
      <formula1>$D$40:$U$40</formula1>
    </dataValidation>
    <dataValidation type="list" allowBlank="1" showInputMessage="1" showErrorMessage="1" sqref="V41" xr:uid="{E22A2464-3CAA-4277-9190-A768D76F9779}">
      <formula1>$D$41:$U$41</formula1>
    </dataValidation>
    <dataValidation type="list" allowBlank="1" showInputMessage="1" showErrorMessage="1" sqref="V87" xr:uid="{26D64E7A-D5D6-4B27-B7ED-B636AB8BB867}">
      <formula1>$D$87:$U$87</formula1>
    </dataValidation>
    <dataValidation type="list" allowBlank="1" showInputMessage="1" showErrorMessage="1" sqref="V88" xr:uid="{01966FD8-394C-4B25-9CD4-930D84C51B2E}">
      <formula1>$D$88:$U$88</formula1>
    </dataValidation>
    <dataValidation type="list" allowBlank="1" showInputMessage="1" showErrorMessage="1" sqref="V89" xr:uid="{BD8CD9D6-F5DB-4AD5-920A-DC6F2BC5253E}">
      <formula1>$D$89:$U$89</formula1>
    </dataValidation>
    <dataValidation type="list" allowBlank="1" showInputMessage="1" showErrorMessage="1" sqref="V90" xr:uid="{C8F571FC-39C3-4655-8040-EB58C78AD1AB}">
      <formula1>$D$90:$U$90</formula1>
    </dataValidation>
    <dataValidation type="list" allowBlank="1" showInputMessage="1" showErrorMessage="1" sqref="V91" xr:uid="{EFAFB1EF-7C84-427F-BCD6-DEACACA2D9D7}">
      <formula1>$D$91:$U$91</formula1>
    </dataValidation>
    <dataValidation type="list" allowBlank="1" showInputMessage="1" showErrorMessage="1" sqref="V61" xr:uid="{0CD9FDA6-1DF5-47D9-BE98-61AD1356A7D8}">
      <formula1>$D$61:$U$61</formula1>
    </dataValidation>
    <dataValidation type="list" allowBlank="1" showInputMessage="1" showErrorMessage="1" sqref="V62" xr:uid="{5617E784-10B7-4378-B561-5993EA740251}">
      <formula1>$D$62:$U$62</formula1>
    </dataValidation>
    <dataValidation type="list" allowBlank="1" showInputMessage="1" showErrorMessage="1" sqref="V63" xr:uid="{63838501-67E7-4B3C-8C49-C910C3981FA4}">
      <formula1>$D$63:$U$63</formula1>
    </dataValidation>
    <dataValidation type="list" allowBlank="1" showInputMessage="1" showErrorMessage="1" sqref="V64" xr:uid="{EB7569EE-9DED-4A86-BAD5-B3CF99D4D004}">
      <formula1>$D$64:$U$64</formula1>
    </dataValidation>
    <dataValidation type="list" allowBlank="1" showInputMessage="1" showErrorMessage="1" sqref="V65" xr:uid="{828FA0B9-2F97-414B-8B4C-7895D49B8CFA}">
      <formula1>$D$65:$U$65</formula1>
    </dataValidation>
    <dataValidation type="list" allowBlank="1" showInputMessage="1" showErrorMessage="1" sqref="V66" xr:uid="{DF018A52-7EB4-41D9-AC5C-A3490A0CA990}">
      <formula1>$D$66:$U$66</formula1>
    </dataValidation>
    <dataValidation type="list" allowBlank="1" showInputMessage="1" showErrorMessage="1" sqref="V67" xr:uid="{3029221F-6C3F-41C1-9CCA-FA6B15BDE16A}">
      <formula1>$D$67:$U$67</formula1>
    </dataValidation>
    <dataValidation type="list" allowBlank="1" showInputMessage="1" showErrorMessage="1" sqref="V68" xr:uid="{B35AEC4E-A16F-4C6C-A5D8-02D8B51C3ACF}">
      <formula1>$D$68:$U$68</formula1>
    </dataValidation>
    <dataValidation type="list" allowBlank="1" showInputMessage="1" showErrorMessage="1" sqref="V69" xr:uid="{69652EBB-0034-438A-BFEB-6DEE4A2C5F42}">
      <formula1>$D$69:$U$69</formula1>
    </dataValidation>
    <dataValidation type="list" allowBlank="1" showInputMessage="1" showErrorMessage="1" sqref="V70" xr:uid="{FEF37DC5-A3C9-43CD-8C4B-001BAA2BC516}">
      <formula1>$D$70:$U$70</formula1>
    </dataValidation>
    <dataValidation type="list" allowBlank="1" showInputMessage="1" showErrorMessage="1" sqref="V75" xr:uid="{967F1665-E39F-47D5-A1BE-7B77C822C314}">
      <formula1>$D$75:$U$75</formula1>
    </dataValidation>
    <dataValidation type="list" allowBlank="1" showInputMessage="1" showErrorMessage="1" sqref="V76" xr:uid="{AD68991D-DB7B-4F39-BCDF-88851A353865}">
      <formula1>$D$76:$U$76</formula1>
    </dataValidation>
    <dataValidation type="list" allowBlank="1" showInputMessage="1" showErrorMessage="1" sqref="V77" xr:uid="{D206D9C0-CDB1-431E-A53F-4E13F96E9823}">
      <formula1>$D$77:$U$77</formula1>
    </dataValidation>
    <dataValidation type="list" allowBlank="1" showInputMessage="1" showErrorMessage="1" sqref="V78" xr:uid="{BF9D9BC3-D85D-4EAD-B142-655EDD8F7CB7}">
      <formula1>$D$78:$U$78</formula1>
    </dataValidation>
    <dataValidation type="list" allowBlank="1" showInputMessage="1" showErrorMessage="1" sqref="V79" xr:uid="{0CBF1237-1EE8-40C7-8EC3-F6AAAA1DC71B}">
      <formula1>$D$79:$U$79</formula1>
    </dataValidation>
    <dataValidation type="list" allowBlank="1" showInputMessage="1" showErrorMessage="1" sqref="V80" xr:uid="{08FAF863-807A-411B-AA10-181AE09E2386}">
      <formula1>$D$80:$U$80</formula1>
    </dataValidation>
    <dataValidation type="list" allowBlank="1" showInputMessage="1" showErrorMessage="1" sqref="V84" xr:uid="{E73083C0-ECD8-4489-AC85-DBCF4A31FD2F}">
      <formula1>$D$84:$U$84</formula1>
    </dataValidation>
    <dataValidation type="list" allowBlank="1" showInputMessage="1" showErrorMessage="1" sqref="V86" xr:uid="{F0FF9D82-ABDA-47D6-99A0-154F377C90E0}">
      <formula1>$D$86:$U$86</formula1>
    </dataValidation>
    <dataValidation type="list" allowBlank="1" showInputMessage="1" showErrorMessage="1" sqref="W75" xr:uid="{0B71F857-1435-4837-9A13-AC412F13B081}">
      <formula1>"NA, SMARTIO12_0"</formula1>
    </dataValidation>
    <dataValidation type="list" allowBlank="1" showInputMessage="1" showErrorMessage="1" sqref="W76" xr:uid="{EF4D01D8-7FDC-4078-AF52-3A7AE74C19EE}">
      <formula1>"NA, SMARTIO12_1"</formula1>
    </dataValidation>
    <dataValidation type="list" allowBlank="1" showInputMessage="1" showErrorMessage="1" sqref="W77" xr:uid="{D43440CF-1091-421C-AB7A-AEDE2BB459DB}">
      <formula1>"NA, SMARTIO12_2"</formula1>
    </dataValidation>
    <dataValidation type="list" allowBlank="1" showInputMessage="1" showErrorMessage="1" sqref="W78" xr:uid="{0ECF6D9F-8D3E-4526-B230-5C51DA6E2676}">
      <formula1>"NA, SMARTIO12_3"</formula1>
    </dataValidation>
    <dataValidation type="list" allowBlank="1" showInputMessage="1" showErrorMessage="1" sqref="W79" xr:uid="{AA360E5B-D45D-4A94-A4B5-6139CC0D53BD}">
      <formula1>"NA, SMARTIO12_4"</formula1>
    </dataValidation>
    <dataValidation type="list" allowBlank="1" showInputMessage="1" showErrorMessage="1" sqref="W80" xr:uid="{FD955203-FCCC-4EFB-8A1C-A3F7A670CA90}">
      <formula1>"NA, SMARTIO12_5"</formula1>
    </dataValidation>
    <dataValidation type="list" allowBlank="1" showInputMessage="1" showErrorMessage="1" sqref="W91" xr:uid="{DA924FD5-1877-49D3-9977-A8ED4C94DE43}">
      <formula1>"NA, SMARTIO14_0"</formula1>
    </dataValidation>
    <dataValidation type="list" allowBlank="1" showInputMessage="1" showErrorMessage="1" sqref="W92" xr:uid="{9EF49EF1-9BD6-4603-8BEE-E38AFEE22691}">
      <formula1>"NA, SMARTIO14_1"</formula1>
    </dataValidation>
    <dataValidation type="list" allowBlank="1" showInputMessage="1" showErrorMessage="1" sqref="W93" xr:uid="{C41C4C6A-FEBB-47FC-8BAA-C417DB6B0A19}">
      <formula1>"NA, SMARTIO14_2"</formula1>
    </dataValidation>
    <dataValidation type="list" allowBlank="1" showInputMessage="1" showErrorMessage="1" sqref="W94" xr:uid="{CF0790B8-5D01-44FA-9CBB-E8AE77C9B531}">
      <formula1>"NA, SMARTIO14_3"</formula1>
    </dataValidation>
    <dataValidation type="list" allowBlank="1" showInputMessage="1" showErrorMessage="1" sqref="W95" xr:uid="{925CE958-A76F-428F-9B4E-469ACA1E6054}">
      <formula1>"NA, SMARTIO14_4"</formula1>
    </dataValidation>
    <dataValidation type="list" allowBlank="1" showInputMessage="1" showErrorMessage="1" sqref="W96" xr:uid="{DFF8EA0F-A335-4E3A-8024-EC245C758FA4}">
      <formula1>"NA, SMARTIO14_5"</formula1>
    </dataValidation>
    <dataValidation type="list" allowBlank="1" showInputMessage="1" showErrorMessage="1" sqref="W97" xr:uid="{2307C862-8038-4CF9-92A2-96DFAA26AD2B}">
      <formula1>"NA, SMARTIO15_0"</formula1>
    </dataValidation>
    <dataValidation type="list" allowBlank="1" showInputMessage="1" showErrorMessage="1" sqref="W98" xr:uid="{8050DC0A-0946-4EA0-93D4-0A17AD6B9537}">
      <formula1>"NA, SMARTIO15_1"</formula1>
    </dataValidation>
    <dataValidation type="list" allowBlank="1" showInputMessage="1" showErrorMessage="1" sqref="W99" xr:uid="{4736960C-F37E-449F-BAB2-DA23E66276E3}">
      <formula1>"NA, SMARTIO15_2"</formula1>
    </dataValidation>
    <dataValidation type="list" allowBlank="1" showInputMessage="1" showErrorMessage="1" sqref="W100" xr:uid="{542BA2C6-CA2D-4A68-BF9D-8DFFAE4C71B0}">
      <formula1>"NA, SMARTIO15_3"</formula1>
    </dataValidation>
    <dataValidation type="list" allowBlank="1" showInputMessage="1" showErrorMessage="1" sqref="W83" xr:uid="{31229E2A-8A6E-464A-B989-98DEC32B599A}">
      <formula1>"NA, SMARTIO13_0"</formula1>
    </dataValidation>
    <dataValidation type="list" allowBlank="1" showInputMessage="1" showErrorMessage="1" sqref="W84" xr:uid="{8F60AFC1-35C6-4586-B1EC-5280F06C867D}">
      <formula1>"NA, SMARTIO13_1"</formula1>
    </dataValidation>
    <dataValidation type="list" allowBlank="1" showInputMessage="1" showErrorMessage="1" sqref="W85" xr:uid="{F34AA63E-9295-4F32-B5E6-F44768C4D47E}">
      <formula1>"NA, SMARTIO13_2"</formula1>
    </dataValidation>
    <dataValidation type="list" allowBlank="1" showInputMessage="1" showErrorMessage="1" sqref="W86" xr:uid="{4D409E77-45BC-4F4E-90A1-EC8F97DDE19D}">
      <formula1>"NA, SMARTIO13_3"</formula1>
    </dataValidation>
    <dataValidation type="list" allowBlank="1" showInputMessage="1" showErrorMessage="1" sqref="W87" xr:uid="{5AC43997-537E-4B27-A661-768FB4E95693}">
      <formula1>"NA, SMARTIO13_4"</formula1>
    </dataValidation>
    <dataValidation type="list" allowBlank="1" showInputMessage="1" showErrorMessage="1" sqref="W88" xr:uid="{5253D5AF-7E21-42B4-B376-C319CF29F2DC}">
      <formula1>"NA, SMARTIO13_5"</formula1>
    </dataValidation>
    <dataValidation type="list" allowBlank="1" showInputMessage="1" showErrorMessage="1" sqref="W89" xr:uid="{12B2B18C-0CB5-4B62-B54F-076CEE1FF382}">
      <formula1>"NA, SMARTIO13_6"</formula1>
    </dataValidation>
    <dataValidation type="list" allowBlank="1" showInputMessage="1" showErrorMessage="1" sqref="W90" xr:uid="{B4DE958B-0894-40B0-921D-505A7DD2F9F1}">
      <formula1>"NA, SMARTIO13_7"</formula1>
    </dataValidation>
    <dataValidation type="list" allowBlank="1" showInputMessage="1" showErrorMessage="1" sqref="W104" xr:uid="{6D2ADB0B-93CD-4AE2-A6DD-7ACF047F7D1A}">
      <formula1>"NA, SMARTIO17_0"</formula1>
    </dataValidation>
    <dataValidation type="list" allowBlank="1" showInputMessage="1" showErrorMessage="1" sqref="W105" xr:uid="{6AE42133-2649-4DC1-AC13-E98CB8BB16C7}">
      <formula1>"NA, SMARTIO17_1"</formula1>
    </dataValidation>
    <dataValidation type="list" allowBlank="1" showInputMessage="1" showErrorMessage="1" sqref="W106" xr:uid="{1E72C9DC-8CC9-4A3E-BCE1-4D0EDCEDB0ED}">
      <formula1>"NA, SMARTIO17_2"</formula1>
    </dataValidation>
    <dataValidation type="list" allowBlank="1" showInputMessage="1" showErrorMessage="1" sqref="W107" xr:uid="{A741DC0D-9290-486D-A06D-50B6D9496C87}">
      <formula1>"NA, SMARTIO17_3"</formula1>
    </dataValidation>
    <dataValidation type="list" allowBlank="1" showInputMessage="1" showErrorMessage="1" sqref="W108" xr:uid="{735B2FAF-28C9-4CA4-B734-498DAA0C8C26}">
      <formula1>"NA, SMARTIO17_4"</formula1>
    </dataValidation>
  </dataValidations>
  <pageMargins left="0.7" right="0.7" top="0.75" bottom="0.75" header="0.3" footer="0.3"/>
  <pageSetup paperSize="9" orientation="portrait" r:id="rId1"/>
  <ignoredErrors>
    <ignoredError sqref="X11:X153" unlockedFormula="1"/>
  </ignoredError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F386-76C4-45E3-BEFA-2990E66530D0}">
  <dimension ref="A1:BQ132"/>
  <sheetViews>
    <sheetView zoomScale="89" zoomScaleNormal="89" workbookViewId="0">
      <selection activeCell="BQ5" sqref="BQ5"/>
    </sheetView>
  </sheetViews>
  <sheetFormatPr defaultRowHeight="10" x14ac:dyDescent="0.55000000000000004"/>
  <cols>
    <col min="1" max="1" width="8.6640625" style="35"/>
    <col min="2" max="2" width="14.1640625" style="35" bestFit="1" customWidth="1"/>
    <col min="3" max="3" width="12.08203125" style="35" bestFit="1" customWidth="1"/>
    <col min="4" max="66" width="6.1640625" style="35" customWidth="1"/>
    <col min="67" max="69" width="8.58203125" style="35" customWidth="1"/>
    <col min="70" max="291" width="8.6640625" style="35"/>
    <col min="292" max="292" width="14.33203125" style="35" customWidth="1"/>
    <col min="293" max="294" width="3.33203125" style="35" customWidth="1"/>
    <col min="295" max="319" width="2.4140625" style="35" customWidth="1"/>
    <col min="320" max="321" width="3.33203125" style="35" customWidth="1"/>
    <col min="322" max="322" width="14.33203125" style="35" customWidth="1"/>
    <col min="323" max="547" width="8.6640625" style="35"/>
    <col min="548" max="548" width="14.33203125" style="35" customWidth="1"/>
    <col min="549" max="550" width="3.33203125" style="35" customWidth="1"/>
    <col min="551" max="575" width="2.4140625" style="35" customWidth="1"/>
    <col min="576" max="577" width="3.33203125" style="35" customWidth="1"/>
    <col min="578" max="578" width="14.33203125" style="35" customWidth="1"/>
    <col min="579" max="803" width="8.6640625" style="35"/>
    <col min="804" max="804" width="14.33203125" style="35" customWidth="1"/>
    <col min="805" max="806" width="3.33203125" style="35" customWidth="1"/>
    <col min="807" max="831" width="2.4140625" style="35" customWidth="1"/>
    <col min="832" max="833" width="3.33203125" style="35" customWidth="1"/>
    <col min="834" max="834" width="14.33203125" style="35" customWidth="1"/>
    <col min="835" max="1059" width="8.6640625" style="35"/>
    <col min="1060" max="1060" width="14.33203125" style="35" customWidth="1"/>
    <col min="1061" max="1062" width="3.33203125" style="35" customWidth="1"/>
    <col min="1063" max="1087" width="2.4140625" style="35" customWidth="1"/>
    <col min="1088" max="1089" width="3.33203125" style="35" customWidth="1"/>
    <col min="1090" max="1090" width="14.33203125" style="35" customWidth="1"/>
    <col min="1091" max="1315" width="8.6640625" style="35"/>
    <col min="1316" max="1316" width="14.33203125" style="35" customWidth="1"/>
    <col min="1317" max="1318" width="3.33203125" style="35" customWidth="1"/>
    <col min="1319" max="1343" width="2.4140625" style="35" customWidth="1"/>
    <col min="1344" max="1345" width="3.33203125" style="35" customWidth="1"/>
    <col min="1346" max="1346" width="14.33203125" style="35" customWidth="1"/>
    <col min="1347" max="1571" width="8.6640625" style="35"/>
    <col min="1572" max="1572" width="14.33203125" style="35" customWidth="1"/>
    <col min="1573" max="1574" width="3.33203125" style="35" customWidth="1"/>
    <col min="1575" max="1599" width="2.4140625" style="35" customWidth="1"/>
    <col min="1600" max="1601" width="3.33203125" style="35" customWidth="1"/>
    <col min="1602" max="1602" width="14.33203125" style="35" customWidth="1"/>
    <col min="1603" max="1827" width="8.6640625" style="35"/>
    <col min="1828" max="1828" width="14.33203125" style="35" customWidth="1"/>
    <col min="1829" max="1830" width="3.33203125" style="35" customWidth="1"/>
    <col min="1831" max="1855" width="2.4140625" style="35" customWidth="1"/>
    <col min="1856" max="1857" width="3.33203125" style="35" customWidth="1"/>
    <col min="1858" max="1858" width="14.33203125" style="35" customWidth="1"/>
    <col min="1859" max="2083" width="8.6640625" style="35"/>
    <col min="2084" max="2084" width="14.33203125" style="35" customWidth="1"/>
    <col min="2085" max="2086" width="3.33203125" style="35" customWidth="1"/>
    <col min="2087" max="2111" width="2.4140625" style="35" customWidth="1"/>
    <col min="2112" max="2113" width="3.33203125" style="35" customWidth="1"/>
    <col min="2114" max="2114" width="14.33203125" style="35" customWidth="1"/>
    <col min="2115" max="2339" width="8.6640625" style="35"/>
    <col min="2340" max="2340" width="14.33203125" style="35" customWidth="1"/>
    <col min="2341" max="2342" width="3.33203125" style="35" customWidth="1"/>
    <col min="2343" max="2367" width="2.4140625" style="35" customWidth="1"/>
    <col min="2368" max="2369" width="3.33203125" style="35" customWidth="1"/>
    <col min="2370" max="2370" width="14.33203125" style="35" customWidth="1"/>
    <col min="2371" max="2595" width="8.6640625" style="35"/>
    <col min="2596" max="2596" width="14.33203125" style="35" customWidth="1"/>
    <col min="2597" max="2598" width="3.33203125" style="35" customWidth="1"/>
    <col min="2599" max="2623" width="2.4140625" style="35" customWidth="1"/>
    <col min="2624" max="2625" width="3.33203125" style="35" customWidth="1"/>
    <col min="2626" max="2626" width="14.33203125" style="35" customWidth="1"/>
    <col min="2627" max="2851" width="8.6640625" style="35"/>
    <col min="2852" max="2852" width="14.33203125" style="35" customWidth="1"/>
    <col min="2853" max="2854" width="3.33203125" style="35" customWidth="1"/>
    <col min="2855" max="2879" width="2.4140625" style="35" customWidth="1"/>
    <col min="2880" max="2881" width="3.33203125" style="35" customWidth="1"/>
    <col min="2882" max="2882" width="14.33203125" style="35" customWidth="1"/>
    <col min="2883" max="3107" width="8.6640625" style="35"/>
    <col min="3108" max="3108" width="14.33203125" style="35" customWidth="1"/>
    <col min="3109" max="3110" width="3.33203125" style="35" customWidth="1"/>
    <col min="3111" max="3135" width="2.4140625" style="35" customWidth="1"/>
    <col min="3136" max="3137" width="3.33203125" style="35" customWidth="1"/>
    <col min="3138" max="3138" width="14.33203125" style="35" customWidth="1"/>
    <col min="3139" max="3363" width="8.6640625" style="35"/>
    <col min="3364" max="3364" width="14.33203125" style="35" customWidth="1"/>
    <col min="3365" max="3366" width="3.33203125" style="35" customWidth="1"/>
    <col min="3367" max="3391" width="2.4140625" style="35" customWidth="1"/>
    <col min="3392" max="3393" width="3.33203125" style="35" customWidth="1"/>
    <col min="3394" max="3394" width="14.33203125" style="35" customWidth="1"/>
    <col min="3395" max="3619" width="8.6640625" style="35"/>
    <col min="3620" max="3620" width="14.33203125" style="35" customWidth="1"/>
    <col min="3621" max="3622" width="3.33203125" style="35" customWidth="1"/>
    <col min="3623" max="3647" width="2.4140625" style="35" customWidth="1"/>
    <col min="3648" max="3649" width="3.33203125" style="35" customWidth="1"/>
    <col min="3650" max="3650" width="14.33203125" style="35" customWidth="1"/>
    <col min="3651" max="3875" width="8.6640625" style="35"/>
    <col min="3876" max="3876" width="14.33203125" style="35" customWidth="1"/>
    <col min="3877" max="3878" width="3.33203125" style="35" customWidth="1"/>
    <col min="3879" max="3903" width="2.4140625" style="35" customWidth="1"/>
    <col min="3904" max="3905" width="3.33203125" style="35" customWidth="1"/>
    <col min="3906" max="3906" width="14.33203125" style="35" customWidth="1"/>
    <col min="3907" max="4131" width="8.6640625" style="35"/>
    <col min="4132" max="4132" width="14.33203125" style="35" customWidth="1"/>
    <col min="4133" max="4134" width="3.33203125" style="35" customWidth="1"/>
    <col min="4135" max="4159" width="2.4140625" style="35" customWidth="1"/>
    <col min="4160" max="4161" width="3.33203125" style="35" customWidth="1"/>
    <col min="4162" max="4162" width="14.33203125" style="35" customWidth="1"/>
    <col min="4163" max="4387" width="8.6640625" style="35"/>
    <col min="4388" max="4388" width="14.33203125" style="35" customWidth="1"/>
    <col min="4389" max="4390" width="3.33203125" style="35" customWidth="1"/>
    <col min="4391" max="4415" width="2.4140625" style="35" customWidth="1"/>
    <col min="4416" max="4417" width="3.33203125" style="35" customWidth="1"/>
    <col min="4418" max="4418" width="14.33203125" style="35" customWidth="1"/>
    <col min="4419" max="4643" width="8.6640625" style="35"/>
    <col min="4644" max="4644" width="14.33203125" style="35" customWidth="1"/>
    <col min="4645" max="4646" width="3.33203125" style="35" customWidth="1"/>
    <col min="4647" max="4671" width="2.4140625" style="35" customWidth="1"/>
    <col min="4672" max="4673" width="3.33203125" style="35" customWidth="1"/>
    <col min="4674" max="4674" width="14.33203125" style="35" customWidth="1"/>
    <col min="4675" max="4899" width="8.6640625" style="35"/>
    <col min="4900" max="4900" width="14.33203125" style="35" customWidth="1"/>
    <col min="4901" max="4902" width="3.33203125" style="35" customWidth="1"/>
    <col min="4903" max="4927" width="2.4140625" style="35" customWidth="1"/>
    <col min="4928" max="4929" width="3.33203125" style="35" customWidth="1"/>
    <col min="4930" max="4930" width="14.33203125" style="35" customWidth="1"/>
    <col min="4931" max="5155" width="8.6640625" style="35"/>
    <col min="5156" max="5156" width="14.33203125" style="35" customWidth="1"/>
    <col min="5157" max="5158" width="3.33203125" style="35" customWidth="1"/>
    <col min="5159" max="5183" width="2.4140625" style="35" customWidth="1"/>
    <col min="5184" max="5185" width="3.33203125" style="35" customWidth="1"/>
    <col min="5186" max="5186" width="14.33203125" style="35" customWidth="1"/>
    <col min="5187" max="5411" width="8.6640625" style="35"/>
    <col min="5412" max="5412" width="14.33203125" style="35" customWidth="1"/>
    <col min="5413" max="5414" width="3.33203125" style="35" customWidth="1"/>
    <col min="5415" max="5439" width="2.4140625" style="35" customWidth="1"/>
    <col min="5440" max="5441" width="3.33203125" style="35" customWidth="1"/>
    <col min="5442" max="5442" width="14.33203125" style="35" customWidth="1"/>
    <col min="5443" max="5667" width="8.6640625" style="35"/>
    <col min="5668" max="5668" width="14.33203125" style="35" customWidth="1"/>
    <col min="5669" max="5670" width="3.33203125" style="35" customWidth="1"/>
    <col min="5671" max="5695" width="2.4140625" style="35" customWidth="1"/>
    <col min="5696" max="5697" width="3.33203125" style="35" customWidth="1"/>
    <col min="5698" max="5698" width="14.33203125" style="35" customWidth="1"/>
    <col min="5699" max="5923" width="8.6640625" style="35"/>
    <col min="5924" max="5924" width="14.33203125" style="35" customWidth="1"/>
    <col min="5925" max="5926" width="3.33203125" style="35" customWidth="1"/>
    <col min="5927" max="5951" width="2.4140625" style="35" customWidth="1"/>
    <col min="5952" max="5953" width="3.33203125" style="35" customWidth="1"/>
    <col min="5954" max="5954" width="14.33203125" style="35" customWidth="1"/>
    <col min="5955" max="6179" width="8.6640625" style="35"/>
    <col min="6180" max="6180" width="14.33203125" style="35" customWidth="1"/>
    <col min="6181" max="6182" width="3.33203125" style="35" customWidth="1"/>
    <col min="6183" max="6207" width="2.4140625" style="35" customWidth="1"/>
    <col min="6208" max="6209" width="3.33203125" style="35" customWidth="1"/>
    <col min="6210" max="6210" width="14.33203125" style="35" customWidth="1"/>
    <col min="6211" max="6435" width="8.6640625" style="35"/>
    <col min="6436" max="6436" width="14.33203125" style="35" customWidth="1"/>
    <col min="6437" max="6438" width="3.33203125" style="35" customWidth="1"/>
    <col min="6439" max="6463" width="2.4140625" style="35" customWidth="1"/>
    <col min="6464" max="6465" width="3.33203125" style="35" customWidth="1"/>
    <col min="6466" max="6466" width="14.33203125" style="35" customWidth="1"/>
    <col min="6467" max="6691" width="8.6640625" style="35"/>
    <col min="6692" max="6692" width="14.33203125" style="35" customWidth="1"/>
    <col min="6693" max="6694" width="3.33203125" style="35" customWidth="1"/>
    <col min="6695" max="6719" width="2.4140625" style="35" customWidth="1"/>
    <col min="6720" max="6721" width="3.33203125" style="35" customWidth="1"/>
    <col min="6722" max="6722" width="14.33203125" style="35" customWidth="1"/>
    <col min="6723" max="6947" width="8.6640625" style="35"/>
    <col min="6948" max="6948" width="14.33203125" style="35" customWidth="1"/>
    <col min="6949" max="6950" width="3.33203125" style="35" customWidth="1"/>
    <col min="6951" max="6975" width="2.4140625" style="35" customWidth="1"/>
    <col min="6976" max="6977" width="3.33203125" style="35" customWidth="1"/>
    <col min="6978" max="6978" width="14.33203125" style="35" customWidth="1"/>
    <col min="6979" max="7203" width="8.6640625" style="35"/>
    <col min="7204" max="7204" width="14.33203125" style="35" customWidth="1"/>
    <col min="7205" max="7206" width="3.33203125" style="35" customWidth="1"/>
    <col min="7207" max="7231" width="2.4140625" style="35" customWidth="1"/>
    <col min="7232" max="7233" width="3.33203125" style="35" customWidth="1"/>
    <col min="7234" max="7234" width="14.33203125" style="35" customWidth="1"/>
    <col min="7235" max="7459" width="8.6640625" style="35"/>
    <col min="7460" max="7460" width="14.33203125" style="35" customWidth="1"/>
    <col min="7461" max="7462" width="3.33203125" style="35" customWidth="1"/>
    <col min="7463" max="7487" width="2.4140625" style="35" customWidth="1"/>
    <col min="7488" max="7489" width="3.33203125" style="35" customWidth="1"/>
    <col min="7490" max="7490" width="14.33203125" style="35" customWidth="1"/>
    <col min="7491" max="7715" width="8.6640625" style="35"/>
    <col min="7716" max="7716" width="14.33203125" style="35" customWidth="1"/>
    <col min="7717" max="7718" width="3.33203125" style="35" customWidth="1"/>
    <col min="7719" max="7743" width="2.4140625" style="35" customWidth="1"/>
    <col min="7744" max="7745" width="3.33203125" style="35" customWidth="1"/>
    <col min="7746" max="7746" width="14.33203125" style="35" customWidth="1"/>
    <col min="7747" max="7971" width="8.6640625" style="35"/>
    <col min="7972" max="7972" width="14.33203125" style="35" customWidth="1"/>
    <col min="7973" max="7974" width="3.33203125" style="35" customWidth="1"/>
    <col min="7975" max="7999" width="2.4140625" style="35" customWidth="1"/>
    <col min="8000" max="8001" width="3.33203125" style="35" customWidth="1"/>
    <col min="8002" max="8002" width="14.33203125" style="35" customWidth="1"/>
    <col min="8003" max="8227" width="8.6640625" style="35"/>
    <col min="8228" max="8228" width="14.33203125" style="35" customWidth="1"/>
    <col min="8229" max="8230" width="3.33203125" style="35" customWidth="1"/>
    <col min="8231" max="8255" width="2.4140625" style="35" customWidth="1"/>
    <col min="8256" max="8257" width="3.33203125" style="35" customWidth="1"/>
    <col min="8258" max="8258" width="14.33203125" style="35" customWidth="1"/>
    <col min="8259" max="8483" width="8.6640625" style="35"/>
    <col min="8484" max="8484" width="14.33203125" style="35" customWidth="1"/>
    <col min="8485" max="8486" width="3.33203125" style="35" customWidth="1"/>
    <col min="8487" max="8511" width="2.4140625" style="35" customWidth="1"/>
    <col min="8512" max="8513" width="3.33203125" style="35" customWidth="1"/>
    <col min="8514" max="8514" width="14.33203125" style="35" customWidth="1"/>
    <col min="8515" max="8739" width="8.6640625" style="35"/>
    <col min="8740" max="8740" width="14.33203125" style="35" customWidth="1"/>
    <col min="8741" max="8742" width="3.33203125" style="35" customWidth="1"/>
    <col min="8743" max="8767" width="2.4140625" style="35" customWidth="1"/>
    <col min="8768" max="8769" width="3.33203125" style="35" customWidth="1"/>
    <col min="8770" max="8770" width="14.33203125" style="35" customWidth="1"/>
    <col min="8771" max="8995" width="8.6640625" style="35"/>
    <col min="8996" max="8996" width="14.33203125" style="35" customWidth="1"/>
    <col min="8997" max="8998" width="3.33203125" style="35" customWidth="1"/>
    <col min="8999" max="9023" width="2.4140625" style="35" customWidth="1"/>
    <col min="9024" max="9025" width="3.33203125" style="35" customWidth="1"/>
    <col min="9026" max="9026" width="14.33203125" style="35" customWidth="1"/>
    <col min="9027" max="9251" width="8.6640625" style="35"/>
    <col min="9252" max="9252" width="14.33203125" style="35" customWidth="1"/>
    <col min="9253" max="9254" width="3.33203125" style="35" customWidth="1"/>
    <col min="9255" max="9279" width="2.4140625" style="35" customWidth="1"/>
    <col min="9280" max="9281" width="3.33203125" style="35" customWidth="1"/>
    <col min="9282" max="9282" width="14.33203125" style="35" customWidth="1"/>
    <col min="9283" max="9507" width="8.6640625" style="35"/>
    <col min="9508" max="9508" width="14.33203125" style="35" customWidth="1"/>
    <col min="9509" max="9510" width="3.33203125" style="35" customWidth="1"/>
    <col min="9511" max="9535" width="2.4140625" style="35" customWidth="1"/>
    <col min="9536" max="9537" width="3.33203125" style="35" customWidth="1"/>
    <col min="9538" max="9538" width="14.33203125" style="35" customWidth="1"/>
    <col min="9539" max="9763" width="8.6640625" style="35"/>
    <col min="9764" max="9764" width="14.33203125" style="35" customWidth="1"/>
    <col min="9765" max="9766" width="3.33203125" style="35" customWidth="1"/>
    <col min="9767" max="9791" width="2.4140625" style="35" customWidth="1"/>
    <col min="9792" max="9793" width="3.33203125" style="35" customWidth="1"/>
    <col min="9794" max="9794" width="14.33203125" style="35" customWidth="1"/>
    <col min="9795" max="10019" width="8.6640625" style="35"/>
    <col min="10020" max="10020" width="14.33203125" style="35" customWidth="1"/>
    <col min="10021" max="10022" width="3.33203125" style="35" customWidth="1"/>
    <col min="10023" max="10047" width="2.4140625" style="35" customWidth="1"/>
    <col min="10048" max="10049" width="3.33203125" style="35" customWidth="1"/>
    <col min="10050" max="10050" width="14.33203125" style="35" customWidth="1"/>
    <col min="10051" max="10275" width="8.6640625" style="35"/>
    <col min="10276" max="10276" width="14.33203125" style="35" customWidth="1"/>
    <col min="10277" max="10278" width="3.33203125" style="35" customWidth="1"/>
    <col min="10279" max="10303" width="2.4140625" style="35" customWidth="1"/>
    <col min="10304" max="10305" width="3.33203125" style="35" customWidth="1"/>
    <col min="10306" max="10306" width="14.33203125" style="35" customWidth="1"/>
    <col min="10307" max="10531" width="8.6640625" style="35"/>
    <col min="10532" max="10532" width="14.33203125" style="35" customWidth="1"/>
    <col min="10533" max="10534" width="3.33203125" style="35" customWidth="1"/>
    <col min="10535" max="10559" width="2.4140625" style="35" customWidth="1"/>
    <col min="10560" max="10561" width="3.33203125" style="35" customWidth="1"/>
    <col min="10562" max="10562" width="14.33203125" style="35" customWidth="1"/>
    <col min="10563" max="10787" width="8.6640625" style="35"/>
    <col min="10788" max="10788" width="14.33203125" style="35" customWidth="1"/>
    <col min="10789" max="10790" width="3.33203125" style="35" customWidth="1"/>
    <col min="10791" max="10815" width="2.4140625" style="35" customWidth="1"/>
    <col min="10816" max="10817" width="3.33203125" style="35" customWidth="1"/>
    <col min="10818" max="10818" width="14.33203125" style="35" customWidth="1"/>
    <col min="10819" max="11043" width="8.6640625" style="35"/>
    <col min="11044" max="11044" width="14.33203125" style="35" customWidth="1"/>
    <col min="11045" max="11046" width="3.33203125" style="35" customWidth="1"/>
    <col min="11047" max="11071" width="2.4140625" style="35" customWidth="1"/>
    <col min="11072" max="11073" width="3.33203125" style="35" customWidth="1"/>
    <col min="11074" max="11074" width="14.33203125" style="35" customWidth="1"/>
    <col min="11075" max="11299" width="8.6640625" style="35"/>
    <col min="11300" max="11300" width="14.33203125" style="35" customWidth="1"/>
    <col min="11301" max="11302" width="3.33203125" style="35" customWidth="1"/>
    <col min="11303" max="11327" width="2.4140625" style="35" customWidth="1"/>
    <col min="11328" max="11329" width="3.33203125" style="35" customWidth="1"/>
    <col min="11330" max="11330" width="14.33203125" style="35" customWidth="1"/>
    <col min="11331" max="11555" width="8.6640625" style="35"/>
    <col min="11556" max="11556" width="14.33203125" style="35" customWidth="1"/>
    <col min="11557" max="11558" width="3.33203125" style="35" customWidth="1"/>
    <col min="11559" max="11583" width="2.4140625" style="35" customWidth="1"/>
    <col min="11584" max="11585" width="3.33203125" style="35" customWidth="1"/>
    <col min="11586" max="11586" width="14.33203125" style="35" customWidth="1"/>
    <col min="11587" max="11811" width="8.6640625" style="35"/>
    <col min="11812" max="11812" width="14.33203125" style="35" customWidth="1"/>
    <col min="11813" max="11814" width="3.33203125" style="35" customWidth="1"/>
    <col min="11815" max="11839" width="2.4140625" style="35" customWidth="1"/>
    <col min="11840" max="11841" width="3.33203125" style="35" customWidth="1"/>
    <col min="11842" max="11842" width="14.33203125" style="35" customWidth="1"/>
    <col min="11843" max="12067" width="8.6640625" style="35"/>
    <col min="12068" max="12068" width="14.33203125" style="35" customWidth="1"/>
    <col min="12069" max="12070" width="3.33203125" style="35" customWidth="1"/>
    <col min="12071" max="12095" width="2.4140625" style="35" customWidth="1"/>
    <col min="12096" max="12097" width="3.33203125" style="35" customWidth="1"/>
    <col min="12098" max="12098" width="14.33203125" style="35" customWidth="1"/>
    <col min="12099" max="12323" width="8.6640625" style="35"/>
    <col min="12324" max="12324" width="14.33203125" style="35" customWidth="1"/>
    <col min="12325" max="12326" width="3.33203125" style="35" customWidth="1"/>
    <col min="12327" max="12351" width="2.4140625" style="35" customWidth="1"/>
    <col min="12352" max="12353" width="3.33203125" style="35" customWidth="1"/>
    <col min="12354" max="12354" width="14.33203125" style="35" customWidth="1"/>
    <col min="12355" max="12579" width="8.6640625" style="35"/>
    <col min="12580" max="12580" width="14.33203125" style="35" customWidth="1"/>
    <col min="12581" max="12582" width="3.33203125" style="35" customWidth="1"/>
    <col min="12583" max="12607" width="2.4140625" style="35" customWidth="1"/>
    <col min="12608" max="12609" width="3.33203125" style="35" customWidth="1"/>
    <col min="12610" max="12610" width="14.33203125" style="35" customWidth="1"/>
    <col min="12611" max="12835" width="8.6640625" style="35"/>
    <col min="12836" max="12836" width="14.33203125" style="35" customWidth="1"/>
    <col min="12837" max="12838" width="3.33203125" style="35" customWidth="1"/>
    <col min="12839" max="12863" width="2.4140625" style="35" customWidth="1"/>
    <col min="12864" max="12865" width="3.33203125" style="35" customWidth="1"/>
    <col min="12866" max="12866" width="14.33203125" style="35" customWidth="1"/>
    <col min="12867" max="13091" width="8.6640625" style="35"/>
    <col min="13092" max="13092" width="14.33203125" style="35" customWidth="1"/>
    <col min="13093" max="13094" width="3.33203125" style="35" customWidth="1"/>
    <col min="13095" max="13119" width="2.4140625" style="35" customWidth="1"/>
    <col min="13120" max="13121" width="3.33203125" style="35" customWidth="1"/>
    <col min="13122" max="13122" width="14.33203125" style="35" customWidth="1"/>
    <col min="13123" max="13347" width="8.6640625" style="35"/>
    <col min="13348" max="13348" width="14.33203125" style="35" customWidth="1"/>
    <col min="13349" max="13350" width="3.33203125" style="35" customWidth="1"/>
    <col min="13351" max="13375" width="2.4140625" style="35" customWidth="1"/>
    <col min="13376" max="13377" width="3.33203125" style="35" customWidth="1"/>
    <col min="13378" max="13378" width="14.33203125" style="35" customWidth="1"/>
    <col min="13379" max="13603" width="8.6640625" style="35"/>
    <col min="13604" max="13604" width="14.33203125" style="35" customWidth="1"/>
    <col min="13605" max="13606" width="3.33203125" style="35" customWidth="1"/>
    <col min="13607" max="13631" width="2.4140625" style="35" customWidth="1"/>
    <col min="13632" max="13633" width="3.33203125" style="35" customWidth="1"/>
    <col min="13634" max="13634" width="14.33203125" style="35" customWidth="1"/>
    <col min="13635" max="13859" width="8.6640625" style="35"/>
    <col min="13860" max="13860" width="14.33203125" style="35" customWidth="1"/>
    <col min="13861" max="13862" width="3.33203125" style="35" customWidth="1"/>
    <col min="13863" max="13887" width="2.4140625" style="35" customWidth="1"/>
    <col min="13888" max="13889" width="3.33203125" style="35" customWidth="1"/>
    <col min="13890" max="13890" width="14.33203125" style="35" customWidth="1"/>
    <col min="13891" max="14115" width="8.6640625" style="35"/>
    <col min="14116" max="14116" width="14.33203125" style="35" customWidth="1"/>
    <col min="14117" max="14118" width="3.33203125" style="35" customWidth="1"/>
    <col min="14119" max="14143" width="2.4140625" style="35" customWidth="1"/>
    <col min="14144" max="14145" width="3.33203125" style="35" customWidth="1"/>
    <col min="14146" max="14146" width="14.33203125" style="35" customWidth="1"/>
    <col min="14147" max="14371" width="8.6640625" style="35"/>
    <col min="14372" max="14372" width="14.33203125" style="35" customWidth="1"/>
    <col min="14373" max="14374" width="3.33203125" style="35" customWidth="1"/>
    <col min="14375" max="14399" width="2.4140625" style="35" customWidth="1"/>
    <col min="14400" max="14401" width="3.33203125" style="35" customWidth="1"/>
    <col min="14402" max="14402" width="14.33203125" style="35" customWidth="1"/>
    <col min="14403" max="14627" width="8.6640625" style="35"/>
    <col min="14628" max="14628" width="14.33203125" style="35" customWidth="1"/>
    <col min="14629" max="14630" width="3.33203125" style="35" customWidth="1"/>
    <col min="14631" max="14655" width="2.4140625" style="35" customWidth="1"/>
    <col min="14656" max="14657" width="3.33203125" style="35" customWidth="1"/>
    <col min="14658" max="14658" width="14.33203125" style="35" customWidth="1"/>
    <col min="14659" max="14883" width="8.6640625" style="35"/>
    <col min="14884" max="14884" width="14.33203125" style="35" customWidth="1"/>
    <col min="14885" max="14886" width="3.33203125" style="35" customWidth="1"/>
    <col min="14887" max="14911" width="2.4140625" style="35" customWidth="1"/>
    <col min="14912" max="14913" width="3.33203125" style="35" customWidth="1"/>
    <col min="14914" max="14914" width="14.33203125" style="35" customWidth="1"/>
    <col min="14915" max="15139" width="8.6640625" style="35"/>
    <col min="15140" max="15140" width="14.33203125" style="35" customWidth="1"/>
    <col min="15141" max="15142" width="3.33203125" style="35" customWidth="1"/>
    <col min="15143" max="15167" width="2.4140625" style="35" customWidth="1"/>
    <col min="15168" max="15169" width="3.33203125" style="35" customWidth="1"/>
    <col min="15170" max="15170" width="14.33203125" style="35" customWidth="1"/>
    <col min="15171" max="15395" width="8.6640625" style="35"/>
    <col min="15396" max="15396" width="14.33203125" style="35" customWidth="1"/>
    <col min="15397" max="15398" width="3.33203125" style="35" customWidth="1"/>
    <col min="15399" max="15423" width="2.4140625" style="35" customWidth="1"/>
    <col min="15424" max="15425" width="3.33203125" style="35" customWidth="1"/>
    <col min="15426" max="15426" width="14.33203125" style="35" customWidth="1"/>
    <col min="15427" max="15651" width="8.6640625" style="35"/>
    <col min="15652" max="15652" width="14.33203125" style="35" customWidth="1"/>
    <col min="15653" max="15654" width="3.33203125" style="35" customWidth="1"/>
    <col min="15655" max="15679" width="2.4140625" style="35" customWidth="1"/>
    <col min="15680" max="15681" width="3.33203125" style="35" customWidth="1"/>
    <col min="15682" max="15682" width="14.33203125" style="35" customWidth="1"/>
    <col min="15683" max="15907" width="8.6640625" style="35"/>
    <col min="15908" max="15908" width="14.33203125" style="35" customWidth="1"/>
    <col min="15909" max="15910" width="3.33203125" style="35" customWidth="1"/>
    <col min="15911" max="15935" width="2.4140625" style="35" customWidth="1"/>
    <col min="15936" max="15937" width="3.33203125" style="35" customWidth="1"/>
    <col min="15938" max="15938" width="14.33203125" style="35" customWidth="1"/>
    <col min="15939" max="16163" width="8.6640625" style="35"/>
    <col min="16164" max="16164" width="14.33203125" style="35" customWidth="1"/>
    <col min="16165" max="16166" width="3.33203125" style="35" customWidth="1"/>
    <col min="16167" max="16191" width="2.4140625" style="35" customWidth="1"/>
    <col min="16192" max="16193" width="3.33203125" style="35" customWidth="1"/>
    <col min="16194" max="16194" width="14.33203125" style="35" customWidth="1"/>
    <col min="16195" max="16384" width="8.6640625" style="35"/>
  </cols>
  <sheetData>
    <row r="1" spans="1:69" ht="22.5" x14ac:dyDescent="0.55000000000000004">
      <c r="A1" s="34" t="s">
        <v>560</v>
      </c>
      <c r="BO1" s="23"/>
      <c r="BP1" s="23"/>
      <c r="BQ1" s="23"/>
    </row>
    <row r="2" spans="1:69" ht="22.5" x14ac:dyDescent="0.55000000000000004">
      <c r="A2" s="34"/>
      <c r="BO2" s="23"/>
      <c r="BP2" s="23"/>
      <c r="BQ2" s="23"/>
    </row>
    <row r="3" spans="1:69" ht="22.5" x14ac:dyDescent="0.55000000000000004">
      <c r="A3" s="34"/>
      <c r="BO3" s="23"/>
      <c r="BP3" s="23"/>
      <c r="BQ3" s="23"/>
    </row>
    <row r="4" spans="1:69" ht="22.5" x14ac:dyDescent="0.55000000000000004">
      <c r="A4" s="34"/>
      <c r="BO4" s="23"/>
      <c r="BP4" s="23"/>
      <c r="BQ4" s="23"/>
    </row>
    <row r="5" spans="1:69" ht="22.5" x14ac:dyDescent="0.55000000000000004">
      <c r="A5" s="34"/>
      <c r="BN5" s="36"/>
      <c r="BO5" s="23"/>
      <c r="BP5" s="23"/>
      <c r="BQ5" s="24" t="s">
        <v>1185</v>
      </c>
    </row>
    <row r="7" spans="1:69" x14ac:dyDescent="0.55000000000000004">
      <c r="B7" s="128" t="s">
        <v>375</v>
      </c>
      <c r="C7" s="129"/>
      <c r="D7" s="37" t="s">
        <v>400</v>
      </c>
      <c r="E7" s="37" t="s">
        <v>399</v>
      </c>
      <c r="F7" s="37" t="s">
        <v>401</v>
      </c>
      <c r="G7" s="37" t="s">
        <v>1227</v>
      </c>
    </row>
    <row r="8" spans="1:69" x14ac:dyDescent="0.55000000000000004">
      <c r="B8" s="123" t="s">
        <v>398</v>
      </c>
      <c r="C8" s="38" t="s">
        <v>386</v>
      </c>
      <c r="D8" s="38">
        <f>COUNTIF('PF144'!V10:V153,"CAN0_0_RX")</f>
        <v>0</v>
      </c>
      <c r="E8" s="38">
        <f>COUNTIF('PF144'!V10:V153,"CAN0_1_RX")</f>
        <v>0</v>
      </c>
      <c r="F8" s="38">
        <f>COUNTIF('PF144'!V10:V153,"CAN0_2_RX")</f>
        <v>0</v>
      </c>
      <c r="G8" s="38">
        <f>COUNTIF('PF144'!V10:V153,"CAN0_3_RX")</f>
        <v>0</v>
      </c>
    </row>
    <row r="9" spans="1:69" x14ac:dyDescent="0.55000000000000004">
      <c r="B9" s="130"/>
      <c r="C9" s="38" t="s">
        <v>385</v>
      </c>
      <c r="D9" s="38">
        <f>COUNTIF('PF144'!V10:V153,"CAN0_0_TX")</f>
        <v>0</v>
      </c>
      <c r="E9" s="38">
        <f>COUNTIF('PF144'!V10:V153,"CAN0_1_TX")</f>
        <v>0</v>
      </c>
      <c r="F9" s="38">
        <f>COUNTIF('PF144'!V10:V153,"CAN0_2_TX")</f>
        <v>0</v>
      </c>
      <c r="G9" s="38">
        <f>COUNTIF('PF144'!V10:V153,"CAN0_3_TX")</f>
        <v>0</v>
      </c>
    </row>
    <row r="11" spans="1:69" x14ac:dyDescent="0.55000000000000004">
      <c r="B11" s="128" t="s">
        <v>371</v>
      </c>
      <c r="C11" s="129"/>
      <c r="D11" s="37" t="s">
        <v>402</v>
      </c>
      <c r="E11" s="37" t="s">
        <v>404</v>
      </c>
      <c r="F11" s="37" t="s">
        <v>403</v>
      </c>
      <c r="G11" s="37" t="s">
        <v>1228</v>
      </c>
    </row>
    <row r="12" spans="1:69" x14ac:dyDescent="0.55000000000000004">
      <c r="B12" s="135" t="s">
        <v>398</v>
      </c>
      <c r="C12" s="38" t="s">
        <v>386</v>
      </c>
      <c r="D12" s="38">
        <f>COUNTIF('PF144'!V10:V153,"CAN1_0_RX")</f>
        <v>0</v>
      </c>
      <c r="E12" s="38">
        <f>COUNTIF('PF144'!V10:V153,"CAN1_1_RX")</f>
        <v>0</v>
      </c>
      <c r="F12" s="38">
        <f>COUNTIF('PF144'!V10:V153,"CAN1_2_RX")</f>
        <v>0</v>
      </c>
      <c r="G12" s="38">
        <f>COUNTIF('PF144'!V10:V153,"CAN1_3_RX")</f>
        <v>0</v>
      </c>
    </row>
    <row r="13" spans="1:69" x14ac:dyDescent="0.55000000000000004">
      <c r="B13" s="135"/>
      <c r="C13" s="38" t="s">
        <v>385</v>
      </c>
      <c r="D13" s="38">
        <f>COUNTIF('PF144'!V10:V153,"CAN1_0_TX")</f>
        <v>0</v>
      </c>
      <c r="E13" s="38">
        <f>COUNTIF('PF144'!V10:V153,"CAN1_1_TX")</f>
        <v>0</v>
      </c>
      <c r="F13" s="38">
        <f>COUNTIF('PF144'!V10:V153,"CAN1_2_TX")</f>
        <v>0</v>
      </c>
      <c r="G13" s="38">
        <f>COUNTIF('PF144'!V10:V153,"CAN1_3_TX")</f>
        <v>0</v>
      </c>
    </row>
    <row r="14" spans="1:69" x14ac:dyDescent="0.55000000000000004">
      <c r="B14" s="39"/>
      <c r="C14" s="40"/>
      <c r="D14" s="40"/>
      <c r="E14" s="40"/>
      <c r="F14" s="40"/>
    </row>
    <row r="16" spans="1:69" x14ac:dyDescent="0.55000000000000004">
      <c r="B16" s="128" t="s">
        <v>374</v>
      </c>
      <c r="C16" s="129"/>
      <c r="D16" s="37" t="s">
        <v>387</v>
      </c>
      <c r="E16" s="37" t="s">
        <v>388</v>
      </c>
      <c r="F16" s="37" t="s">
        <v>389</v>
      </c>
      <c r="G16" s="37" t="s">
        <v>390</v>
      </c>
      <c r="H16" s="37" t="s">
        <v>391</v>
      </c>
      <c r="I16" s="37" t="s">
        <v>392</v>
      </c>
      <c r="J16" s="37" t="s">
        <v>393</v>
      </c>
      <c r="K16" s="37" t="s">
        <v>394</v>
      </c>
      <c r="L16" s="37" t="s">
        <v>1229</v>
      </c>
      <c r="M16" s="37" t="s">
        <v>1230</v>
      </c>
      <c r="N16" s="37" t="s">
        <v>1231</v>
      </c>
      <c r="O16" s="37" t="s">
        <v>1232</v>
      </c>
    </row>
    <row r="17" spans="2:59" x14ac:dyDescent="0.55000000000000004">
      <c r="B17" s="123" t="s">
        <v>398</v>
      </c>
      <c r="C17" s="38" t="s">
        <v>386</v>
      </c>
      <c r="D17" s="38">
        <f>COUNTIF('PF144'!V10:V153,"LIN0_RX")</f>
        <v>0</v>
      </c>
      <c r="E17" s="38">
        <f>COUNTIF('PF144'!V10:V153,"LIN1_RX")</f>
        <v>0</v>
      </c>
      <c r="F17" s="38">
        <f>COUNTIF('PF144'!V10:V153,"LIN2_RX")</f>
        <v>0</v>
      </c>
      <c r="G17" s="38">
        <f>COUNTIF('PF144'!V10:V153,"LIN3_RX")</f>
        <v>0</v>
      </c>
      <c r="H17" s="38">
        <f>COUNTIF('PF144'!V10:V153,"LIN4_RX")</f>
        <v>0</v>
      </c>
      <c r="I17" s="38">
        <f>COUNTIF('PF144'!V10:V153,"LIN5_RX")</f>
        <v>0</v>
      </c>
      <c r="J17" s="38">
        <f>COUNTIF('PF144'!V10:V153,"LIN6_RX")</f>
        <v>0</v>
      </c>
      <c r="K17" s="38">
        <f>COUNTIF('PF144'!V10:V153,"LIN7_RX")</f>
        <v>0</v>
      </c>
      <c r="L17" s="38">
        <f>COUNTIF('PF144'!V10:V153,"LIN8_RX")</f>
        <v>0</v>
      </c>
      <c r="M17" s="38">
        <f>COUNTIF('PF144'!V10:V153,"LIN9_RX")</f>
        <v>0</v>
      </c>
      <c r="N17" s="38">
        <f>COUNTIF('PF144'!V10:V153,"LIN10_RX")</f>
        <v>0</v>
      </c>
      <c r="O17" s="38">
        <f>COUNTIF('PF144'!V10:V153,"LIN11_RX")</f>
        <v>0</v>
      </c>
    </row>
    <row r="18" spans="2:59" x14ac:dyDescent="0.55000000000000004">
      <c r="B18" s="124"/>
      <c r="C18" s="38" t="s">
        <v>385</v>
      </c>
      <c r="D18" s="38">
        <f>COUNTIF('PF144'!V10:V153,"LIN0_TX")</f>
        <v>0</v>
      </c>
      <c r="E18" s="38">
        <f>COUNTIF('PF144'!V10:V153,"LIN1_TX")</f>
        <v>0</v>
      </c>
      <c r="F18" s="38">
        <f>COUNTIF('PF144'!V10:V153,"LIN2_TX")</f>
        <v>0</v>
      </c>
      <c r="G18" s="38">
        <f>COUNTIF('PF144'!V10:V153,"LIN3_TX")</f>
        <v>0</v>
      </c>
      <c r="H18" s="38">
        <f>COUNTIF('PF144'!V10:V153,"LIN4_TX")</f>
        <v>0</v>
      </c>
      <c r="I18" s="38">
        <f>COUNTIF('PF144'!V10:V153,"LIN5_TX")</f>
        <v>0</v>
      </c>
      <c r="J18" s="38">
        <f>COUNTIF('PF144'!V10:V153,"LIN6_TX")</f>
        <v>0</v>
      </c>
      <c r="K18" s="38">
        <f>COUNTIF('PF144'!V10:V153,"LIN7_TX")</f>
        <v>0</v>
      </c>
      <c r="L18" s="38">
        <f>COUNTIF('PF144'!V10:V153,"LIN8_TX")</f>
        <v>0</v>
      </c>
      <c r="M18" s="38">
        <f>COUNTIF('PF144'!V10:V153,"LIN9_TX")</f>
        <v>0</v>
      </c>
      <c r="N18" s="38">
        <f>COUNTIF('PF144'!V10:V153,"LIN10_TX")</f>
        <v>0</v>
      </c>
      <c r="O18" s="38">
        <f>COUNTIF('PF144'!V10:V153,"LIN11_TX")</f>
        <v>0</v>
      </c>
    </row>
    <row r="19" spans="2:59" x14ac:dyDescent="0.55000000000000004">
      <c r="B19" s="130"/>
      <c r="C19" s="38" t="s">
        <v>397</v>
      </c>
      <c r="D19" s="38">
        <f>COUNTIF('PF144'!V10:V153,"LIN0_EN")</f>
        <v>0</v>
      </c>
      <c r="E19" s="38">
        <f>COUNTIF('PF144'!V10:V153,"LIN1_EN")</f>
        <v>0</v>
      </c>
      <c r="F19" s="38">
        <f>COUNTIF('PF144'!V10:V153,"LIN2_EN")</f>
        <v>0</v>
      </c>
      <c r="G19" s="38">
        <f>COUNTIF('PF144'!V10:V153,"LIN3_EN")</f>
        <v>0</v>
      </c>
      <c r="H19" s="38">
        <f>COUNTIF('PF144'!V10:V153,"LIN4_EN")</f>
        <v>0</v>
      </c>
      <c r="I19" s="38">
        <f>COUNTIF('PF144'!V10:V153,"LIN5_EN")</f>
        <v>0</v>
      </c>
      <c r="J19" s="38">
        <f>COUNTIF('PF144'!V10:V153,"LIN6_EN")</f>
        <v>0</v>
      </c>
      <c r="K19" s="38">
        <f>COUNTIF('PF144'!V10:V153,"LIN7_EN")</f>
        <v>0</v>
      </c>
      <c r="L19" s="38">
        <f>COUNTIF('PF144'!V10:V153,"LIN8_EN")</f>
        <v>0</v>
      </c>
      <c r="M19" s="38">
        <f>COUNTIF('PF144'!V10:V153,"LIN9_EN")</f>
        <v>0</v>
      </c>
      <c r="N19" s="38">
        <f>COUNTIF('PF144'!V10:V153,"LIN10_EN")</f>
        <v>0</v>
      </c>
      <c r="O19" s="38">
        <f>COUNTIF('PF144'!V10:V153,"LIN11_EN")</f>
        <v>0</v>
      </c>
    </row>
    <row r="20" spans="2:59" x14ac:dyDescent="0.55000000000000004">
      <c r="B20" s="39"/>
      <c r="C20" s="40"/>
      <c r="D20" s="40"/>
      <c r="E20" s="40"/>
      <c r="F20" s="40"/>
      <c r="G20" s="40"/>
      <c r="H20" s="40"/>
      <c r="I20" s="40"/>
      <c r="J20" s="40"/>
      <c r="K20" s="40"/>
    </row>
    <row r="22" spans="2:59" x14ac:dyDescent="0.55000000000000004">
      <c r="B22" s="128" t="s">
        <v>376</v>
      </c>
      <c r="C22" s="129"/>
      <c r="D22" s="37" t="s">
        <v>377</v>
      </c>
      <c r="E22" s="37" t="s">
        <v>378</v>
      </c>
      <c r="F22" s="37" t="s">
        <v>379</v>
      </c>
      <c r="G22" s="37" t="s">
        <v>380</v>
      </c>
      <c r="H22" s="37" t="s">
        <v>384</v>
      </c>
      <c r="I22" s="37" t="s">
        <v>383</v>
      </c>
      <c r="J22" s="37" t="s">
        <v>382</v>
      </c>
      <c r="K22" s="37" t="s">
        <v>381</v>
      </c>
    </row>
    <row r="23" spans="2:59" ht="10" customHeight="1" x14ac:dyDescent="0.55000000000000004">
      <c r="B23" s="131" t="s">
        <v>415</v>
      </c>
      <c r="C23" s="41" t="s">
        <v>1139</v>
      </c>
      <c r="D23" s="42">
        <f>COUNTIF('PF144'!V10:V153,"SCB0_CLK (0)")</f>
        <v>0</v>
      </c>
      <c r="E23" s="43">
        <f>COUNTIF('PF144'!V10:V153,"SCB1_CLK (0)")</f>
        <v>0</v>
      </c>
      <c r="F23" s="43">
        <f>COUNTIF('PF144'!V10:V153,"SCB2_CLK (0)")</f>
        <v>0</v>
      </c>
      <c r="G23" s="43">
        <f>COUNTIF('PF144'!V10:V153,"SCB3_CLK (0)")</f>
        <v>0</v>
      </c>
      <c r="H23" s="43">
        <f>COUNTIF('PF144'!V10:V153,"SCB4_CLK (0)")</f>
        <v>0</v>
      </c>
      <c r="I23" s="43">
        <f>COUNTIF('PF144'!V10:V153,"SCB5_CLK (0)")</f>
        <v>0</v>
      </c>
      <c r="J23" s="43">
        <f>COUNTIF('PF144'!V10:V153,"SCB6_CLK (0)")</f>
        <v>0</v>
      </c>
      <c r="K23" s="43">
        <f>COUNTIF('PF144'!V10:V153,"SCB7_CLK (0)")</f>
        <v>0</v>
      </c>
      <c r="BG23" s="44"/>
    </row>
    <row r="24" spans="2:59" x14ac:dyDescent="0.55000000000000004">
      <c r="B24" s="132"/>
      <c r="C24" s="41" t="s">
        <v>1140</v>
      </c>
      <c r="D24" s="42">
        <f>COUNTIF('PF144'!V10:V153,"SCB0_CLK (1)")</f>
        <v>0</v>
      </c>
      <c r="E24" s="43">
        <f>COUNTIF('PF144'!V10:V153,"SCB1_CLK (1)")</f>
        <v>0</v>
      </c>
      <c r="F24" s="43">
        <f>COUNTIF('PF144'!V10:V153,"SCB2_CLK (1)")</f>
        <v>0</v>
      </c>
      <c r="G24" s="43">
        <f>COUNTIF('PF144'!V10:V153,"SCB3_CLK (1)")</f>
        <v>0</v>
      </c>
      <c r="H24" s="43">
        <f>COUNTIF('PF144'!V10:V153,"SCB4_CLK (1)")</f>
        <v>0</v>
      </c>
      <c r="I24" s="43">
        <f>COUNTIF('PF144'!V10:V153,"SCB5_CLK (1)")</f>
        <v>0</v>
      </c>
      <c r="J24" s="43">
        <f>COUNTIF('PF144'!V10:V153,"SCB6_CLK (1)")</f>
        <v>0</v>
      </c>
      <c r="K24" s="43">
        <f>COUNTIF('PF144'!V10:V153,"SCB7_CLK (1)")</f>
        <v>0</v>
      </c>
    </row>
    <row r="25" spans="2:59" x14ac:dyDescent="0.55000000000000004">
      <c r="B25" s="132"/>
      <c r="C25" s="41" t="s">
        <v>1141</v>
      </c>
      <c r="D25" s="42">
        <f>COUNTIF('PF144'!V10:V153,"SCB0_MOSI (0)")</f>
        <v>0</v>
      </c>
      <c r="E25" s="43">
        <f>COUNTIF('PF144'!V10:V153,"SCB1_MOSI (0)")</f>
        <v>0</v>
      </c>
      <c r="F25" s="43">
        <f>COUNTIF('PF144'!V10:V153,"SCB2_MOSI (0)")</f>
        <v>0</v>
      </c>
      <c r="G25" s="43">
        <f>COUNTIF('PF144'!V10:V153,"SCB3_MOSI (0)")</f>
        <v>0</v>
      </c>
      <c r="H25" s="43">
        <f>COUNTIF('PF144'!V10:V153,"SCB4_MOSI (0)")</f>
        <v>0</v>
      </c>
      <c r="I25" s="43">
        <f>COUNTIF('PF144'!V10:V153,"SCB5_MOSI (0)")</f>
        <v>0</v>
      </c>
      <c r="J25" s="43">
        <f>COUNTIF('PF144'!V10:V153,"SCB6_MOSI (0)")</f>
        <v>0</v>
      </c>
      <c r="K25" s="43">
        <f>COUNTIF('PF144'!V10:V153,"SCB7_MOSI (0)")</f>
        <v>0</v>
      </c>
    </row>
    <row r="26" spans="2:59" x14ac:dyDescent="0.55000000000000004">
      <c r="B26" s="132"/>
      <c r="C26" s="41" t="s">
        <v>1142</v>
      </c>
      <c r="D26" s="42">
        <f>COUNTIF('PF144'!V10:V153,"SCB0_MOSI (1)")</f>
        <v>0</v>
      </c>
      <c r="E26" s="43">
        <f>COUNTIF('PF144'!V10:V153,"SCB1_MOSI (1)")</f>
        <v>0</v>
      </c>
      <c r="F26" s="43">
        <f>COUNTIF('PF144'!V10:V153,"SCB2_MOSI (1)")</f>
        <v>0</v>
      </c>
      <c r="G26" s="43">
        <f>COUNTIF('PF144'!V10:V153,"SCB3_MOSI (1)")</f>
        <v>0</v>
      </c>
      <c r="H26" s="43">
        <f>COUNTIF('PF144'!V10:V153,"SCB4_MOSI (1)")</f>
        <v>0</v>
      </c>
      <c r="I26" s="43">
        <f>COUNTIF('PF144'!V10:V153,"SCB5_MOSI (1)")</f>
        <v>0</v>
      </c>
      <c r="J26" s="43">
        <f>COUNTIF('PF144'!V10:V153,"SCB6_MOSI (1)")</f>
        <v>0</v>
      </c>
      <c r="K26" s="43">
        <f>COUNTIF('PF144'!V10:V153,"SCB7_MOSI (1)")</f>
        <v>0</v>
      </c>
    </row>
    <row r="27" spans="2:59" x14ac:dyDescent="0.55000000000000004">
      <c r="B27" s="132"/>
      <c r="C27" s="41" t="s">
        <v>1143</v>
      </c>
      <c r="D27" s="42">
        <f>COUNTIF('PF144'!V10:V153,"SCB0_MISO (0)")</f>
        <v>0</v>
      </c>
      <c r="E27" s="43">
        <f>COUNTIF('PF144'!V10:V153,"SCB1_MISO (0)")</f>
        <v>0</v>
      </c>
      <c r="F27" s="43">
        <f>COUNTIF('PF144'!V10:V153,"SCB2_MISO (0)")</f>
        <v>0</v>
      </c>
      <c r="G27" s="43">
        <f>COUNTIF('PF144'!V10:V153,"SCB3_MISO (0)")</f>
        <v>0</v>
      </c>
      <c r="H27" s="43">
        <f>COUNTIF('PF144'!V10:V153,"SCB4_MISO (0)")</f>
        <v>0</v>
      </c>
      <c r="I27" s="43">
        <f>COUNTIF('PF144'!V10:V153,"SCB5_MISO (0)")</f>
        <v>0</v>
      </c>
      <c r="J27" s="43">
        <f>COUNTIF('PF144'!V10:V153,"SCB6_MISO (0)")</f>
        <v>0</v>
      </c>
      <c r="K27" s="43">
        <f>COUNTIF('PF144'!V10:V153,"SCB7_MISO (0)")</f>
        <v>0</v>
      </c>
    </row>
    <row r="28" spans="2:59" x14ac:dyDescent="0.55000000000000004">
      <c r="B28" s="132"/>
      <c r="C28" s="41" t="s">
        <v>1144</v>
      </c>
      <c r="D28" s="42">
        <f>COUNTIF('PF144'!V10:V153,"SCB0_MISO (1)")</f>
        <v>0</v>
      </c>
      <c r="E28" s="43">
        <f>COUNTIF('PF144'!V10:V153,"SCB1_MISO (1)")</f>
        <v>0</v>
      </c>
      <c r="F28" s="43">
        <f>COUNTIF('PF144'!V10:V153,"SCB2_MISO (1)")</f>
        <v>0</v>
      </c>
      <c r="G28" s="43">
        <f>COUNTIF('PF144'!V10:V153,"SCB3_MISO (1)")</f>
        <v>0</v>
      </c>
      <c r="H28" s="43">
        <f>COUNTIF('PF144'!V10:V153,"SCB4_MISO (1)")</f>
        <v>0</v>
      </c>
      <c r="I28" s="43">
        <f>COUNTIF('PF144'!V10:V153,"SCB5_MISO (1)")</f>
        <v>0</v>
      </c>
      <c r="J28" s="43">
        <f>COUNTIF('PF144'!V10:V153,"SCB6_MISO (1)")</f>
        <v>0</v>
      </c>
      <c r="K28" s="43">
        <f>COUNTIF('PF144'!V10:V153,"SCB7_MISO (1)")</f>
        <v>0</v>
      </c>
    </row>
    <row r="29" spans="2:59" x14ac:dyDescent="0.55000000000000004">
      <c r="B29" s="132"/>
      <c r="C29" s="41" t="s">
        <v>1145</v>
      </c>
      <c r="D29" s="42">
        <f>COUNTIF('PF144'!V10:V153,"SCB0_SEL0 (0)")</f>
        <v>0</v>
      </c>
      <c r="E29" s="43">
        <f>COUNTIF('PF144'!V10:V153,"SCB1_SEL0 (0)")</f>
        <v>0</v>
      </c>
      <c r="F29" s="43">
        <f>COUNTIF('PF144'!V10:V153,"SCB2_SEL0 (0)")</f>
        <v>0</v>
      </c>
      <c r="G29" s="43">
        <f>COUNTIF('PF144'!V10:V153,"SCB3_SEL0 (0)")</f>
        <v>0</v>
      </c>
      <c r="H29" s="43">
        <f>COUNTIF('PF144'!V10:V153,"SCB4_SEL0 (0)")</f>
        <v>0</v>
      </c>
      <c r="I29" s="42">
        <f>COUNTIF('PF144'!V10:V153,"SCB5_SEL0 (0)")</f>
        <v>0</v>
      </c>
      <c r="J29" s="42">
        <f>COUNTIF('PF144'!V10:V153,"SCB6_SEL0 (0)")</f>
        <v>0</v>
      </c>
      <c r="K29" s="43">
        <f>COUNTIF('PF144'!V10:V153,"SCB7_SEL0 (0)")</f>
        <v>0</v>
      </c>
    </row>
    <row r="30" spans="2:59" x14ac:dyDescent="0.55000000000000004">
      <c r="B30" s="133"/>
      <c r="C30" s="41" t="s">
        <v>1146</v>
      </c>
      <c r="D30" s="42">
        <f>COUNTIF('PF144'!V10:V153,"SCB0_SEL0 (1)")</f>
        <v>0</v>
      </c>
      <c r="E30" s="43">
        <f>COUNTIF('PF144'!V10:V153,"SCB1_SEL0 (1)")</f>
        <v>0</v>
      </c>
      <c r="F30" s="43">
        <f>COUNTIF('PF144'!V10:V153,"SCB2_SEL0 (1)")</f>
        <v>0</v>
      </c>
      <c r="G30" s="43">
        <f>COUNTIF('PF144'!V10:V153,"SCB3_SEL0 (1)")</f>
        <v>0</v>
      </c>
      <c r="H30" s="43">
        <f>COUNTIF('PF144'!V10:V153,"SCB4_SEL0 (1)")</f>
        <v>0</v>
      </c>
      <c r="I30" s="42">
        <f>COUNTIF('PF144'!V10:V153,"SCB5_SEL0 (1)")</f>
        <v>0</v>
      </c>
      <c r="J30" s="42">
        <f>COUNTIF('PF144'!V10:V153,"SCB6_SEL0 (1)")</f>
        <v>0</v>
      </c>
      <c r="K30" s="43">
        <f>COUNTIF('PF144'!V10:V153,"SCB7_SEL0 (1)")</f>
        <v>0</v>
      </c>
    </row>
    <row r="31" spans="2:59" x14ac:dyDescent="0.55000000000000004">
      <c r="B31" s="133"/>
      <c r="C31" s="41" t="s">
        <v>1147</v>
      </c>
      <c r="D31" s="42">
        <f>COUNTIF('PF144'!V10:V153,"SCB0_SEL1 (0)")</f>
        <v>0</v>
      </c>
      <c r="E31" s="43">
        <f>COUNTIF('PF144'!V10:V153,"SCB1_SEL1 (0)")</f>
        <v>0</v>
      </c>
      <c r="F31" s="43">
        <f>COUNTIF('PF144'!V10:V153,"SCB2_SEL1 (0)")</f>
        <v>0</v>
      </c>
      <c r="G31" s="43">
        <f>COUNTIF('PF144'!V10:V153,"SCB3_SEL1 (0)")</f>
        <v>0</v>
      </c>
      <c r="H31" s="43">
        <f>COUNTIF('PF144'!V10:V153,"SCB4_SEL1 (0)")</f>
        <v>0</v>
      </c>
      <c r="I31" s="42">
        <f>COUNTIF('PF144'!V10:V153,"SCB5_SEL1 (0)")</f>
        <v>0</v>
      </c>
      <c r="J31" s="42">
        <f>COUNTIF('PF144'!V10:V153,"SCB6_SEL1 (0)")</f>
        <v>0</v>
      </c>
      <c r="K31" s="43">
        <f>COUNTIF('PF144'!V10:V153,"SCB7_SEL1 (0)")</f>
        <v>0</v>
      </c>
    </row>
    <row r="32" spans="2:59" x14ac:dyDescent="0.55000000000000004">
      <c r="B32" s="133"/>
      <c r="C32" s="41" t="s">
        <v>1148</v>
      </c>
      <c r="D32" s="42">
        <f>COUNTIF('PF144'!V10:V153,"SCB0_SEL1 (1)")</f>
        <v>0</v>
      </c>
      <c r="E32" s="43">
        <f>COUNTIF('PF144'!V10:V153,"SCB1_SEL1 (1)")</f>
        <v>0</v>
      </c>
      <c r="F32" s="43">
        <f>COUNTIF('PF144'!V10:V153,"SCB2_SEL1 (1)")</f>
        <v>0</v>
      </c>
      <c r="G32" s="43">
        <f>COUNTIF('PF144'!V10:V153,"SCB3_SEL1 (1)")</f>
        <v>0</v>
      </c>
      <c r="H32" s="43">
        <f>COUNTIF('PF144'!V10:V153,"SCB4_SEL1 (1)")</f>
        <v>0</v>
      </c>
      <c r="I32" s="42">
        <f>COUNTIF('PF144'!V10:V153,"SCB5_SEL1 (1)")</f>
        <v>0</v>
      </c>
      <c r="J32" s="42">
        <f>COUNTIF('PF144'!V10:V153,"SCB6_SEL1 (1)")</f>
        <v>0</v>
      </c>
      <c r="K32" s="43">
        <f>COUNTIF('PF144'!V10:V153,"SCB7_SEL1 (1)")</f>
        <v>0</v>
      </c>
    </row>
    <row r="33" spans="2:11" x14ac:dyDescent="0.55000000000000004">
      <c r="B33" s="133"/>
      <c r="C33" s="41" t="s">
        <v>1149</v>
      </c>
      <c r="D33" s="42">
        <f>COUNTIF('PF144'!V10:V153,"SCB0_SEL2 (0)")</f>
        <v>0</v>
      </c>
      <c r="E33" s="43">
        <f>COUNTIF('PF144'!V10:V153,"SCB1_SEL2 (0)")</f>
        <v>0</v>
      </c>
      <c r="F33" s="43">
        <f>COUNTIF('PF144'!V10:V153,"SCB2_SEL2 (0)")</f>
        <v>0</v>
      </c>
      <c r="G33" s="43">
        <f>COUNTIF('PF144'!V10:V153,"SCB3_SEL2 (0)")</f>
        <v>0</v>
      </c>
      <c r="H33" s="43">
        <f>COUNTIF('PF144'!V10:V153,"SCB4_SEL2 (0)")</f>
        <v>0</v>
      </c>
      <c r="I33" s="42">
        <f>COUNTIF('PF144'!V10:V153,"SCB5_SEL2 (0)")</f>
        <v>0</v>
      </c>
      <c r="J33" s="42">
        <f>COUNTIF('PF144'!V10:V153,"SCB6_SEL2 (0)")</f>
        <v>0</v>
      </c>
      <c r="K33" s="43">
        <f>COUNTIF('PF144'!V10:V153,"SCB7_SEL2 (0)")</f>
        <v>0</v>
      </c>
    </row>
    <row r="34" spans="2:11" x14ac:dyDescent="0.55000000000000004">
      <c r="B34" s="133"/>
      <c r="C34" s="41" t="s">
        <v>1150</v>
      </c>
      <c r="D34" s="42">
        <f>COUNTIF('PF144'!V10:V153,"SCB0_SEL2 (1)")</f>
        <v>0</v>
      </c>
      <c r="E34" s="43">
        <f>COUNTIF('PF144'!V10:V153,"SCB1_SEL2 (1)")</f>
        <v>0</v>
      </c>
      <c r="F34" s="43">
        <f>COUNTIF('PF144'!V10:V153,"SCB2_SEL2 (1)")</f>
        <v>0</v>
      </c>
      <c r="G34" s="43">
        <f>COUNTIF('PF144'!V10:V153,"SCB3_SEL2 (1)")</f>
        <v>0</v>
      </c>
      <c r="H34" s="43">
        <f>COUNTIF('PF144'!V10:V153,"SCB4_SEL2 (1)")</f>
        <v>0</v>
      </c>
      <c r="I34" s="42">
        <f>COUNTIF('PF144'!V10:V153,"SCB5_SEL2 (1)")</f>
        <v>0</v>
      </c>
      <c r="J34" s="42">
        <f>COUNTIF('PF144'!V10:V153,"SCB6_SEL2 (1)")</f>
        <v>0</v>
      </c>
      <c r="K34" s="43">
        <f>COUNTIF('PF144'!V10:V153,"SCB7_SEL2 (1)")</f>
        <v>0</v>
      </c>
    </row>
    <row r="35" spans="2:11" x14ac:dyDescent="0.55000000000000004">
      <c r="B35" s="133"/>
      <c r="C35" s="41" t="s">
        <v>1151</v>
      </c>
      <c r="D35" s="42">
        <f>COUNTIF('PF144'!V10:V153,"SCB0_SEL3 (0)")</f>
        <v>0</v>
      </c>
      <c r="E35" s="43">
        <f>COUNTIF('PF144'!V10:V153,"SCB1_SEL3 (0)")</f>
        <v>0</v>
      </c>
      <c r="F35" s="43">
        <f>COUNTIF('PF144'!V10:V153,"SCB2_SEL3 (0)")</f>
        <v>0</v>
      </c>
      <c r="G35" s="43">
        <f>COUNTIF('PF144'!V10:V153,"SCB3_SEL3 (0)")</f>
        <v>0</v>
      </c>
      <c r="H35" s="43">
        <f>COUNTIF('PF144'!V10:V153,"SCB4_SEL3 (0)")</f>
        <v>0</v>
      </c>
      <c r="I35" s="42">
        <f>COUNTIF('PF144'!V10:V153,"SCB5_SEL3 (0)")</f>
        <v>0</v>
      </c>
      <c r="J35" s="42">
        <f>COUNTIF('PF144'!V10:V153,"SCB6_SEL3 (0)")</f>
        <v>0</v>
      </c>
      <c r="K35" s="43">
        <f>COUNTIF('PF144'!V10:V153,"SCB7_SEL3 (0)")</f>
        <v>0</v>
      </c>
    </row>
    <row r="36" spans="2:11" x14ac:dyDescent="0.55000000000000004">
      <c r="B36" s="134"/>
      <c r="C36" s="41" t="s">
        <v>1152</v>
      </c>
      <c r="D36" s="42">
        <f>COUNTIF('PF144'!V10:V153,"SCB0_SEL3 (1)")</f>
        <v>0</v>
      </c>
      <c r="E36" s="43">
        <f>COUNTIF('PF144'!V10:V153,"SCB1_SEL3 (1)")</f>
        <v>0</v>
      </c>
      <c r="F36" s="43">
        <f>COUNTIF('PF144'!V10:V153,"SCB2_SEL3 (1)")</f>
        <v>0</v>
      </c>
      <c r="G36" s="43">
        <f>COUNTIF('PF144'!V10:V153,"SCB3_SEL3 (1)")</f>
        <v>0</v>
      </c>
      <c r="H36" s="43">
        <f>COUNTIF('PF144'!V10:V153,"SCB4_SEL3 (1)")</f>
        <v>0</v>
      </c>
      <c r="I36" s="42">
        <f>COUNTIF('PF144'!V10:V153,"SCB5_SEL3 (1)")</f>
        <v>0</v>
      </c>
      <c r="J36" s="42">
        <f>COUNTIF('PF144'!V10:V153,"SCB6_SEL3 (1)")</f>
        <v>0</v>
      </c>
      <c r="K36" s="43">
        <f>COUNTIF('PF144'!V10:V153,"SCB7_SEL3 (1)")</f>
        <v>0</v>
      </c>
    </row>
    <row r="37" spans="2:11" x14ac:dyDescent="0.55000000000000004">
      <c r="B37" s="131" t="s">
        <v>414</v>
      </c>
      <c r="C37" s="41" t="s">
        <v>1131</v>
      </c>
      <c r="D37" s="42">
        <f>COUNTIF('PF144'!V10:V153,"SCB0_TX (0)")</f>
        <v>0</v>
      </c>
      <c r="E37" s="43">
        <f>COUNTIF('PF144'!V10:V153,"SCB1_TX (0)")</f>
        <v>0</v>
      </c>
      <c r="F37" s="43">
        <f>COUNTIF('PF144'!V10:V153,"SCB2_TX (0)")</f>
        <v>0</v>
      </c>
      <c r="G37" s="43">
        <f>COUNTIF('PF144'!V10:V153,"SCB3_TX (0)")</f>
        <v>0</v>
      </c>
      <c r="H37" s="43">
        <f>COUNTIF('PF144'!V10:V153,"SCB4_TX (0)")</f>
        <v>0</v>
      </c>
      <c r="I37" s="45">
        <f>COUNTIF('PF144'!V10:V153,"SCB5_TX (0)")</f>
        <v>0</v>
      </c>
      <c r="J37" s="45">
        <f>COUNTIF('PF144'!V10:V153,"SCB6_TX (0)")</f>
        <v>0</v>
      </c>
      <c r="K37" s="43">
        <f>COUNTIF('PF144'!V10:V153,"SCB7_TX (0)")</f>
        <v>0</v>
      </c>
    </row>
    <row r="38" spans="2:11" x14ac:dyDescent="0.55000000000000004">
      <c r="B38" s="133"/>
      <c r="C38" s="41" t="s">
        <v>1132</v>
      </c>
      <c r="D38" s="42">
        <f>COUNTIF('PF144'!V10:V153,"SCB0_TX (1)")</f>
        <v>0</v>
      </c>
      <c r="E38" s="43">
        <f>COUNTIF('PF144'!V10:V153,"SCB1_TX (1)")</f>
        <v>0</v>
      </c>
      <c r="F38" s="43">
        <f>COUNTIF('PF144'!V10:V153,"SCB2_TX (1)")</f>
        <v>0</v>
      </c>
      <c r="G38" s="43">
        <f>COUNTIF('PF144'!V10:V153,"SCB3_TX (1)")</f>
        <v>0</v>
      </c>
      <c r="H38" s="43">
        <f>COUNTIF('PF144'!V10:V153,"SCB4_TX (1)")</f>
        <v>0</v>
      </c>
      <c r="I38" s="45">
        <f>COUNTIF('PF144'!V10:V153,"SCB5_TX (1)")</f>
        <v>0</v>
      </c>
      <c r="J38" s="45">
        <f>COUNTIF('PF144'!V10:V153,"SCB6_TX (1)")</f>
        <v>0</v>
      </c>
      <c r="K38" s="43">
        <f>COUNTIF('PF144'!V10:V153,"SCB7_TX (1)")</f>
        <v>0</v>
      </c>
    </row>
    <row r="39" spans="2:11" x14ac:dyDescent="0.55000000000000004">
      <c r="B39" s="133"/>
      <c r="C39" s="41" t="s">
        <v>1133</v>
      </c>
      <c r="D39" s="42">
        <f>COUNTIF('PF144'!V10:V153,"SCB0_RX (0)")</f>
        <v>0</v>
      </c>
      <c r="E39" s="43">
        <f>COUNTIF('PF144'!V10:V153,"SCB1_RX (0)")</f>
        <v>0</v>
      </c>
      <c r="F39" s="43">
        <f>COUNTIF('PF144'!V10:V153,"SCB2_RX (0)")</f>
        <v>0</v>
      </c>
      <c r="G39" s="43">
        <f>COUNTIF('PF144'!V10:V153,"SCB3_RX (0)")</f>
        <v>0</v>
      </c>
      <c r="H39" s="43">
        <f>COUNTIF('PF144'!V10:V153,"SCB4_RX (0)")</f>
        <v>0</v>
      </c>
      <c r="I39" s="43">
        <f>COUNTIF('PF144'!V10:V153,"SCB5_RX (0)")</f>
        <v>0</v>
      </c>
      <c r="J39" s="43">
        <f>COUNTIF('PF144'!V10:V153,"SCB6_RX (0)")</f>
        <v>0</v>
      </c>
      <c r="K39" s="43">
        <f>COUNTIF('PF144'!V10:V153,"SCB7_RX (0)")</f>
        <v>0</v>
      </c>
    </row>
    <row r="40" spans="2:11" x14ac:dyDescent="0.55000000000000004">
      <c r="B40" s="133"/>
      <c r="C40" s="41" t="s">
        <v>1134</v>
      </c>
      <c r="D40" s="46">
        <f>COUNTIF('PF144'!V10:V153,"SCB0_RX (1)")</f>
        <v>0</v>
      </c>
      <c r="E40" s="43">
        <f>COUNTIF('PF144'!V10:V153,"SCB1_RX (1)")</f>
        <v>0</v>
      </c>
      <c r="F40" s="43">
        <f>COUNTIF('PF144'!V10:V153,"SCB2_RX (1)")</f>
        <v>0</v>
      </c>
      <c r="G40" s="43">
        <f>COUNTIF('PF144'!V10:V153,"SCB3_RX (1)")</f>
        <v>0</v>
      </c>
      <c r="H40" s="43">
        <f>COUNTIF('PF144'!V10:V153,"SCB4_RX (1)")</f>
        <v>0</v>
      </c>
      <c r="I40" s="43">
        <f>COUNTIF('PF144'!V10:V153,"SCB5_RX (1)")</f>
        <v>0</v>
      </c>
      <c r="J40" s="43">
        <f>COUNTIF('PF144'!V10:V153,"SCB6_RX (1)")</f>
        <v>0</v>
      </c>
      <c r="K40" s="43">
        <f>COUNTIF('PF144'!V10:V153,"SCB7_RX (1)")</f>
        <v>0</v>
      </c>
    </row>
    <row r="41" spans="2:11" ht="10.25" customHeight="1" x14ac:dyDescent="0.55000000000000004">
      <c r="B41" s="133"/>
      <c r="C41" s="41" t="s">
        <v>1135</v>
      </c>
      <c r="D41" s="42">
        <f>COUNTIF('PF144'!V10:V153,"SCB0_CTS (0)")</f>
        <v>0</v>
      </c>
      <c r="E41" s="43">
        <f>COUNTIF('PF144'!V10:V153,"SCB1_CTS (0)")</f>
        <v>0</v>
      </c>
      <c r="F41" s="43">
        <f>COUNTIF('PF144'!V10:V153,"SCB2_CTS (0)")</f>
        <v>0</v>
      </c>
      <c r="G41" s="43">
        <f>COUNTIF('PF144'!V10:V153,"SCB3_CTS (0)")</f>
        <v>0</v>
      </c>
      <c r="H41" s="43">
        <f>COUNTIF('PF144'!V10:V153,"SCB4_CTS (0)")</f>
        <v>0</v>
      </c>
      <c r="I41" s="43">
        <f>COUNTIF('PF144'!V10:V153,"SCB5_CTS (0)")</f>
        <v>0</v>
      </c>
      <c r="J41" s="43">
        <f>COUNTIF('PF144'!V10:V153,"SCB6_CTS (0)")</f>
        <v>0</v>
      </c>
      <c r="K41" s="43">
        <f>COUNTIF('PF144'!V10:V153,"SCB7_CTS (0)")</f>
        <v>0</v>
      </c>
    </row>
    <row r="42" spans="2:11" x14ac:dyDescent="0.55000000000000004">
      <c r="B42" s="133"/>
      <c r="C42" s="41" t="s">
        <v>1136</v>
      </c>
      <c r="D42" s="46">
        <f>COUNTIF('PF144'!V10:V153,"SCB0_CTS (1)")</f>
        <v>0</v>
      </c>
      <c r="E42" s="43">
        <f>COUNTIF('PF144'!V10:V153,"SCB1_CTS (1)")</f>
        <v>0</v>
      </c>
      <c r="F42" s="43">
        <f>COUNTIF('PF144'!V10:V153,"SCB2_CTS (1)")</f>
        <v>0</v>
      </c>
      <c r="G42" s="43">
        <f>COUNTIF('PF144'!V10:V153,"SCB3_CTS (1)")</f>
        <v>0</v>
      </c>
      <c r="H42" s="43">
        <f>COUNTIF('PF144'!V10:V153,"SCB4_CTS (1)")</f>
        <v>0</v>
      </c>
      <c r="I42" s="43">
        <f>COUNTIF('PF144'!V10:V153,"SCB5_CTS (1)")</f>
        <v>0</v>
      </c>
      <c r="J42" s="43">
        <f>COUNTIF('PF144'!V10:V153,"SCB6_CTS (1)")</f>
        <v>0</v>
      </c>
      <c r="K42" s="43">
        <f>COUNTIF('PF144'!V10:V153,"SCB7_CTS (1)")</f>
        <v>0</v>
      </c>
    </row>
    <row r="43" spans="2:11" x14ac:dyDescent="0.55000000000000004">
      <c r="B43" s="133"/>
      <c r="C43" s="41" t="s">
        <v>1137</v>
      </c>
      <c r="D43" s="42">
        <f>COUNTIF('PF144'!V10:V153,"SCB0_RTS (0)")</f>
        <v>0</v>
      </c>
      <c r="E43" s="43">
        <f>COUNTIF('PF144'!V10:V153,"SCB1_RTS (0)")</f>
        <v>0</v>
      </c>
      <c r="F43" s="43">
        <f>COUNTIF('PF144'!V10:V153,"SCB2_RTS (0)")</f>
        <v>0</v>
      </c>
      <c r="G43" s="43">
        <f>COUNTIF('PF144'!V10:V153,"SCB3_RTS (0)")</f>
        <v>0</v>
      </c>
      <c r="H43" s="43">
        <f>COUNTIF('PF144'!V10:V153,"SCB4_RTS (0)")</f>
        <v>0</v>
      </c>
      <c r="I43" s="43">
        <f>COUNTIF('PF144'!V10:V153,"SCB5_RTS (0)")</f>
        <v>0</v>
      </c>
      <c r="J43" s="43">
        <f>COUNTIF('PF144'!V10:V153,"SCB6_RTS (0)")</f>
        <v>0</v>
      </c>
      <c r="K43" s="43">
        <f>COUNTIF('PF144'!V10:V153,"SCB7_RTS (0)")</f>
        <v>0</v>
      </c>
    </row>
    <row r="44" spans="2:11" x14ac:dyDescent="0.55000000000000004">
      <c r="B44" s="134"/>
      <c r="C44" s="41" t="s">
        <v>1138</v>
      </c>
      <c r="D44" s="46">
        <f>COUNTIF('PF144'!V10:V153,"SCB0_RTS (1)")</f>
        <v>0</v>
      </c>
      <c r="E44" s="43">
        <f>COUNTIF('PF144'!V10:V153,"SCB1_RTS (1)")</f>
        <v>0</v>
      </c>
      <c r="F44" s="43">
        <f>COUNTIF('PF144'!V10:V153,"SCB2_RTS (1)")</f>
        <v>0</v>
      </c>
      <c r="G44" s="43">
        <f>COUNTIF('PF144'!V10:V153,"SCB3_RTS (1)")</f>
        <v>0</v>
      </c>
      <c r="H44" s="43">
        <f>COUNTIF('PF144'!V10:V153,"SCB4_RTS (1)")</f>
        <v>0</v>
      </c>
      <c r="I44" s="43">
        <f>COUNTIF('PF144'!V10:V153,"SCB5_RTS (1)")</f>
        <v>0</v>
      </c>
      <c r="J44" s="43">
        <f>COUNTIF('PF144'!V10:V153,"SCB6_RTS (1)")</f>
        <v>0</v>
      </c>
      <c r="K44" s="43">
        <f>COUNTIF('PF144'!V10:V153,"SCB7_RTS (1)")</f>
        <v>0</v>
      </c>
    </row>
    <row r="45" spans="2:11" x14ac:dyDescent="0.55000000000000004">
      <c r="B45" s="131" t="s">
        <v>416</v>
      </c>
      <c r="C45" s="47" t="s">
        <v>1153</v>
      </c>
      <c r="D45" s="42">
        <f>COUNTIF('PF144'!V10:V153,"SCB0_SDA (0)")</f>
        <v>0</v>
      </c>
      <c r="E45" s="43">
        <f>COUNTIF('PF144'!V10:V153,"SCB1_SDA (0)")</f>
        <v>0</v>
      </c>
      <c r="F45" s="43">
        <f>COUNTIF('PF144'!V10:V153,"SCB2_SDA (0)")</f>
        <v>0</v>
      </c>
      <c r="G45" s="43">
        <f>COUNTIF('PF144'!V10:V153,"SCB3_SDA (0)")</f>
        <v>0</v>
      </c>
      <c r="H45" s="43">
        <f>COUNTIF('PF144'!V10:V153,"SCB4_SDA (0)")</f>
        <v>0</v>
      </c>
      <c r="I45" s="45">
        <f>COUNTIF('PF144'!V10:V153,"SCB5_SDA (0)")</f>
        <v>0</v>
      </c>
      <c r="J45" s="45">
        <f>COUNTIF('PF144'!V10:V153,"SCB6_SDA (0)")</f>
        <v>0</v>
      </c>
      <c r="K45" s="45">
        <f>COUNTIF('PF144'!V10:V153,"SCB7_SDA (0)")</f>
        <v>0</v>
      </c>
    </row>
    <row r="46" spans="2:11" x14ac:dyDescent="0.55000000000000004">
      <c r="B46" s="132"/>
      <c r="C46" s="47" t="s">
        <v>1154</v>
      </c>
      <c r="D46" s="42">
        <f>COUNTIF('PF144'!V10:V153,"SCB0_SDA (1)")</f>
        <v>0</v>
      </c>
      <c r="E46" s="43">
        <f>COUNTIF('PF144'!V10:V153,"SCB1_SDA (1)")</f>
        <v>0</v>
      </c>
      <c r="F46" s="43">
        <f>COUNTIF('PF144'!V10:V153,"SCB2_SDA (1)")</f>
        <v>0</v>
      </c>
      <c r="G46" s="43">
        <f>COUNTIF('PF144'!V10:V153,"SCB3_SDA (1)")</f>
        <v>0</v>
      </c>
      <c r="H46" s="43">
        <f>COUNTIF('PF144'!V10:V153,"SCB4_SDA (1)")</f>
        <v>0</v>
      </c>
      <c r="I46" s="45">
        <f>COUNTIF('PF144'!V10:V153,"SCB5_SDA (1)")</f>
        <v>0</v>
      </c>
      <c r="J46" s="45">
        <f>COUNTIF('PF144'!V10:V153,"SCB6_SDA (1)")</f>
        <v>0</v>
      </c>
      <c r="K46" s="45">
        <f>COUNTIF('PF144'!V10:V153,"SCB7_SDA (1)")</f>
        <v>0</v>
      </c>
    </row>
    <row r="47" spans="2:11" x14ac:dyDescent="0.55000000000000004">
      <c r="B47" s="133"/>
      <c r="C47" s="47" t="s">
        <v>1155</v>
      </c>
      <c r="D47" s="42">
        <f>COUNTIF('PF144'!V10:V153,"SCB0_SDA (2)")</f>
        <v>0</v>
      </c>
      <c r="E47" s="43">
        <f>COUNTIF('PF144'!V10:V153,"SCB1_SDA (2)")</f>
        <v>0</v>
      </c>
      <c r="F47" s="43">
        <f>COUNTIF('PF144'!V10:V153,"SCB2_SDA (2)")</f>
        <v>0</v>
      </c>
      <c r="G47" s="43">
        <f>COUNTIF('PF144'!V10:V153,"SCB3_SDA (2)")</f>
        <v>0</v>
      </c>
      <c r="H47" s="43">
        <f>COUNTIF('PF144'!V10:V153,"SCB4_SDA (2)")</f>
        <v>0</v>
      </c>
      <c r="I47" s="45">
        <f>COUNTIF('PF144'!V10:V153,"SCB5_SDA (2)")</f>
        <v>0</v>
      </c>
      <c r="J47" s="45">
        <f>COUNTIF('PF144'!V10:V153,"SCB6_SDA (2)")</f>
        <v>0</v>
      </c>
      <c r="K47" s="45">
        <f>COUNTIF('PF144'!V10:V153,"SCB7_SDA (2)")</f>
        <v>0</v>
      </c>
    </row>
    <row r="48" spans="2:11" x14ac:dyDescent="0.55000000000000004">
      <c r="B48" s="133"/>
      <c r="C48" s="47" t="s">
        <v>1156</v>
      </c>
      <c r="D48" s="42">
        <f>COUNTIF('PF144'!V10:V153,"SCB0_SCL (0)")</f>
        <v>0</v>
      </c>
      <c r="E48" s="43">
        <f>COUNTIF('PF144'!V10:V153,"SCB1_SCL (0)")</f>
        <v>0</v>
      </c>
      <c r="F48" s="43">
        <f>COUNTIF('PF144'!V10:V153,"SCB2_SCL (0)")</f>
        <v>0</v>
      </c>
      <c r="G48" s="43">
        <f>COUNTIF('PF144'!V10:V153,"SCB3_SCL (0)")</f>
        <v>0</v>
      </c>
      <c r="H48" s="43">
        <f>COUNTIF('PF144'!V10:V153,"SCB4_SCL (0)")</f>
        <v>0</v>
      </c>
      <c r="I48" s="45">
        <f>COUNTIF('PF144'!V10:V153,"SCB5_SCL (0)")</f>
        <v>0</v>
      </c>
      <c r="J48" s="45">
        <f>COUNTIF('PF144'!V10:V153,"SCB6_SCL (0)")</f>
        <v>0</v>
      </c>
      <c r="K48" s="45">
        <f>COUNTIF('PF144'!V10:V153,"SCB7_SCL (0)")</f>
        <v>0</v>
      </c>
    </row>
    <row r="49" spans="2:66" ht="10.25" customHeight="1" x14ac:dyDescent="0.55000000000000004">
      <c r="B49" s="133"/>
      <c r="C49" s="47" t="s">
        <v>1157</v>
      </c>
      <c r="D49" s="42">
        <f>COUNTIF('PF144'!V10:V153,"SCB0_SCL (1)")</f>
        <v>0</v>
      </c>
      <c r="E49" s="43">
        <f>COUNTIF('PF144'!V10:V153,"SCB1_SCL (1)")</f>
        <v>0</v>
      </c>
      <c r="F49" s="43">
        <f>COUNTIF('PF144'!V10:V153,"SCB2_SCL (1)")</f>
        <v>0</v>
      </c>
      <c r="G49" s="43">
        <f>COUNTIF('PF144'!V10:V153,"SCB3_SCL (1)")</f>
        <v>0</v>
      </c>
      <c r="H49" s="43">
        <f>COUNTIF('PF144'!V10:V153,"SCB4_SCL (1)")</f>
        <v>0</v>
      </c>
      <c r="I49" s="45">
        <f>COUNTIF('PF144'!V10:V153,"SCB5_SCL (1)")</f>
        <v>0</v>
      </c>
      <c r="J49" s="45">
        <f>COUNTIF('PF144'!V10:V153,"SCB6_SCL (1)")</f>
        <v>0</v>
      </c>
      <c r="K49" s="45">
        <f>COUNTIF('PF144'!V10:V153,"SCB7_SCL (1)")</f>
        <v>0</v>
      </c>
    </row>
    <row r="50" spans="2:66" x14ac:dyDescent="0.55000000000000004">
      <c r="B50" s="134"/>
      <c r="C50" s="47" t="s">
        <v>1158</v>
      </c>
      <c r="D50" s="42">
        <f>COUNTIF('PF144'!V10:V153,"SCB0_SCL (2)")</f>
        <v>0</v>
      </c>
      <c r="E50" s="43">
        <f>COUNTIF('PF144'!V10:V153,"SCB1_SCL (2)")</f>
        <v>0</v>
      </c>
      <c r="F50" s="43">
        <f>COUNTIF('PF144'!V10:V153,"SCB2_SCL (2)")</f>
        <v>0</v>
      </c>
      <c r="G50" s="43">
        <f>COUNTIF('PF144'!V10:V153,"SCB3_SCL (2)")</f>
        <v>0</v>
      </c>
      <c r="H50" s="43">
        <f>COUNTIF('PF144'!V10:V153,"SCB4_SCL (2)")</f>
        <v>0</v>
      </c>
      <c r="I50" s="45">
        <f>COUNTIF('PF144'!V10:V153,"SCB5_SCL (2)")</f>
        <v>0</v>
      </c>
      <c r="J50" s="45">
        <f>COUNTIF('PF144'!V10:V153,"SCB6_SCL (2)")</f>
        <v>0</v>
      </c>
      <c r="K50" s="45">
        <f>COUNTIF('PF144'!V10:V153,"SCB7_SCL (2)")</f>
        <v>0</v>
      </c>
    </row>
    <row r="52" spans="2:66" hidden="1" x14ac:dyDescent="0.55000000000000004">
      <c r="B52" s="52" t="s">
        <v>376</v>
      </c>
      <c r="C52" s="52" t="s">
        <v>1191</v>
      </c>
      <c r="D52" s="53" t="s">
        <v>377</v>
      </c>
      <c r="E52" s="53" t="s">
        <v>378</v>
      </c>
      <c r="F52" s="53" t="s">
        <v>379</v>
      </c>
      <c r="G52" s="53" t="s">
        <v>380</v>
      </c>
      <c r="H52" s="53" t="s">
        <v>384</v>
      </c>
      <c r="I52" s="53" t="s">
        <v>383</v>
      </c>
      <c r="J52" s="53" t="s">
        <v>382</v>
      </c>
      <c r="K52" s="53" t="s">
        <v>381</v>
      </c>
    </row>
    <row r="53" spans="2:66" hidden="1" x14ac:dyDescent="0.55000000000000004">
      <c r="B53" s="54" t="s">
        <v>1192</v>
      </c>
      <c r="C53" s="55">
        <v>0</v>
      </c>
      <c r="D53" s="55">
        <f>D23+D25+D27+D29+D31+D33+D35</f>
        <v>0</v>
      </c>
      <c r="E53" s="55">
        <f t="shared" ref="E53:K54" si="0">E23+E25+E27+E29+E31+E33+E35</f>
        <v>0</v>
      </c>
      <c r="F53" s="55">
        <f t="shared" si="0"/>
        <v>0</v>
      </c>
      <c r="G53" s="55">
        <f t="shared" si="0"/>
        <v>0</v>
      </c>
      <c r="H53" s="55">
        <f t="shared" si="0"/>
        <v>0</v>
      </c>
      <c r="I53" s="55">
        <f t="shared" si="0"/>
        <v>0</v>
      </c>
      <c r="J53" s="55">
        <f t="shared" si="0"/>
        <v>0</v>
      </c>
      <c r="K53" s="55">
        <f t="shared" si="0"/>
        <v>0</v>
      </c>
    </row>
    <row r="54" spans="2:66" hidden="1" x14ac:dyDescent="0.55000000000000004">
      <c r="B54" s="56"/>
      <c r="C54" s="55">
        <v>1</v>
      </c>
      <c r="D54" s="55">
        <f>D24+D26+D28+D30+D32+D34+D36</f>
        <v>0</v>
      </c>
      <c r="E54" s="55">
        <f t="shared" si="0"/>
        <v>0</v>
      </c>
      <c r="F54" s="55">
        <f t="shared" si="0"/>
        <v>0</v>
      </c>
      <c r="G54" s="55">
        <f t="shared" si="0"/>
        <v>0</v>
      </c>
      <c r="H54" s="55">
        <f t="shared" si="0"/>
        <v>0</v>
      </c>
      <c r="I54" s="55">
        <f t="shared" si="0"/>
        <v>0</v>
      </c>
      <c r="J54" s="55">
        <f t="shared" si="0"/>
        <v>0</v>
      </c>
      <c r="K54" s="55">
        <f t="shared" si="0"/>
        <v>0</v>
      </c>
    </row>
    <row r="55" spans="2:66" hidden="1" x14ac:dyDescent="0.55000000000000004">
      <c r="B55" s="54" t="s">
        <v>1193</v>
      </c>
      <c r="C55" s="55">
        <v>0</v>
      </c>
      <c r="D55" s="55">
        <f>D37+D39+D41+D43</f>
        <v>0</v>
      </c>
      <c r="E55" s="55">
        <f t="shared" ref="E55:K56" si="1">E37+E39+E41+E43</f>
        <v>0</v>
      </c>
      <c r="F55" s="55">
        <f t="shared" si="1"/>
        <v>0</v>
      </c>
      <c r="G55" s="55">
        <f t="shared" si="1"/>
        <v>0</v>
      </c>
      <c r="H55" s="55">
        <f t="shared" si="1"/>
        <v>0</v>
      </c>
      <c r="I55" s="55">
        <f t="shared" si="1"/>
        <v>0</v>
      </c>
      <c r="J55" s="55">
        <f t="shared" si="1"/>
        <v>0</v>
      </c>
      <c r="K55" s="55">
        <f t="shared" si="1"/>
        <v>0</v>
      </c>
    </row>
    <row r="56" spans="2:66" hidden="1" x14ac:dyDescent="0.55000000000000004">
      <c r="B56" s="56"/>
      <c r="C56" s="55">
        <v>1</v>
      </c>
      <c r="D56" s="55">
        <f>D38+D40+D42+D44</f>
        <v>0</v>
      </c>
      <c r="E56" s="55">
        <f t="shared" si="1"/>
        <v>0</v>
      </c>
      <c r="F56" s="55">
        <f t="shared" si="1"/>
        <v>0</v>
      </c>
      <c r="G56" s="55">
        <f t="shared" si="1"/>
        <v>0</v>
      </c>
      <c r="H56" s="55">
        <f t="shared" si="1"/>
        <v>0</v>
      </c>
      <c r="I56" s="55">
        <f t="shared" si="1"/>
        <v>0</v>
      </c>
      <c r="J56" s="55">
        <f t="shared" si="1"/>
        <v>0</v>
      </c>
      <c r="K56" s="55">
        <f t="shared" si="1"/>
        <v>0</v>
      </c>
    </row>
    <row r="57" spans="2:66" hidden="1" x14ac:dyDescent="0.55000000000000004">
      <c r="B57" s="54" t="s">
        <v>1194</v>
      </c>
      <c r="C57" s="55">
        <v>0</v>
      </c>
      <c r="D57" s="55">
        <f t="shared" ref="D57:K57" si="2">D45+D48</f>
        <v>0</v>
      </c>
      <c r="E57" s="55">
        <f t="shared" si="2"/>
        <v>0</v>
      </c>
      <c r="F57" s="55">
        <f t="shared" si="2"/>
        <v>0</v>
      </c>
      <c r="G57" s="55">
        <f t="shared" si="2"/>
        <v>0</v>
      </c>
      <c r="H57" s="55">
        <f t="shared" si="2"/>
        <v>0</v>
      </c>
      <c r="I57" s="55">
        <f t="shared" si="2"/>
        <v>0</v>
      </c>
      <c r="J57" s="55">
        <f t="shared" si="2"/>
        <v>0</v>
      </c>
      <c r="K57" s="55">
        <f t="shared" si="2"/>
        <v>0</v>
      </c>
    </row>
    <row r="58" spans="2:66" hidden="1" x14ac:dyDescent="0.55000000000000004">
      <c r="B58" s="57"/>
      <c r="C58" s="55">
        <v>1</v>
      </c>
      <c r="D58" s="55">
        <f>D46+D49</f>
        <v>0</v>
      </c>
      <c r="E58" s="55">
        <f t="shared" ref="E58:K59" si="3">E46+E49</f>
        <v>0</v>
      </c>
      <c r="F58" s="55">
        <f t="shared" si="3"/>
        <v>0</v>
      </c>
      <c r="G58" s="55">
        <f t="shared" si="3"/>
        <v>0</v>
      </c>
      <c r="H58" s="55">
        <f t="shared" si="3"/>
        <v>0</v>
      </c>
      <c r="I58" s="55">
        <f t="shared" si="3"/>
        <v>0</v>
      </c>
      <c r="J58" s="55">
        <f t="shared" si="3"/>
        <v>0</v>
      </c>
      <c r="K58" s="55">
        <f t="shared" si="3"/>
        <v>0</v>
      </c>
    </row>
    <row r="59" spans="2:66" hidden="1" x14ac:dyDescent="0.55000000000000004">
      <c r="B59" s="56"/>
      <c r="C59" s="55">
        <v>2</v>
      </c>
      <c r="D59" s="55">
        <f>D47+D50</f>
        <v>0</v>
      </c>
      <c r="E59" s="55">
        <f t="shared" si="3"/>
        <v>0</v>
      </c>
      <c r="F59" s="55">
        <f t="shared" si="3"/>
        <v>0</v>
      </c>
      <c r="G59" s="55">
        <f t="shared" si="3"/>
        <v>0</v>
      </c>
      <c r="H59" s="55">
        <f t="shared" si="3"/>
        <v>0</v>
      </c>
      <c r="I59" s="55">
        <f t="shared" si="3"/>
        <v>0</v>
      </c>
      <c r="J59" s="55">
        <f t="shared" si="3"/>
        <v>0</v>
      </c>
      <c r="K59" s="55">
        <f t="shared" si="3"/>
        <v>0</v>
      </c>
    </row>
    <row r="60" spans="2:66" hidden="1" x14ac:dyDescent="0.55000000000000004">
      <c r="B60" s="58" t="s">
        <v>1195</v>
      </c>
      <c r="C60" s="59"/>
      <c r="D60" s="52">
        <f t="shared" ref="D60:K60" si="4">COUNTIF(D53:D59, "&lt;&gt;0")</f>
        <v>0</v>
      </c>
      <c r="E60" s="52">
        <f t="shared" si="4"/>
        <v>0</v>
      </c>
      <c r="F60" s="52">
        <f t="shared" si="4"/>
        <v>0</v>
      </c>
      <c r="G60" s="52">
        <f t="shared" si="4"/>
        <v>0</v>
      </c>
      <c r="H60" s="52">
        <f t="shared" si="4"/>
        <v>0</v>
      </c>
      <c r="I60" s="52">
        <f t="shared" si="4"/>
        <v>0</v>
      </c>
      <c r="J60" s="52">
        <f t="shared" si="4"/>
        <v>0</v>
      </c>
      <c r="K60" s="52">
        <f t="shared" si="4"/>
        <v>0</v>
      </c>
    </row>
    <row r="62" spans="2:66" x14ac:dyDescent="0.55000000000000004">
      <c r="B62" s="128" t="s">
        <v>430</v>
      </c>
      <c r="C62" s="129"/>
      <c r="D62" s="37" t="s">
        <v>420</v>
      </c>
      <c r="E62" s="37" t="s">
        <v>421</v>
      </c>
      <c r="F62" s="37" t="s">
        <v>422</v>
      </c>
      <c r="G62" s="37" t="s">
        <v>423</v>
      </c>
      <c r="H62" s="37" t="s">
        <v>424</v>
      </c>
      <c r="I62" s="37" t="s">
        <v>425</v>
      </c>
      <c r="J62" s="37" t="s">
        <v>426</v>
      </c>
      <c r="K62" s="37" t="s">
        <v>427</v>
      </c>
      <c r="L62" s="37" t="s">
        <v>428</v>
      </c>
      <c r="M62" s="37" t="s">
        <v>429</v>
      </c>
      <c r="N62" s="37" t="s">
        <v>431</v>
      </c>
      <c r="O62" s="37" t="s">
        <v>432</v>
      </c>
      <c r="P62" s="37" t="s">
        <v>435</v>
      </c>
      <c r="Q62" s="37" t="s">
        <v>436</v>
      </c>
      <c r="R62" s="37" t="s">
        <v>437</v>
      </c>
      <c r="S62" s="37" t="s">
        <v>438</v>
      </c>
      <c r="T62" s="37" t="s">
        <v>439</v>
      </c>
      <c r="U62" s="37" t="s">
        <v>440</v>
      </c>
      <c r="V62" s="37" t="s">
        <v>441</v>
      </c>
      <c r="W62" s="37" t="s">
        <v>442</v>
      </c>
      <c r="X62" s="37" t="s">
        <v>443</v>
      </c>
      <c r="Y62" s="37" t="s">
        <v>444</v>
      </c>
      <c r="Z62" s="37" t="s">
        <v>445</v>
      </c>
      <c r="AA62" s="37" t="s">
        <v>446</v>
      </c>
      <c r="AB62" s="37" t="s">
        <v>447</v>
      </c>
      <c r="AC62" s="37" t="s">
        <v>448</v>
      </c>
      <c r="AD62" s="37" t="s">
        <v>449</v>
      </c>
      <c r="AE62" s="37" t="s">
        <v>450</v>
      </c>
      <c r="AF62" s="37" t="s">
        <v>451</v>
      </c>
      <c r="AG62" s="37" t="s">
        <v>452</v>
      </c>
      <c r="AH62" s="37" t="s">
        <v>453</v>
      </c>
      <c r="AI62" s="37" t="s">
        <v>454</v>
      </c>
      <c r="AJ62" s="37" t="s">
        <v>455</v>
      </c>
      <c r="AK62" s="37" t="s">
        <v>456</v>
      </c>
      <c r="AL62" s="37" t="s">
        <v>457</v>
      </c>
      <c r="AM62" s="37" t="s">
        <v>458</v>
      </c>
      <c r="AN62" s="37" t="s">
        <v>459</v>
      </c>
      <c r="AO62" s="37" t="s">
        <v>460</v>
      </c>
      <c r="AP62" s="37" t="s">
        <v>461</v>
      </c>
      <c r="AQ62" s="37" t="s">
        <v>462</v>
      </c>
      <c r="AR62" s="37" t="s">
        <v>463</v>
      </c>
      <c r="AS62" s="37" t="s">
        <v>464</v>
      </c>
      <c r="AT62" s="37" t="s">
        <v>465</v>
      </c>
      <c r="AU62" s="37" t="s">
        <v>466</v>
      </c>
      <c r="AV62" s="37" t="s">
        <v>467</v>
      </c>
      <c r="AW62" s="37" t="s">
        <v>468</v>
      </c>
      <c r="AX62" s="37" t="s">
        <v>469</v>
      </c>
      <c r="AY62" s="37" t="s">
        <v>470</v>
      </c>
      <c r="AZ62" s="37" t="s">
        <v>471</v>
      </c>
      <c r="BA62" s="37" t="s">
        <v>472</v>
      </c>
      <c r="BB62" s="37" t="s">
        <v>473</v>
      </c>
      <c r="BC62" s="37" t="s">
        <v>474</v>
      </c>
      <c r="BD62" s="37" t="s">
        <v>475</v>
      </c>
      <c r="BE62" s="37" t="s">
        <v>476</v>
      </c>
      <c r="BF62" s="37" t="s">
        <v>477</v>
      </c>
      <c r="BG62" s="37" t="s">
        <v>478</v>
      </c>
      <c r="BH62" s="37" t="s">
        <v>479</v>
      </c>
      <c r="BI62" s="37" t="s">
        <v>480</v>
      </c>
      <c r="BJ62" s="37" t="s">
        <v>481</v>
      </c>
      <c r="BK62" s="37" t="s">
        <v>482</v>
      </c>
      <c r="BL62" s="37" t="s">
        <v>483</v>
      </c>
      <c r="BM62" s="37" t="s">
        <v>484</v>
      </c>
      <c r="BN62" s="37" t="s">
        <v>485</v>
      </c>
    </row>
    <row r="63" spans="2:66" x14ac:dyDescent="0.55000000000000004">
      <c r="B63" s="126" t="s">
        <v>417</v>
      </c>
      <c r="C63" s="38" t="s">
        <v>409</v>
      </c>
      <c r="D63" s="38">
        <f>COUNTIF('PF144'!V10:V153,"PWM0_0")</f>
        <v>0</v>
      </c>
      <c r="E63" s="38">
        <f>COUNTIF('PF144'!V10:V153,"PWM0_1")</f>
        <v>0</v>
      </c>
      <c r="F63" s="38">
        <f>COUNTIF('PF144'!V10:V153,"PWM0_2")</f>
        <v>0</v>
      </c>
      <c r="G63" s="38">
        <f>COUNTIF('PF144'!V10:V153,"PWM0_3")</f>
        <v>0</v>
      </c>
      <c r="H63" s="38">
        <f>COUNTIF('PF144'!V10:V153,"PWM0_4")</f>
        <v>0</v>
      </c>
      <c r="I63" s="38">
        <f>COUNTIF('PF144'!V10:V153,"PWM0_5")</f>
        <v>0</v>
      </c>
      <c r="J63" s="38">
        <f>COUNTIF('PF144'!V10:V153,"PWM0_6")</f>
        <v>0</v>
      </c>
      <c r="K63" s="38">
        <f>COUNTIF('PF144'!V10:V153,"PWM0_7")</f>
        <v>0</v>
      </c>
      <c r="L63" s="38">
        <f>COUNTIF('PF144'!V10:V153,"PWM0_8")</f>
        <v>0</v>
      </c>
      <c r="M63" s="38">
        <f>COUNTIF('PF144'!V10:V153,"PWM0_9")</f>
        <v>0</v>
      </c>
      <c r="N63" s="38">
        <f>COUNTIF('PF144'!V10:V153,"PWM0_10")</f>
        <v>0</v>
      </c>
      <c r="O63" s="38">
        <f>COUNTIF('PF144'!V10:V153,"PWM0_11")</f>
        <v>0</v>
      </c>
      <c r="P63" s="38">
        <f>COUNTIF('PF144'!V10:V153,"PWM0_12")</f>
        <v>0</v>
      </c>
      <c r="Q63" s="38">
        <f>COUNTIF('PF144'!V10:V153,"PWM0_13")</f>
        <v>0</v>
      </c>
      <c r="R63" s="38">
        <f>COUNTIF('PF144'!V10:V153,"PWM0_14")</f>
        <v>0</v>
      </c>
      <c r="S63" s="38">
        <f>COUNTIF('PF144'!V10:V153,"PWM0_15")</f>
        <v>0</v>
      </c>
      <c r="T63" s="38">
        <f>COUNTIF('PF144'!V10:V153,"PWM0_16")</f>
        <v>0</v>
      </c>
      <c r="U63" s="38">
        <f>COUNTIF('PF144'!V10:V153,"PWM0_17")</f>
        <v>0</v>
      </c>
      <c r="V63" s="38">
        <f>COUNTIF('PF144'!V10:V153,"PWM0_18")</f>
        <v>0</v>
      </c>
      <c r="W63" s="38">
        <f>COUNTIF('PF144'!V10:V153,"PWM0_19")</f>
        <v>0</v>
      </c>
      <c r="X63" s="38">
        <f>COUNTIF('PF144'!V10:V153,"PWM0_20")</f>
        <v>0</v>
      </c>
      <c r="Y63" s="38">
        <f>COUNTIF('PF144'!V10:V153,"PWM0_21")</f>
        <v>0</v>
      </c>
      <c r="Z63" s="38">
        <f>COUNTIF('PF144'!V10:V153,"PWM0_22")</f>
        <v>0</v>
      </c>
      <c r="AA63" s="38">
        <f>COUNTIF('PF144'!V10:V153,"PWM0_23")</f>
        <v>0</v>
      </c>
      <c r="AB63" s="38">
        <f>COUNTIF('PF144'!V10:V153,"PWM0_24")</f>
        <v>0</v>
      </c>
      <c r="AC63" s="38">
        <f>COUNTIF('PF144'!V10:V153,"PWM0_25")</f>
        <v>0</v>
      </c>
      <c r="AD63" s="38">
        <f>COUNTIF('PF144'!V10:V153,"PWM0_26")</f>
        <v>0</v>
      </c>
      <c r="AE63" s="38">
        <f>COUNTIF('PF144'!V10:V153,"PWM0_27")</f>
        <v>0</v>
      </c>
      <c r="AF63" s="38">
        <f>COUNTIF('PF144'!V10:V153,"PWM0_28")</f>
        <v>0</v>
      </c>
      <c r="AG63" s="38">
        <f>COUNTIF('PF144'!V10:V153,"PWM0_29")</f>
        <v>0</v>
      </c>
      <c r="AH63" s="38">
        <f>COUNTIF('PF144'!V10:V153,"PWM0_30")</f>
        <v>0</v>
      </c>
      <c r="AI63" s="38">
        <f>COUNTIF('PF144'!V10:V153,"PWM0_31")</f>
        <v>0</v>
      </c>
      <c r="AJ63" s="38">
        <f>COUNTIF('PF144'!V10:V153,"PWM0_32")</f>
        <v>0</v>
      </c>
      <c r="AK63" s="38">
        <f>COUNTIF('PF144'!V10:V153,"PWM0_33")</f>
        <v>0</v>
      </c>
      <c r="AL63" s="38">
        <f>COUNTIF('PF144'!V10:V153,"PWM0_34")</f>
        <v>0</v>
      </c>
      <c r="AM63" s="38">
        <f>COUNTIF('PF144'!V10:V153,"PWM0_35")</f>
        <v>0</v>
      </c>
      <c r="AN63" s="38">
        <f>COUNTIF('PF144'!V10:V153,"PWM0_36")</f>
        <v>0</v>
      </c>
      <c r="AO63" s="38">
        <f>COUNTIF('PF144'!V10:V153,"PWM0_37")</f>
        <v>0</v>
      </c>
      <c r="AP63" s="38">
        <f>COUNTIF('PF144'!V10:V153,"PWM0_38")</f>
        <v>0</v>
      </c>
      <c r="AQ63" s="38">
        <f>COUNTIF('PF144'!V10:V153,"PWM0_39")</f>
        <v>0</v>
      </c>
      <c r="AR63" s="38">
        <f>COUNTIF('PF144'!V10:V153,"PWM0_40")</f>
        <v>0</v>
      </c>
      <c r="AS63" s="38">
        <f>COUNTIF('PF144'!V10:V153,"PWM0_41")</f>
        <v>0</v>
      </c>
      <c r="AT63" s="38">
        <f>COUNTIF('PF144'!V10:V153,"PWM0_42")</f>
        <v>0</v>
      </c>
      <c r="AU63" s="38">
        <f>COUNTIF('PF144'!V10:V153,"PWM0_43")</f>
        <v>0</v>
      </c>
      <c r="AV63" s="38">
        <f>COUNTIF('PF144'!V10:V153,"PWM0_44")</f>
        <v>0</v>
      </c>
      <c r="AW63" s="38">
        <f>COUNTIF('PF144'!V10:V153,"PWM0_45")</f>
        <v>0</v>
      </c>
      <c r="AX63" s="38">
        <f>COUNTIF('PF144'!V10:V153,"PWM0_46")</f>
        <v>0</v>
      </c>
      <c r="AY63" s="38">
        <f>COUNTIF('PF144'!V10:V153,"PWM0_47")</f>
        <v>0</v>
      </c>
      <c r="AZ63" s="38">
        <f>COUNTIF('PF144'!V10:V153,"PWM0_48")</f>
        <v>0</v>
      </c>
      <c r="BA63" s="38">
        <f>COUNTIF('PF144'!V10:V153,"PWM0_49")</f>
        <v>0</v>
      </c>
      <c r="BB63" s="38">
        <f>COUNTIF('PF144'!V10:V153,"PWM0_50")</f>
        <v>0</v>
      </c>
      <c r="BC63" s="38">
        <f>COUNTIF('PF144'!V10:V153,"PWM0_51")</f>
        <v>0</v>
      </c>
      <c r="BD63" s="38">
        <f>COUNTIF('PF144'!V10:V153,"PWM0_52")</f>
        <v>0</v>
      </c>
      <c r="BE63" s="38">
        <f>COUNTIF('PF144'!V10:V153,"PWM0_53")</f>
        <v>0</v>
      </c>
      <c r="BF63" s="38">
        <f>COUNTIF('PF144'!V10:V153,"PWM0_54")</f>
        <v>0</v>
      </c>
      <c r="BG63" s="38">
        <f>COUNTIF('PF144'!V10:V153,"PWM0_55")</f>
        <v>0</v>
      </c>
      <c r="BH63" s="38">
        <f>COUNTIF('PF144'!V10:V153,"PWM0_56")</f>
        <v>0</v>
      </c>
      <c r="BI63" s="38">
        <f>COUNTIF('PF144'!V10:V153,"PWM0_57")</f>
        <v>0</v>
      </c>
      <c r="BJ63" s="38">
        <f>COUNTIF('PF144'!V10:V153,"PWM0_58")</f>
        <v>0</v>
      </c>
      <c r="BK63" s="38">
        <f>COUNTIF('PF144'!V10:V153,"PWM0_59")</f>
        <v>0</v>
      </c>
      <c r="BL63" s="38">
        <f>COUNTIF('PF144'!V10:V153,"PWM0_60")</f>
        <v>0</v>
      </c>
      <c r="BM63" s="38">
        <f>COUNTIF('PF144'!V10:V153,"PWM0_61")</f>
        <v>0</v>
      </c>
      <c r="BN63" s="38">
        <f>COUNTIF('PF144'!V10:V153,"PWM0_62")</f>
        <v>0</v>
      </c>
    </row>
    <row r="64" spans="2:66" x14ac:dyDescent="0.55000000000000004">
      <c r="B64" s="127"/>
      <c r="C64" s="38" t="s">
        <v>412</v>
      </c>
      <c r="D64" s="38">
        <f>COUNTIF('PF144'!V10:V153,"PWM0_0_N")</f>
        <v>0</v>
      </c>
      <c r="E64" s="38">
        <f>COUNTIF('PF144'!V10:V153,"PWM0_1_N")</f>
        <v>0</v>
      </c>
      <c r="F64" s="38">
        <f>COUNTIF('PF144'!V10:V153,"PWM0_2_N")</f>
        <v>0</v>
      </c>
      <c r="G64" s="38">
        <f>COUNTIF('PF144'!V10:V153,"PWM0_3_N")</f>
        <v>0</v>
      </c>
      <c r="H64" s="38">
        <f>COUNTIF('PF144'!V10:V153,"PWM0_4_N")</f>
        <v>0</v>
      </c>
      <c r="I64" s="38">
        <f>COUNTIF('PF144'!V10:V153,"PWM0_5_N")</f>
        <v>0</v>
      </c>
      <c r="J64" s="38">
        <f>COUNTIF('PF144'!V10:V153,"PWM0_6_N")</f>
        <v>0</v>
      </c>
      <c r="K64" s="38">
        <f>COUNTIF('PF144'!V10:V153,"PWM0_7_N")</f>
        <v>0</v>
      </c>
      <c r="L64" s="38">
        <f>COUNTIF('PF144'!V10:V153,"PWM0_8_N")</f>
        <v>0</v>
      </c>
      <c r="M64" s="38">
        <f>COUNTIF('PF144'!V10:V153,"PWM0_9_N")</f>
        <v>0</v>
      </c>
      <c r="N64" s="38">
        <f>COUNTIF('PF144'!V10:V153,"PWM0_10_N")</f>
        <v>0</v>
      </c>
      <c r="O64" s="38">
        <f>COUNTIF('PF144'!V10:V153,"PWM0_11_N")</f>
        <v>0</v>
      </c>
      <c r="P64" s="38">
        <f>COUNTIF('PF144'!V10:V153,"PWM0_12_N")</f>
        <v>0</v>
      </c>
      <c r="Q64" s="38">
        <f>COUNTIF('PF144'!V10:V153,"PWM0_13_N")</f>
        <v>0</v>
      </c>
      <c r="R64" s="38">
        <f>COUNTIF('PF144'!V10:V153,"PWM0_14_N")</f>
        <v>0</v>
      </c>
      <c r="S64" s="38">
        <f>COUNTIF('PF144'!V10:V153,"PWM0_15_N")</f>
        <v>0</v>
      </c>
      <c r="T64" s="38">
        <f>COUNTIF('PF144'!V10:V153,"PWM0_16_N")</f>
        <v>0</v>
      </c>
      <c r="U64" s="38">
        <f>COUNTIF('PF144'!V10:V153,"PWM0_17_N")</f>
        <v>0</v>
      </c>
      <c r="V64" s="38">
        <f>COUNTIF('PF144'!V10:V153,"PWM0_18_N")</f>
        <v>0</v>
      </c>
      <c r="W64" s="38">
        <f>COUNTIF('PF144'!V10:V153,"PWM0_19_N")</f>
        <v>0</v>
      </c>
      <c r="X64" s="38">
        <f>COUNTIF('PF144'!V10:V153,"PWM0_20_N")</f>
        <v>0</v>
      </c>
      <c r="Y64" s="38">
        <f>COUNTIF('PF144'!V10:V153,"PWM0_21_N")</f>
        <v>0</v>
      </c>
      <c r="Z64" s="38">
        <f>COUNTIF('PF144'!V10:V153,"PWM0_22_N")</f>
        <v>0</v>
      </c>
      <c r="AA64" s="38">
        <f>COUNTIF('PF144'!V10:V153,"PWM0_23_N")</f>
        <v>0</v>
      </c>
      <c r="AB64" s="38">
        <f>COUNTIF('PF144'!V10:V153,"PWM0_24_N")</f>
        <v>0</v>
      </c>
      <c r="AC64" s="38">
        <f>COUNTIF('PF144'!V10:V153,"PWM0_25_N")</f>
        <v>0</v>
      </c>
      <c r="AD64" s="38">
        <f>COUNTIF('PF144'!V10:V153,"PWM0_26_N")</f>
        <v>0</v>
      </c>
      <c r="AE64" s="38">
        <f>COUNTIF('PF144'!V10:V153,"PWM0_27_N")</f>
        <v>0</v>
      </c>
      <c r="AF64" s="38">
        <f>COUNTIF('PF144'!V10:V153,"PWM0_28_N")</f>
        <v>0</v>
      </c>
      <c r="AG64" s="38">
        <f>COUNTIF('PF144'!V10:V153,"PWM0_29_N")</f>
        <v>0</v>
      </c>
      <c r="AH64" s="38">
        <f>COUNTIF('PF144'!V10:V153,"PWM0_30_N")</f>
        <v>0</v>
      </c>
      <c r="AI64" s="38">
        <f>COUNTIF('PF144'!V10:V153,"PWM0_31_N")</f>
        <v>0</v>
      </c>
      <c r="AJ64" s="38">
        <f>COUNTIF('PF144'!V10:V153,"PWM0_32_N")</f>
        <v>0</v>
      </c>
      <c r="AK64" s="38">
        <f>COUNTIF('PF144'!V10:V153,"PWM0_33_N")</f>
        <v>0</v>
      </c>
      <c r="AL64" s="38">
        <f>COUNTIF('PF144'!V10:V153,"PWM0_34_N")</f>
        <v>0</v>
      </c>
      <c r="AM64" s="38">
        <f>COUNTIF('PF144'!V10:V153,"PWM0_35_N")</f>
        <v>0</v>
      </c>
      <c r="AN64" s="38">
        <f>COUNTIF('PF144'!V10:V153,"PWM0_36_N")</f>
        <v>0</v>
      </c>
      <c r="AO64" s="38">
        <f>COUNTIF('PF144'!V10:V153,"PWM0_37_N")</f>
        <v>0</v>
      </c>
      <c r="AP64" s="38">
        <f>COUNTIF('PF144'!V10:V153,"PWM0_38_N")</f>
        <v>0</v>
      </c>
      <c r="AQ64" s="38">
        <f>COUNTIF('PF144'!V10:V153,"PWM0_39_N")</f>
        <v>0</v>
      </c>
      <c r="AR64" s="38">
        <f>COUNTIF('PF144'!V10:V153,"PWM0_40_N")</f>
        <v>0</v>
      </c>
      <c r="AS64" s="38">
        <f>COUNTIF('PF144'!V10:V153,"PWM0_41_N")</f>
        <v>0</v>
      </c>
      <c r="AT64" s="38">
        <f>COUNTIF('PF144'!V10:V153,"PWM0_42_N")</f>
        <v>0</v>
      </c>
      <c r="AU64" s="38">
        <f>COUNTIF('PF144'!V10:V153,"PWM0_43_N")</f>
        <v>0</v>
      </c>
      <c r="AV64" s="38">
        <f>COUNTIF('PF144'!V10:V153,"PWM0_44_N")</f>
        <v>0</v>
      </c>
      <c r="AW64" s="38">
        <f>COUNTIF('PF144'!V10:V153,"PWM0_45_N")</f>
        <v>0</v>
      </c>
      <c r="AX64" s="38">
        <f>COUNTIF('PF144'!V10:V153,"PWM0_46_N")</f>
        <v>0</v>
      </c>
      <c r="AY64" s="38">
        <f>COUNTIF('PF144'!V10:V153,"PWM0_47_N")</f>
        <v>0</v>
      </c>
      <c r="AZ64" s="38">
        <f>COUNTIF('PF144'!V10:V153,"PWM0_48_N")</f>
        <v>0</v>
      </c>
      <c r="BA64" s="38">
        <f>COUNTIF('PF144'!V10:V153,"PWM0_49_N")</f>
        <v>0</v>
      </c>
      <c r="BB64" s="38">
        <f>COUNTIF('PF144'!V10:V153,"PWM0_50_N")</f>
        <v>0</v>
      </c>
      <c r="BC64" s="38">
        <f>COUNTIF('PF144'!V10:V153,"PWM0_51_N")</f>
        <v>0</v>
      </c>
      <c r="BD64" s="38">
        <f>COUNTIF('PF144'!V10:V153,"PWM0_52_N")</f>
        <v>0</v>
      </c>
      <c r="BE64" s="38">
        <f>COUNTIF('PF144'!V10:V153,"PWM0_53_N")</f>
        <v>0</v>
      </c>
      <c r="BF64" s="38">
        <f>COUNTIF('PF144'!V10:V153,"PWM0_54_N")</f>
        <v>0</v>
      </c>
      <c r="BG64" s="38">
        <f>COUNTIF('PF144'!V10:V153,"PWM0_55_N")</f>
        <v>0</v>
      </c>
      <c r="BH64" s="38">
        <f>COUNTIF('PF144'!V10:V153,"PWM0_56_N")</f>
        <v>0</v>
      </c>
      <c r="BI64" s="38">
        <f>COUNTIF('PF144'!V10:V153,"PWM0_57_N")</f>
        <v>0</v>
      </c>
      <c r="BJ64" s="38">
        <f>COUNTIF('PF144'!V10:V153,"PWM0_58_N")</f>
        <v>0</v>
      </c>
      <c r="BK64" s="38">
        <f>COUNTIF('PF144'!V10:V153,"PWM0_59_N")</f>
        <v>0</v>
      </c>
      <c r="BL64" s="38">
        <f>COUNTIF('PF144'!V10:V153,"PWM0_60_N")</f>
        <v>0</v>
      </c>
      <c r="BM64" s="38">
        <f>COUNTIF('PF144'!V10:V153,"PWM0_61_N")</f>
        <v>0</v>
      </c>
      <c r="BN64" s="38">
        <f>COUNTIF('PF144'!V10:V153,"PWM0_62_N")</f>
        <v>0</v>
      </c>
    </row>
    <row r="65" spans="2:66" x14ac:dyDescent="0.55000000000000004">
      <c r="B65" s="126" t="s">
        <v>418</v>
      </c>
      <c r="C65" s="38" t="s">
        <v>410</v>
      </c>
      <c r="D65" s="38">
        <f>COUNTIF('PF144'!V10:V153,"TC0_0_TR0")</f>
        <v>0</v>
      </c>
      <c r="E65" s="38">
        <f>COUNTIF('PF144'!V10:V153,"TC0_1_TR0")</f>
        <v>0</v>
      </c>
      <c r="F65" s="38">
        <f>COUNTIF('PF144'!V10:V153,"TC0_2_TR0")</f>
        <v>0</v>
      </c>
      <c r="G65" s="38">
        <f>COUNTIF('PF144'!V10:V153,"TC0_3_TR0")</f>
        <v>0</v>
      </c>
      <c r="H65" s="38">
        <f>COUNTIF('PF144'!V10:V153,"TC0_4_TR0")</f>
        <v>0</v>
      </c>
      <c r="I65" s="38">
        <f>COUNTIF('PF144'!V10:V153,"TC0_5_TR0")</f>
        <v>0</v>
      </c>
      <c r="J65" s="38">
        <f>COUNTIF('PF144'!V10:V153,"TC0_6_TR0")</f>
        <v>0</v>
      </c>
      <c r="K65" s="38">
        <f>COUNTIF('PF144'!V10:V153,"TC0_7_TR0")</f>
        <v>0</v>
      </c>
      <c r="L65" s="38">
        <f>COUNTIF('PF144'!V10:V153,"TC0_8_TR0")</f>
        <v>0</v>
      </c>
      <c r="M65" s="38">
        <f>COUNTIF('PF144'!V10:V153,"TC0_9_TR0")</f>
        <v>0</v>
      </c>
      <c r="N65" s="38">
        <f>COUNTIF('PF144'!V10:V153,"TC0_10_TR0")</f>
        <v>0</v>
      </c>
      <c r="O65" s="38">
        <f>COUNTIF('PF144'!V10:V153,"TC0_11_TR0")</f>
        <v>0</v>
      </c>
      <c r="P65" s="38">
        <f>COUNTIF('PF144'!V10:V153,"TC0_12_TR0")</f>
        <v>0</v>
      </c>
      <c r="Q65" s="38">
        <f>COUNTIF('PF144'!V10:V153,"TC0_13_TR0")</f>
        <v>0</v>
      </c>
      <c r="R65" s="38">
        <f>COUNTIF('PF144'!V10:V153,"TC0_14_TR0")</f>
        <v>0</v>
      </c>
      <c r="S65" s="38">
        <f>COUNTIF('PF144'!V10:V153,"TC0_15_TR0")</f>
        <v>0</v>
      </c>
      <c r="T65" s="38">
        <f>COUNTIF('PF144'!V10:V153,"TC0_16_TR0")</f>
        <v>0</v>
      </c>
      <c r="U65" s="38">
        <f>COUNTIF('PF144'!V10:V153,"TC0_17_TR0")</f>
        <v>0</v>
      </c>
      <c r="V65" s="38">
        <f>COUNTIF('PF144'!V10:V153,"TC0_18_TR0")</f>
        <v>0</v>
      </c>
      <c r="W65" s="38">
        <f>COUNTIF('PF144'!V10:V153,"TC0_19_TR0")</f>
        <v>0</v>
      </c>
      <c r="X65" s="38">
        <f>COUNTIF('PF144'!V10:V153,"TC0_20_TR0")</f>
        <v>0</v>
      </c>
      <c r="Y65" s="38">
        <f>COUNTIF('PF144'!V10:V153,"TC0_21_TR0")</f>
        <v>0</v>
      </c>
      <c r="Z65" s="38">
        <f>COUNTIF('PF144'!V10:V153,"TC0_22_TR0")</f>
        <v>0</v>
      </c>
      <c r="AA65" s="38">
        <f>COUNTIF('PF144'!V10:V153,"TC0_23_TR0")</f>
        <v>0</v>
      </c>
      <c r="AB65" s="38">
        <f>COUNTIF('PF144'!V10:V153,"TC0_24_TR0")</f>
        <v>0</v>
      </c>
      <c r="AC65" s="38">
        <f>COUNTIF('PF144'!V10:V153,"TC0_25_TR0")</f>
        <v>0</v>
      </c>
      <c r="AD65" s="38">
        <f>COUNTIF('PF144'!V10:V153,"TC0_26_TR0")</f>
        <v>0</v>
      </c>
      <c r="AE65" s="38">
        <f>COUNTIF('PF144'!V10:V153,"TC0_27_TR0")</f>
        <v>0</v>
      </c>
      <c r="AF65" s="38">
        <f>COUNTIF('PF144'!V10:V153,"TC0_28_TR0")</f>
        <v>0</v>
      </c>
      <c r="AG65" s="38">
        <f>COUNTIF('PF144'!V10:V153,"TC0_29_TR0")</f>
        <v>0</v>
      </c>
      <c r="AH65" s="38">
        <f>COUNTIF('PF144'!V10:V153,"TC0_30_TR0")</f>
        <v>0</v>
      </c>
      <c r="AI65" s="38">
        <f>COUNTIF('PF144'!V10:V153,"TC0_31_TR0")</f>
        <v>0</v>
      </c>
      <c r="AJ65" s="38">
        <f>COUNTIF('PF144'!V10:V153,"TC0_32_TR0")</f>
        <v>0</v>
      </c>
      <c r="AK65" s="38">
        <f>COUNTIF('PF144'!V10:V153,"TC0_33_TR0")</f>
        <v>0</v>
      </c>
      <c r="AL65" s="38">
        <f>COUNTIF('PF144'!V10:V153,"TC0_34_TR0")</f>
        <v>0</v>
      </c>
      <c r="AM65" s="38">
        <f>COUNTIF('PF144'!V10:V153,"TC0_35_TR0")</f>
        <v>0</v>
      </c>
      <c r="AN65" s="38">
        <f>COUNTIF('PF144'!V10:V153,"TC0_36_TR0")</f>
        <v>0</v>
      </c>
      <c r="AO65" s="38">
        <f>COUNTIF('PF144'!V10:V153,"TC0_37_TR0")</f>
        <v>0</v>
      </c>
      <c r="AP65" s="38">
        <f>COUNTIF('PF144'!V10:V153,"TC0_38_TR0")</f>
        <v>0</v>
      </c>
      <c r="AQ65" s="38">
        <f>COUNTIF('PF144'!V10:V153,"TC0_39_TR0")</f>
        <v>0</v>
      </c>
      <c r="AR65" s="38">
        <f>COUNTIF('PF144'!V10:V153,"TC0_40_TR0")</f>
        <v>0</v>
      </c>
      <c r="AS65" s="38">
        <f>COUNTIF('PF144'!V10:V153,"TC0_41_TR0")</f>
        <v>0</v>
      </c>
      <c r="AT65" s="38">
        <f>COUNTIF('PF144'!V10:V153,"TC0_42_TR0")</f>
        <v>0</v>
      </c>
      <c r="AU65" s="38">
        <f>COUNTIF('PF144'!V10:V153,"TC0_43_TR0")</f>
        <v>0</v>
      </c>
      <c r="AV65" s="38">
        <f>COUNTIF('PF144'!V10:V153,"TC0_44_TR0")</f>
        <v>0</v>
      </c>
      <c r="AW65" s="38">
        <f>COUNTIF('PF144'!V10:V153,"TC0_45_TR0")</f>
        <v>0</v>
      </c>
      <c r="AX65" s="38">
        <f>COUNTIF('PF144'!V10:V153,"TC0_46_TR0")</f>
        <v>0</v>
      </c>
      <c r="AY65" s="38">
        <f>COUNTIF('PF144'!V10:V153,"TC0_47_TR0")</f>
        <v>0</v>
      </c>
      <c r="AZ65" s="38">
        <f>COUNTIF('PF144'!V10:V153,"TC0_48_TR0")</f>
        <v>0</v>
      </c>
      <c r="BA65" s="38">
        <f>COUNTIF('PF144'!V10:V153,"TC0_49_TR0")</f>
        <v>0</v>
      </c>
      <c r="BB65" s="38">
        <f>COUNTIF('PF144'!V10:V153,"TC0_50_TR0")</f>
        <v>0</v>
      </c>
      <c r="BC65" s="38">
        <f>COUNTIF('PF144'!V10:V153,"TC0_51_TR0")</f>
        <v>0</v>
      </c>
      <c r="BD65" s="38">
        <f>COUNTIF('PF144'!V10:V153,"TC0_52_TR0")</f>
        <v>0</v>
      </c>
      <c r="BE65" s="38">
        <f>COUNTIF('PF144'!V10:V153,"TC0_53_TR0")</f>
        <v>0</v>
      </c>
      <c r="BF65" s="38">
        <f>COUNTIF('PF144'!V10:V153,"TC0_54_TR0")</f>
        <v>0</v>
      </c>
      <c r="BG65" s="38">
        <f>COUNTIF('PF144'!V10:V153,"TC0_55_TR0")</f>
        <v>0</v>
      </c>
      <c r="BH65" s="38">
        <f>COUNTIF('PF144'!V10:V153,"TC0_56_TR0")</f>
        <v>0</v>
      </c>
      <c r="BI65" s="38">
        <f>COUNTIF('PF144'!V10:V153,"TC0_57_TR0")</f>
        <v>0</v>
      </c>
      <c r="BJ65" s="38">
        <f>COUNTIF('PF144'!V10:V153,"TC0_58_TR0")</f>
        <v>0</v>
      </c>
      <c r="BK65" s="38">
        <f>COUNTIF('PF144'!V10:V153,"TC0_59_TR0")</f>
        <v>0</v>
      </c>
      <c r="BL65" s="38">
        <f>COUNTIF('PF144'!V10:V153,"TC0_60_TR0")</f>
        <v>0</v>
      </c>
      <c r="BM65" s="38">
        <f>COUNTIF('PF144'!V10:V153,"TC0_61_TR0")</f>
        <v>0</v>
      </c>
      <c r="BN65" s="38">
        <f>COUNTIF('PF144'!V10:V153,"TC0_62_TR0")</f>
        <v>0</v>
      </c>
    </row>
    <row r="66" spans="2:66" x14ac:dyDescent="0.55000000000000004">
      <c r="B66" s="127"/>
      <c r="C66" s="38" t="s">
        <v>411</v>
      </c>
      <c r="D66" s="38">
        <f>COUNTIF('PF144'!V10:V153,"TC0_0_TR1")</f>
        <v>0</v>
      </c>
      <c r="E66" s="38">
        <f>COUNTIF('PF144'!V10:V153,"TC0_1_TR1")</f>
        <v>0</v>
      </c>
      <c r="F66" s="38">
        <f>COUNTIF('PF144'!V10:V153,"TC0_2_TR1")</f>
        <v>0</v>
      </c>
      <c r="G66" s="38">
        <f>COUNTIF('PF144'!V10:V153,"TC0_3_TR1")</f>
        <v>0</v>
      </c>
      <c r="H66" s="38">
        <f>COUNTIF('PF144'!V10:V153,"TC0_4_TR1")</f>
        <v>0</v>
      </c>
      <c r="I66" s="38">
        <f>COUNTIF('PF144'!V10:V153,"TC0_5_TR1")</f>
        <v>0</v>
      </c>
      <c r="J66" s="38">
        <f>COUNTIF('PF144'!V10:V153,"TC0_6_TR1")</f>
        <v>0</v>
      </c>
      <c r="K66" s="38">
        <f>COUNTIF('PF144'!V10:V153,"TC0_7_TR1")</f>
        <v>0</v>
      </c>
      <c r="L66" s="38">
        <f>COUNTIF('PF144'!V10:V153,"TC0_8_TR1")</f>
        <v>0</v>
      </c>
      <c r="M66" s="38">
        <f>COUNTIF('PF144'!V10:V153,"TC0_9_TR1")</f>
        <v>0</v>
      </c>
      <c r="N66" s="38">
        <f>COUNTIF('PF144'!V10:V153,"TC0_10_TR1")</f>
        <v>0</v>
      </c>
      <c r="O66" s="38">
        <f>COUNTIF('PF144'!V10:V153,"TC0_11_TR1")</f>
        <v>0</v>
      </c>
      <c r="P66" s="38">
        <f>COUNTIF('PF144'!V10:V153,"TC0_12_TR1")</f>
        <v>0</v>
      </c>
      <c r="Q66" s="38">
        <f>COUNTIF('PF144'!V10:V153,"TC0_13_TR1")</f>
        <v>0</v>
      </c>
      <c r="R66" s="38">
        <f>COUNTIF('PF144'!V10:V153,"TC0_14_TR1")</f>
        <v>0</v>
      </c>
      <c r="S66" s="38">
        <f>COUNTIF('PF144'!V10:V153,"TC0_15_TR1")</f>
        <v>0</v>
      </c>
      <c r="T66" s="38">
        <f>COUNTIF('PF144'!V10:V153,"TC0_16_TR1")</f>
        <v>0</v>
      </c>
      <c r="U66" s="38">
        <f>COUNTIF('PF144'!V10:V153,"TC0_17_TR1")</f>
        <v>0</v>
      </c>
      <c r="V66" s="38">
        <f>COUNTIF('PF144'!V10:V153,"TC0_18_TR1")</f>
        <v>0</v>
      </c>
      <c r="W66" s="38">
        <f>COUNTIF('PF144'!V10:V153,"TC0_19_TR1")</f>
        <v>0</v>
      </c>
      <c r="X66" s="38">
        <f>COUNTIF('PF144'!V10:V153,"TC0_20_TR1")</f>
        <v>0</v>
      </c>
      <c r="Y66" s="38">
        <f>COUNTIF('PF144'!V10:V153,"TC0_21_TR1")</f>
        <v>0</v>
      </c>
      <c r="Z66" s="38">
        <f>COUNTIF('PF144'!V10:V153,"TC0_22_TR1")</f>
        <v>0</v>
      </c>
      <c r="AA66" s="38">
        <f>COUNTIF('PF144'!V10:V153,"TC0_23_TR1")</f>
        <v>0</v>
      </c>
      <c r="AB66" s="38">
        <f>COUNTIF('PF144'!V10:V153,"TC0_24_TR1")</f>
        <v>0</v>
      </c>
      <c r="AC66" s="38">
        <f>COUNTIF('PF144'!V10:V153,"TC0_25_TR1")</f>
        <v>0</v>
      </c>
      <c r="AD66" s="38">
        <f>COUNTIF('PF144'!V10:V153,"TC0_26_TR1")</f>
        <v>0</v>
      </c>
      <c r="AE66" s="38">
        <f>COUNTIF('PF144'!V10:V153,"TC0_27_TR1")</f>
        <v>0</v>
      </c>
      <c r="AF66" s="38">
        <f>COUNTIF('PF144'!V10:V153,"TC0_28_TR1")</f>
        <v>0</v>
      </c>
      <c r="AG66" s="38">
        <f>COUNTIF('PF144'!V10:V153,"TC0_29_TR1")</f>
        <v>0</v>
      </c>
      <c r="AH66" s="38">
        <f>COUNTIF('PF144'!V10:V153,"TC0_30_TR1")</f>
        <v>0</v>
      </c>
      <c r="AI66" s="38">
        <f>COUNTIF('PF144'!V10:V153,"TC0_31_TR1")</f>
        <v>0</v>
      </c>
      <c r="AJ66" s="38">
        <f>COUNTIF('PF144'!V10:V153,"TC0_32_TR1")</f>
        <v>0</v>
      </c>
      <c r="AK66" s="38">
        <f>COUNTIF('PF144'!V10:V153,"TC0_33_TR1")</f>
        <v>0</v>
      </c>
      <c r="AL66" s="38">
        <f>COUNTIF('PF144'!V10:V153,"TC0_34_TR1")</f>
        <v>0</v>
      </c>
      <c r="AM66" s="38">
        <f>COUNTIF('PF144'!V10:V153,"TC0_35_TR1")</f>
        <v>0</v>
      </c>
      <c r="AN66" s="38">
        <f>COUNTIF('PF144'!V10:V153,"TC0_36_TR1")</f>
        <v>0</v>
      </c>
      <c r="AO66" s="38">
        <f>COUNTIF('PF144'!V10:V153,"TC0_37_TR1")</f>
        <v>0</v>
      </c>
      <c r="AP66" s="38">
        <f>COUNTIF('PF144'!V10:V153,"TC0_38_TR1")</f>
        <v>0</v>
      </c>
      <c r="AQ66" s="38">
        <f>COUNTIF('PF144'!V10:V153,"TC0_39_TR1")</f>
        <v>0</v>
      </c>
      <c r="AR66" s="38">
        <f>COUNTIF('PF144'!V10:V153,"TC0_40_TR1")</f>
        <v>0</v>
      </c>
      <c r="AS66" s="38">
        <f>COUNTIF('PF144'!V10:V153,"TC0_41_TR1")</f>
        <v>0</v>
      </c>
      <c r="AT66" s="38">
        <f>COUNTIF('PF144'!V10:V153,"TC0_42_TR1")</f>
        <v>0</v>
      </c>
      <c r="AU66" s="38">
        <f>COUNTIF('PF144'!V10:V153,"TC0_43_TR1")</f>
        <v>0</v>
      </c>
      <c r="AV66" s="38">
        <f>COUNTIF('PF144'!V10:V153,"TC0_44_TR1")</f>
        <v>0</v>
      </c>
      <c r="AW66" s="38">
        <f>COUNTIF('PF144'!V10:V153,"TC0_45_TR1")</f>
        <v>0</v>
      </c>
      <c r="AX66" s="38">
        <f>COUNTIF('PF144'!V10:V153,"TC0_46_TR1")</f>
        <v>0</v>
      </c>
      <c r="AY66" s="38">
        <f>COUNTIF('PF144'!V10:V153,"TC0_47_TR1")</f>
        <v>0</v>
      </c>
      <c r="AZ66" s="38">
        <f>COUNTIF('PF144'!V10:V153,"TC0_48_TR1")</f>
        <v>0</v>
      </c>
      <c r="BA66" s="38">
        <f>COUNTIF('PF144'!V10:V153,"TC0_49_TR1")</f>
        <v>0</v>
      </c>
      <c r="BB66" s="38">
        <f>COUNTIF('PF144'!V10:V153,"TC0_50_TR1")</f>
        <v>0</v>
      </c>
      <c r="BC66" s="38">
        <f>COUNTIF('PF144'!V10:V153,"TC0_51_TR1")</f>
        <v>0</v>
      </c>
      <c r="BD66" s="38">
        <f>COUNTIF('PF144'!V10:V153,"TC0_52_TR1")</f>
        <v>0</v>
      </c>
      <c r="BE66" s="38">
        <f>COUNTIF('PF144'!V10:V153,"TC0_53_TR1")</f>
        <v>0</v>
      </c>
      <c r="BF66" s="38">
        <f>COUNTIF('PF144'!V10:V153,"TC0_54_TR1")</f>
        <v>0</v>
      </c>
      <c r="BG66" s="38">
        <f>COUNTIF('PF144'!V10:V153,"TC0_55_TR1")</f>
        <v>0</v>
      </c>
      <c r="BH66" s="38">
        <f>COUNTIF('PF144'!V10:V153,"TC0_56_TR1")</f>
        <v>0</v>
      </c>
      <c r="BI66" s="38">
        <f>COUNTIF('PF144'!V10:V153,"TC0_57_TR1")</f>
        <v>0</v>
      </c>
      <c r="BJ66" s="38">
        <f>COUNTIF('PF144'!V10:V153,"TC0_58_TR1")</f>
        <v>0</v>
      </c>
      <c r="BK66" s="38">
        <f>COUNTIF('PF144'!V10:V153,"TC0_59_TR1")</f>
        <v>0</v>
      </c>
      <c r="BL66" s="38">
        <f>COUNTIF('PF144'!V10:V153,"TC0_60_TR1")</f>
        <v>0</v>
      </c>
      <c r="BM66" s="38">
        <f>COUNTIF('PF144'!V10:V153,"TC0_61_TR1")</f>
        <v>0</v>
      </c>
      <c r="BN66" s="38">
        <f>COUNTIF('PF144'!V10:V153,"TC0_62_TR1")</f>
        <v>0</v>
      </c>
    </row>
    <row r="68" spans="2:66" x14ac:dyDescent="0.55000000000000004">
      <c r="B68" s="128" t="s">
        <v>433</v>
      </c>
      <c r="C68" s="129"/>
      <c r="D68" s="37" t="s">
        <v>420</v>
      </c>
      <c r="E68" s="37" t="s">
        <v>421</v>
      </c>
      <c r="F68" s="37" t="s">
        <v>422</v>
      </c>
      <c r="G68" s="37" t="s">
        <v>423</v>
      </c>
      <c r="H68" s="37" t="s">
        <v>424</v>
      </c>
      <c r="I68" s="37" t="s">
        <v>425</v>
      </c>
      <c r="J68" s="37" t="s">
        <v>426</v>
      </c>
      <c r="K68" s="37" t="s">
        <v>427</v>
      </c>
      <c r="L68" s="37" t="s">
        <v>428</v>
      </c>
      <c r="M68" s="37" t="s">
        <v>429</v>
      </c>
      <c r="N68" s="37" t="s">
        <v>431</v>
      </c>
      <c r="O68" s="37" t="s">
        <v>432</v>
      </c>
      <c r="P68" s="60"/>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row>
    <row r="69" spans="2:66" x14ac:dyDescent="0.55000000000000004">
      <c r="B69" s="126" t="s">
        <v>417</v>
      </c>
      <c r="C69" s="38" t="s">
        <v>409</v>
      </c>
      <c r="D69" s="38">
        <f>COUNTIF('PF144'!V10:V153,"PWM0_M_0")</f>
        <v>0</v>
      </c>
      <c r="E69" s="38">
        <f>COUNTIF('PF144'!V10:V153,"PWM0_M_1")</f>
        <v>0</v>
      </c>
      <c r="F69" s="38">
        <f>COUNTIF('PF144'!V10:V153,"PWM0_M_2")</f>
        <v>0</v>
      </c>
      <c r="G69" s="38">
        <f>COUNTIF('PF144'!V10:V153,"PWM0_M_3")</f>
        <v>0</v>
      </c>
      <c r="H69" s="38">
        <f>COUNTIF('PF144'!V10:V153,"PWM0_M_4")</f>
        <v>0</v>
      </c>
      <c r="I69" s="38">
        <f>COUNTIF('PF144'!V10:V153,"PWM0_M_5")</f>
        <v>0</v>
      </c>
      <c r="J69" s="38">
        <f>COUNTIF('PF144'!V10:V153,"PWM0_M_6")</f>
        <v>0</v>
      </c>
      <c r="K69" s="38">
        <f>COUNTIF('PF144'!V10:V153,"PWM0_M_7")</f>
        <v>0</v>
      </c>
      <c r="L69" s="38">
        <f>COUNTIF('PF144'!V10:V153,"PWM0_M_8")</f>
        <v>0</v>
      </c>
      <c r="M69" s="38">
        <f>COUNTIF('PF144'!V10:V153,"PWM0_M_9")</f>
        <v>0</v>
      </c>
      <c r="N69" s="38">
        <f>COUNTIF('PF144'!V10:V153,"PWM0_M_10")</f>
        <v>0</v>
      </c>
      <c r="O69" s="38">
        <f>COUNTIF('PF144'!V10:V153,"PWM0_M_11")</f>
        <v>0</v>
      </c>
      <c r="P69" s="61"/>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row>
    <row r="70" spans="2:66" x14ac:dyDescent="0.55000000000000004">
      <c r="B70" s="127"/>
      <c r="C70" s="38" t="s">
        <v>412</v>
      </c>
      <c r="D70" s="38">
        <f>COUNTIF('PF144'!V10:V153,"PWM0_M_0_N")</f>
        <v>0</v>
      </c>
      <c r="E70" s="38">
        <f>COUNTIF('PF144'!V10:V153,"PWM0_M_1_N")</f>
        <v>0</v>
      </c>
      <c r="F70" s="38">
        <f>COUNTIF('PF144'!V10:V153,"PWM0_M_2_N")</f>
        <v>0</v>
      </c>
      <c r="G70" s="38">
        <f>COUNTIF('PF144'!V10:V153,"PWM0_M_3_N")</f>
        <v>0</v>
      </c>
      <c r="H70" s="38">
        <f>COUNTIF('PF144'!V10:V153,"PWM0_M_4_N")</f>
        <v>0</v>
      </c>
      <c r="I70" s="38">
        <f>COUNTIF('PF144'!V10:V153,"PWM0_M_5_N")</f>
        <v>0</v>
      </c>
      <c r="J70" s="38">
        <f>COUNTIF('PF144'!V10:V153,"PWM0_M_6_N")</f>
        <v>0</v>
      </c>
      <c r="K70" s="38">
        <f>COUNTIF('PF144'!V10:V153,"PWM0_M_7_N")</f>
        <v>0</v>
      </c>
      <c r="L70" s="38">
        <f>COUNTIF('PF144'!V10:V153,"PWM0_M_8_N")</f>
        <v>0</v>
      </c>
      <c r="M70" s="38">
        <f>COUNTIF('PF144'!V10:V153,"PWM0_M_9_N")</f>
        <v>0</v>
      </c>
      <c r="N70" s="38">
        <f>COUNTIF('PF144'!V10:V153,"PWM0_M_10_N")</f>
        <v>0</v>
      </c>
      <c r="O70" s="38">
        <f>COUNTIF('PF144'!V10:V153,"PWM0_M_11_N")</f>
        <v>0</v>
      </c>
      <c r="P70" s="61"/>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row>
    <row r="71" spans="2:66" x14ac:dyDescent="0.55000000000000004">
      <c r="B71" s="126" t="s">
        <v>418</v>
      </c>
      <c r="C71" s="38" t="s">
        <v>410</v>
      </c>
      <c r="D71" s="38">
        <f>COUNTIF('PF144'!V10:V153,"TC0_M_0_TR0")</f>
        <v>0</v>
      </c>
      <c r="E71" s="38">
        <f>COUNTIF('PF144'!V10:V153,"TC0_M_1_TR0")</f>
        <v>0</v>
      </c>
      <c r="F71" s="38">
        <f>COUNTIF('PF144'!V10:V153,"TC0_M_2_TR0")</f>
        <v>0</v>
      </c>
      <c r="G71" s="38">
        <f>COUNTIF('PF144'!V10:V153,"TC0_M_3_TR0")</f>
        <v>0</v>
      </c>
      <c r="H71" s="38">
        <f>COUNTIF('PF144'!V10:V153,"TC0_M_4_TR0")</f>
        <v>0</v>
      </c>
      <c r="I71" s="38">
        <f>COUNTIF('PF144'!V10:V153,"TC0_M_5_TR0")</f>
        <v>0</v>
      </c>
      <c r="J71" s="38">
        <f>COUNTIF('PF144'!V10:V153,"TC0_M_6_TR0")</f>
        <v>0</v>
      </c>
      <c r="K71" s="38">
        <f>COUNTIF('PF144'!V10:V153,"TC0_M_7_TR0")</f>
        <v>0</v>
      </c>
      <c r="L71" s="38">
        <f>COUNTIF('PF144'!V10:V153,"TC0_M_8_TR0")</f>
        <v>0</v>
      </c>
      <c r="M71" s="38">
        <f>COUNTIF('PF144'!V10:V153,"TC0_M_9_TR0")</f>
        <v>0</v>
      </c>
      <c r="N71" s="38">
        <f>COUNTIF('PF144'!V10:V153,"TC0_M_10_TR0")</f>
        <v>0</v>
      </c>
      <c r="O71" s="38">
        <f>COUNTIF('PF144'!V10:V153,"TC0_M_11_TR0")</f>
        <v>0</v>
      </c>
      <c r="P71" s="61"/>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row>
    <row r="72" spans="2:66" x14ac:dyDescent="0.55000000000000004">
      <c r="B72" s="127"/>
      <c r="C72" s="38" t="s">
        <v>411</v>
      </c>
      <c r="D72" s="38">
        <f>COUNTIF('PF144'!V10:V153,"TC0_M_0_TR1")</f>
        <v>0</v>
      </c>
      <c r="E72" s="38">
        <f>COUNTIF('PF144'!V10:V153,"TC0_M_1_TR1")</f>
        <v>0</v>
      </c>
      <c r="F72" s="38">
        <f>COUNTIF('PF144'!V10:V153,"TC0_M_2_TR1")</f>
        <v>0</v>
      </c>
      <c r="G72" s="38">
        <f>COUNTIF('PF144'!V10:V153,"TC0_M_3_TR1")</f>
        <v>0</v>
      </c>
      <c r="H72" s="38">
        <f>COUNTIF('PF144'!V10:V153,"TC0_M_4_TR1")</f>
        <v>0</v>
      </c>
      <c r="I72" s="38">
        <f>COUNTIF('PF144'!V10:V153,"TC0_M_5_TR1")</f>
        <v>0</v>
      </c>
      <c r="J72" s="38">
        <f>COUNTIF('PF144'!V10:V153,"TC0_M_6_TR1")</f>
        <v>0</v>
      </c>
      <c r="K72" s="38">
        <f>COUNTIF('PF144'!V10:V153,"TC0_M_7_TR1")</f>
        <v>0</v>
      </c>
      <c r="L72" s="38">
        <f>COUNTIF('PF144'!V10:V153,"TC0_M_8_TR1")</f>
        <v>0</v>
      </c>
      <c r="M72" s="38">
        <f>COUNTIF('PF144'!V10:V153,"TC0_M_9_TR1")</f>
        <v>0</v>
      </c>
      <c r="N72" s="38">
        <f>COUNTIF('PF144'!V10:V153,"TC0_M_10_TR1")</f>
        <v>0</v>
      </c>
      <c r="O72" s="38">
        <f>COUNTIF('PF144'!V10:V153,"TC0_M_11_TR1")</f>
        <v>0</v>
      </c>
      <c r="P72" s="61"/>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row>
    <row r="73" spans="2:66" x14ac:dyDescent="0.55000000000000004">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row>
    <row r="74" spans="2:66" x14ac:dyDescent="0.55000000000000004">
      <c r="B74" s="128" t="s">
        <v>434</v>
      </c>
      <c r="C74" s="129"/>
      <c r="D74" s="37" t="s">
        <v>420</v>
      </c>
      <c r="E74" s="37" t="s">
        <v>421</v>
      </c>
      <c r="F74" s="37" t="s">
        <v>422</v>
      </c>
      <c r="G74" s="37" t="s">
        <v>423</v>
      </c>
      <c r="H74" s="37" t="s">
        <v>424</v>
      </c>
      <c r="I74" s="37" t="s">
        <v>425</v>
      </c>
      <c r="J74" s="37" t="s">
        <v>426</v>
      </c>
      <c r="K74" s="37" t="s">
        <v>427</v>
      </c>
      <c r="Q74" s="40"/>
      <c r="R74" s="40"/>
      <c r="S74" s="40"/>
      <c r="T74" s="40"/>
      <c r="U74" s="40"/>
      <c r="V74" s="40"/>
      <c r="W74" s="40"/>
      <c r="X74" s="40"/>
      <c r="Y74" s="40"/>
      <c r="Z74" s="40"/>
      <c r="AA74" s="40"/>
      <c r="AB74" s="40"/>
      <c r="AC74" s="40"/>
      <c r="AD74" s="40"/>
      <c r="AE74" s="40"/>
      <c r="AF74" s="40"/>
      <c r="AG74" s="40"/>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row>
    <row r="75" spans="2:66" x14ac:dyDescent="0.55000000000000004">
      <c r="B75" s="126" t="s">
        <v>417</v>
      </c>
      <c r="C75" s="38" t="s">
        <v>409</v>
      </c>
      <c r="D75" s="38">
        <f>COUNTIF('PF144'!V10:V153,"PWM0_H_0")</f>
        <v>0</v>
      </c>
      <c r="E75" s="38">
        <f>COUNTIF('PF144'!V10:V153,"PWM0_H_1")</f>
        <v>0</v>
      </c>
      <c r="F75" s="38">
        <f>COUNTIF('PF144'!V10:V153,"PWM0_H_2")</f>
        <v>0</v>
      </c>
      <c r="G75" s="38">
        <f>COUNTIF('PF144'!V10:V153,"PWM0_H_3")</f>
        <v>0</v>
      </c>
      <c r="H75" s="38">
        <f>COUNTIF('PF144'!V10:V153,"PWM0_H_4")</f>
        <v>0</v>
      </c>
      <c r="I75" s="38">
        <f>COUNTIF('PF144'!V10:V153,"PWM0_H_5")</f>
        <v>0</v>
      </c>
      <c r="J75" s="38">
        <f>COUNTIF('PF144'!V10:V153,"PWM0_H_6")</f>
        <v>0</v>
      </c>
      <c r="K75" s="38">
        <f>COUNTIF('PF144'!V10:V153,"PWM0_H_7")</f>
        <v>0</v>
      </c>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row>
    <row r="76" spans="2:66" x14ac:dyDescent="0.55000000000000004">
      <c r="B76" s="127"/>
      <c r="C76" s="38" t="s">
        <v>412</v>
      </c>
      <c r="D76" s="38">
        <f>COUNTIF('PF144'!V10:V153,"PWM0_H_0_N")</f>
        <v>0</v>
      </c>
      <c r="E76" s="38">
        <f>COUNTIF('PF144'!V10:V153,"PWM0_H_1_N")</f>
        <v>0</v>
      </c>
      <c r="F76" s="38">
        <f>COUNTIF('PF144'!V10:V153,"PWM0_H_2_N")</f>
        <v>0</v>
      </c>
      <c r="G76" s="38">
        <f>COUNTIF('PF144'!V10:V153,"PWM0_H_3_N")</f>
        <v>0</v>
      </c>
      <c r="H76" s="38">
        <f>COUNTIF('PF144'!V10:V153,"PWM0_H_4_N")</f>
        <v>0</v>
      </c>
      <c r="I76" s="38">
        <f>COUNTIF('PF144'!V10:V153,"PWM0_H_5_N")</f>
        <v>0</v>
      </c>
      <c r="J76" s="38">
        <f>COUNTIF('PF144'!V10:V153,"PWM0_H_6_N")</f>
        <v>0</v>
      </c>
      <c r="K76" s="38">
        <f>COUNTIF('PF144'!V10:V153,"PWM0_H_7_N")</f>
        <v>0</v>
      </c>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row>
    <row r="77" spans="2:66" x14ac:dyDescent="0.55000000000000004">
      <c r="B77" s="126" t="s">
        <v>418</v>
      </c>
      <c r="C77" s="38" t="s">
        <v>410</v>
      </c>
      <c r="D77" s="38">
        <f>COUNTIF('PF144'!V10:V153,"TC0_H_0_TR0")</f>
        <v>0</v>
      </c>
      <c r="E77" s="38">
        <f>COUNTIF('PF144'!V10:V153,"TC0_H_1_TR0")</f>
        <v>0</v>
      </c>
      <c r="F77" s="38">
        <f>COUNTIF('PF144'!V10:V153,"TC0_H_2_TR0")</f>
        <v>0</v>
      </c>
      <c r="G77" s="38">
        <f>COUNTIF('PF144'!V10:V153,"TC0_H_3_TR0")</f>
        <v>0</v>
      </c>
      <c r="H77" s="38">
        <f>COUNTIF('PF144'!V10:V153,"TC0_H_4_TR0")</f>
        <v>0</v>
      </c>
      <c r="I77" s="38">
        <f>COUNTIF('PF144'!V10:V153,"TC0_H_5_TR0")</f>
        <v>0</v>
      </c>
      <c r="J77" s="38">
        <f>COUNTIF('PF144'!V10:V153,"TC0_H_6_TR0")</f>
        <v>0</v>
      </c>
      <c r="K77" s="38">
        <f>COUNTIF('PF144'!V10:V153,"TC0_H_7_TR0")</f>
        <v>0</v>
      </c>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row>
    <row r="78" spans="2:66" x14ac:dyDescent="0.55000000000000004">
      <c r="B78" s="127"/>
      <c r="C78" s="38" t="s">
        <v>411</v>
      </c>
      <c r="D78" s="38">
        <f>COUNTIF('PF144'!V10:V153,"TC0_H_0_TR1")</f>
        <v>0</v>
      </c>
      <c r="E78" s="38">
        <f>COUNTIF('PF144'!V10:V153,"TC0_H_1_TR1")</f>
        <v>0</v>
      </c>
      <c r="F78" s="38">
        <f>COUNTIF('PF144'!V10:V153,"TC0_H_2_TR1")</f>
        <v>0</v>
      </c>
      <c r="G78" s="38">
        <f>COUNTIF('PF144'!V10:V153,"TC0_H_3_TR1")</f>
        <v>0</v>
      </c>
      <c r="H78" s="38">
        <f>COUNTIF('PF144'!V10:V153,"TC0_H_4_TR1")</f>
        <v>0</v>
      </c>
      <c r="I78" s="38">
        <f>COUNTIF('PF144'!V10:V153,"TC0_H_5_TR1")</f>
        <v>0</v>
      </c>
      <c r="J78" s="38">
        <f>COUNTIF('PF144'!V10:V153,"TC0_H_6_TR1")</f>
        <v>0</v>
      </c>
      <c r="K78" s="38">
        <f>COUNTIF('PF144'!V10:V153,"TC0_H_7_TR1")</f>
        <v>0</v>
      </c>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row>
    <row r="79" spans="2:66" ht="10" customHeight="1" x14ac:dyDescent="0.55000000000000004"/>
    <row r="81" spans="2:6" x14ac:dyDescent="0.55000000000000004">
      <c r="B81" s="128" t="s">
        <v>405</v>
      </c>
      <c r="C81" s="129"/>
      <c r="D81" s="37" t="s">
        <v>406</v>
      </c>
      <c r="E81" s="37" t="s">
        <v>407</v>
      </c>
      <c r="F81" s="37" t="s">
        <v>408</v>
      </c>
    </row>
    <row r="82" spans="2:6" x14ac:dyDescent="0.55000000000000004">
      <c r="B82" s="123" t="s">
        <v>398</v>
      </c>
      <c r="C82" s="38" t="s">
        <v>486</v>
      </c>
      <c r="D82" s="38">
        <f>COUNTIF('PF144'!V10:V153,"ADC[0]_0")</f>
        <v>0</v>
      </c>
      <c r="E82" s="38">
        <f>COUNTIF('PF144'!V10:V153,"ADC[1]_0")</f>
        <v>0</v>
      </c>
      <c r="F82" s="38">
        <f>COUNTIF('PF144'!V10:V153,"ADC[2]_0")</f>
        <v>0</v>
      </c>
    </row>
    <row r="83" spans="2:6" x14ac:dyDescent="0.55000000000000004">
      <c r="B83" s="124"/>
      <c r="C83" s="38" t="s">
        <v>487</v>
      </c>
      <c r="D83" s="38">
        <f>COUNTIF('PF144'!V10:V153,"ADC[0]_1")</f>
        <v>0</v>
      </c>
      <c r="E83" s="38">
        <f>COUNTIF('PF144'!V10:V153,"ADC[1]_1")</f>
        <v>0</v>
      </c>
      <c r="F83" s="38">
        <f>COUNTIF('PF144'!V10:V153,"ADC[2]_1")</f>
        <v>0</v>
      </c>
    </row>
    <row r="84" spans="2:6" x14ac:dyDescent="0.55000000000000004">
      <c r="B84" s="124"/>
      <c r="C84" s="38" t="s">
        <v>488</v>
      </c>
      <c r="D84" s="38">
        <f>COUNTIF('PF144'!V10:V153,"ADC[0]_2")</f>
        <v>0</v>
      </c>
      <c r="E84" s="38">
        <f>COUNTIF('PF144'!V10:V153,"ADC[1]_2")</f>
        <v>0</v>
      </c>
      <c r="F84" s="38">
        <f>COUNTIF('PF144'!V10:V153,"ADC[2]_2")</f>
        <v>0</v>
      </c>
    </row>
    <row r="85" spans="2:6" x14ac:dyDescent="0.55000000000000004">
      <c r="B85" s="124"/>
      <c r="C85" s="38" t="s">
        <v>489</v>
      </c>
      <c r="D85" s="38">
        <f>COUNTIF('PF144'!V10:V153,"ADC[0]_3")</f>
        <v>0</v>
      </c>
      <c r="E85" s="38">
        <f>COUNTIF('PF144'!V10:V153,"ADC[1]_3")</f>
        <v>0</v>
      </c>
      <c r="F85" s="38">
        <f>COUNTIF('PF144'!V10:V153,"ADC[2]_3")</f>
        <v>0</v>
      </c>
    </row>
    <row r="86" spans="2:6" x14ac:dyDescent="0.55000000000000004">
      <c r="B86" s="124"/>
      <c r="C86" s="38" t="s">
        <v>490</v>
      </c>
      <c r="D86" s="38">
        <f>COUNTIF('PF144'!V10:V153,"ADC[0]_4")</f>
        <v>0</v>
      </c>
      <c r="E86" s="38">
        <f>COUNTIF('PF144'!V10:V153,"ADC[1]_4")</f>
        <v>0</v>
      </c>
      <c r="F86" s="38">
        <f>COUNTIF('PF144'!V10:V153,"ADC[2]_4")</f>
        <v>0</v>
      </c>
    </row>
    <row r="87" spans="2:6" x14ac:dyDescent="0.55000000000000004">
      <c r="B87" s="124"/>
      <c r="C87" s="38" t="s">
        <v>491</v>
      </c>
      <c r="D87" s="38">
        <f>COUNTIF('PF144'!V10:V153,"ADC[0]_5")</f>
        <v>0</v>
      </c>
      <c r="E87" s="38">
        <f>COUNTIF('PF144'!V10:V153,"ADC[1]_5")</f>
        <v>0</v>
      </c>
      <c r="F87" s="38">
        <f>COUNTIF('PF144'!V10:V153,"ADC[2]_5")</f>
        <v>0</v>
      </c>
    </row>
    <row r="88" spans="2:6" x14ac:dyDescent="0.55000000000000004">
      <c r="B88" s="124"/>
      <c r="C88" s="38" t="s">
        <v>492</v>
      </c>
      <c r="D88" s="38">
        <f>COUNTIF('PF144'!V10:V153,"ADC[0]_6")</f>
        <v>0</v>
      </c>
      <c r="E88" s="38">
        <f>COUNTIF('PF144'!V10:V153,"ADC[1]_6")</f>
        <v>0</v>
      </c>
      <c r="F88" s="38">
        <f>COUNTIF('PF144'!V10:V153,"ADC[2]_6")</f>
        <v>0</v>
      </c>
    </row>
    <row r="89" spans="2:6" x14ac:dyDescent="0.55000000000000004">
      <c r="B89" s="124"/>
      <c r="C89" s="38" t="s">
        <v>493</v>
      </c>
      <c r="D89" s="38">
        <f>COUNTIF('PF144'!V10:V153,"ADC[0]_7")</f>
        <v>0</v>
      </c>
      <c r="E89" s="38">
        <f>COUNTIF('PF144'!V10:V153,"ADC[1]_7")</f>
        <v>0</v>
      </c>
      <c r="F89" s="38">
        <f>COUNTIF('PF144'!V10:V153,"ADC[2]_7")</f>
        <v>0</v>
      </c>
    </row>
    <row r="90" spans="2:6" x14ac:dyDescent="0.55000000000000004">
      <c r="B90" s="124"/>
      <c r="C90" s="38" t="s">
        <v>494</v>
      </c>
      <c r="D90" s="38">
        <f>COUNTIF('PF144'!V10:V153,"ADC[0]_8")</f>
        <v>0</v>
      </c>
      <c r="E90" s="38">
        <f>COUNTIF('PF144'!V10:V153,"ADC[1]_8")</f>
        <v>0</v>
      </c>
      <c r="F90" s="38">
        <f>COUNTIF('PF144'!V10:V153,"ADC[2]_8")</f>
        <v>0</v>
      </c>
    </row>
    <row r="91" spans="2:6" x14ac:dyDescent="0.55000000000000004">
      <c r="B91" s="124"/>
      <c r="C91" s="38" t="s">
        <v>495</v>
      </c>
      <c r="D91" s="38">
        <f>COUNTIF('PF144'!V10:V153,"ADC[0]_9")</f>
        <v>0</v>
      </c>
      <c r="E91" s="38">
        <f>COUNTIF('PF144'!V10:V153,"ADC[1]_9")</f>
        <v>0</v>
      </c>
      <c r="F91" s="38">
        <f>COUNTIF('PF144'!V10:V153,"ADC[2]_9")</f>
        <v>0</v>
      </c>
    </row>
    <row r="92" spans="2:6" x14ac:dyDescent="0.55000000000000004">
      <c r="B92" s="124"/>
      <c r="C92" s="38" t="s">
        <v>496</v>
      </c>
      <c r="D92" s="38">
        <f>COUNTIF('PF144'!V10:V153,"ADC[0]_10")</f>
        <v>0</v>
      </c>
      <c r="E92" s="38">
        <f>COUNTIF('PF144'!V10:V153,"ADC[1]_10")</f>
        <v>0</v>
      </c>
      <c r="F92" s="38">
        <f>COUNTIF('PF144'!V10:V153,"ADC[2]_10")</f>
        <v>0</v>
      </c>
    </row>
    <row r="93" spans="2:6" x14ac:dyDescent="0.55000000000000004">
      <c r="B93" s="124"/>
      <c r="C93" s="38" t="s">
        <v>497</v>
      </c>
      <c r="D93" s="38">
        <f>COUNTIF('PF144'!V10:V153,"ADC[0]_11")</f>
        <v>0</v>
      </c>
      <c r="E93" s="38">
        <f>COUNTIF('PF144'!V10:V153,"ADC[1]_11")</f>
        <v>0</v>
      </c>
      <c r="F93" s="38">
        <f>COUNTIF('PF144'!V10:V153,"ADC[2]_11")</f>
        <v>0</v>
      </c>
    </row>
    <row r="94" spans="2:6" x14ac:dyDescent="0.55000000000000004">
      <c r="B94" s="124"/>
      <c r="C94" s="38" t="s">
        <v>498</v>
      </c>
      <c r="D94" s="38">
        <f>COUNTIF('PF144'!V10:V153,"ADC[0]_12")</f>
        <v>0</v>
      </c>
      <c r="E94" s="38">
        <f>COUNTIF('PF144'!V10:V153,"ADC[1]_12")</f>
        <v>0</v>
      </c>
      <c r="F94" s="38">
        <f>COUNTIF('PF144'!V10:V153,"ADC[2]_12")</f>
        <v>0</v>
      </c>
    </row>
    <row r="95" spans="2:6" x14ac:dyDescent="0.55000000000000004">
      <c r="B95" s="124"/>
      <c r="C95" s="38" t="s">
        <v>499</v>
      </c>
      <c r="D95" s="38">
        <f>COUNTIF('PF144'!V10:V153,"ADC[0]_13")</f>
        <v>0</v>
      </c>
      <c r="E95" s="38">
        <f>COUNTIF('PF144'!V10:V153,"ADC[1]_13")</f>
        <v>0</v>
      </c>
      <c r="F95" s="38">
        <f>COUNTIF('PF144'!V10:V153,"ADC[2]_13")</f>
        <v>0</v>
      </c>
    </row>
    <row r="96" spans="2:6" x14ac:dyDescent="0.55000000000000004">
      <c r="B96" s="124"/>
      <c r="C96" s="38" t="s">
        <v>500</v>
      </c>
      <c r="D96" s="38">
        <f>COUNTIF('PF144'!V10:V153,"ADC[0]_14")</f>
        <v>0</v>
      </c>
      <c r="E96" s="38">
        <f>COUNTIF('PF144'!V10:V153,"ADC[1]_14")</f>
        <v>0</v>
      </c>
      <c r="F96" s="38">
        <f>COUNTIF('PF144'!V10:V153,"ADC[2]_14")</f>
        <v>0</v>
      </c>
    </row>
    <row r="97" spans="2:6" x14ac:dyDescent="0.55000000000000004">
      <c r="B97" s="124"/>
      <c r="C97" s="38" t="s">
        <v>501</v>
      </c>
      <c r="D97" s="38">
        <f>COUNTIF('PF144'!V10:V153,"ADC[0]_15")</f>
        <v>0</v>
      </c>
      <c r="E97" s="38">
        <f>COUNTIF('PF144'!V10:V153,"ADC[1]_15")</f>
        <v>0</v>
      </c>
      <c r="F97" s="38">
        <f>COUNTIF('PF144'!V10:V153,"ADC[2]_15")</f>
        <v>0</v>
      </c>
    </row>
    <row r="98" spans="2:6" x14ac:dyDescent="0.55000000000000004">
      <c r="B98" s="124"/>
      <c r="C98" s="38" t="s">
        <v>502</v>
      </c>
      <c r="D98" s="38">
        <f>COUNTIF('PF144'!V10:V153,"ADC[0]_16")</f>
        <v>0</v>
      </c>
      <c r="E98" s="38">
        <f>COUNTIF('PF144'!V10:V153,"ADC[1]_16")</f>
        <v>0</v>
      </c>
      <c r="F98" s="38">
        <f>COUNTIF('PF144'!V10:V153,"ADC[2]_16")</f>
        <v>0</v>
      </c>
    </row>
    <row r="99" spans="2:6" x14ac:dyDescent="0.55000000000000004">
      <c r="B99" s="124"/>
      <c r="C99" s="38" t="s">
        <v>503</v>
      </c>
      <c r="D99" s="38">
        <f>COUNTIF('PF144'!V10:V153,"ADC[0]_17")</f>
        <v>0</v>
      </c>
      <c r="E99" s="38">
        <f>COUNTIF('PF144'!V10:V153,"ADC[1]_17")</f>
        <v>0</v>
      </c>
      <c r="F99" s="38">
        <f>COUNTIF('PF144'!V10:V153,"ADC[2]_17")</f>
        <v>0</v>
      </c>
    </row>
    <row r="100" spans="2:6" x14ac:dyDescent="0.55000000000000004">
      <c r="B100" s="124"/>
      <c r="C100" s="38" t="s">
        <v>504</v>
      </c>
      <c r="D100" s="38">
        <f>COUNTIF('PF144'!V10:V153,"ADC[0]_18")</f>
        <v>0</v>
      </c>
      <c r="E100" s="38">
        <f>COUNTIF('PF144'!V10:V153,"ADC[1]_18")</f>
        <v>0</v>
      </c>
      <c r="F100" s="38">
        <f>COUNTIF('PF144'!V10:V153,"ADC[2]_18")</f>
        <v>0</v>
      </c>
    </row>
    <row r="101" spans="2:6" x14ac:dyDescent="0.55000000000000004">
      <c r="B101" s="124"/>
      <c r="C101" s="38" t="s">
        <v>505</v>
      </c>
      <c r="D101" s="38">
        <f>COUNTIF('PF144'!V10:V153,"ADC[0]_19")</f>
        <v>0</v>
      </c>
      <c r="E101" s="38">
        <f>COUNTIF('PF144'!V10:V153,"ADC[1]_19")</f>
        <v>0</v>
      </c>
      <c r="F101" s="38">
        <f>COUNTIF('PF144'!V10:V153,"ADC[2]_19")</f>
        <v>0</v>
      </c>
    </row>
    <row r="102" spans="2:6" x14ac:dyDescent="0.55000000000000004">
      <c r="B102" s="124"/>
      <c r="C102" s="38" t="s">
        <v>506</v>
      </c>
      <c r="D102" s="38">
        <f>COUNTIF('PF144'!V10:V153,"ADC[0]_20")</f>
        <v>0</v>
      </c>
      <c r="E102" s="38">
        <f>COUNTIF('PF144'!V10:V153,"ADC[1]_20")</f>
        <v>0</v>
      </c>
      <c r="F102" s="38">
        <f>COUNTIF('PF144'!V10:V153,"ADC[2]_20")</f>
        <v>0</v>
      </c>
    </row>
    <row r="103" spans="2:6" x14ac:dyDescent="0.55000000000000004">
      <c r="B103" s="124"/>
      <c r="C103" s="38" t="s">
        <v>507</v>
      </c>
      <c r="D103" s="38">
        <f>COUNTIF('PF144'!V10:V153,"ADC[0]_21")</f>
        <v>0</v>
      </c>
      <c r="E103" s="38">
        <f>COUNTIF('PF144'!V10:V153,"ADC[1]_21")</f>
        <v>0</v>
      </c>
      <c r="F103" s="38">
        <f>COUNTIF('PF144'!V10:V153,"ADC[2]_21")</f>
        <v>0</v>
      </c>
    </row>
    <row r="104" spans="2:6" x14ac:dyDescent="0.55000000000000004">
      <c r="B104" s="124"/>
      <c r="C104" s="38" t="s">
        <v>508</v>
      </c>
      <c r="D104" s="38">
        <f>COUNTIF('PF144'!V10:V153,"ADC[0]_22")</f>
        <v>0</v>
      </c>
      <c r="E104" s="38">
        <f>COUNTIF('PF144'!V10:V153,"ADC[1]_22")</f>
        <v>0</v>
      </c>
      <c r="F104" s="38">
        <f>COUNTIF('PF144'!V10:V153,"ADC[2]_22")</f>
        <v>0</v>
      </c>
    </row>
    <row r="105" spans="2:6" x14ac:dyDescent="0.55000000000000004">
      <c r="B105" s="124"/>
      <c r="C105" s="38" t="s">
        <v>509</v>
      </c>
      <c r="D105" s="38">
        <f>COUNTIF('PF144'!V10:V153,"ADC[0]_23")</f>
        <v>0</v>
      </c>
      <c r="E105" s="38">
        <f>COUNTIF('PF144'!V10:V153,"ADC[1]_23")</f>
        <v>0</v>
      </c>
      <c r="F105" s="38">
        <f>COUNTIF('PF144'!V10:V153,"ADC[2]_23")</f>
        <v>0</v>
      </c>
    </row>
    <row r="106" spans="2:6" x14ac:dyDescent="0.55000000000000004">
      <c r="B106" s="124"/>
      <c r="C106" s="38" t="s">
        <v>510</v>
      </c>
      <c r="D106" s="38">
        <f>COUNTIF('PF144'!V10:V153,"ADC[0]_24")</f>
        <v>0</v>
      </c>
      <c r="E106" s="38">
        <f>COUNTIF('PF144'!V10:V153,"ADC[1]_24")</f>
        <v>0</v>
      </c>
      <c r="F106" s="38">
        <f>COUNTIF('PF144'!V10:V153,"ADC[2]_24")</f>
        <v>0</v>
      </c>
    </row>
    <row r="107" spans="2:6" x14ac:dyDescent="0.55000000000000004">
      <c r="B107" s="124"/>
      <c r="C107" s="38" t="s">
        <v>511</v>
      </c>
      <c r="D107" s="38">
        <f>COUNTIF('PF144'!V10:V153,"ADC[0]_25")</f>
        <v>0</v>
      </c>
      <c r="E107" s="38">
        <f>COUNTIF('PF144'!V10:V153,"ADC[1]_25")</f>
        <v>0</v>
      </c>
      <c r="F107" s="38">
        <f>COUNTIF('PF144'!V10:V153,"ADC[2]_25")</f>
        <v>0</v>
      </c>
    </row>
    <row r="108" spans="2:6" x14ac:dyDescent="0.55000000000000004">
      <c r="B108" s="124"/>
      <c r="C108" s="38" t="s">
        <v>512</v>
      </c>
      <c r="D108" s="38">
        <f>COUNTIF('PF144'!V10:V153,"ADC[0]_26")</f>
        <v>0</v>
      </c>
      <c r="E108" s="38">
        <f>COUNTIF('PF144'!V10:V153,"ADC[1]_26")</f>
        <v>0</v>
      </c>
      <c r="F108" s="38">
        <f>COUNTIF('PF144'!V10:V153,"ADC[2]_26")</f>
        <v>0</v>
      </c>
    </row>
    <row r="109" spans="2:6" x14ac:dyDescent="0.55000000000000004">
      <c r="B109" s="124"/>
      <c r="C109" s="38" t="s">
        <v>513</v>
      </c>
      <c r="D109" s="38">
        <f>COUNTIF('PF144'!V10:V153,"ADC[0]_27")</f>
        <v>0</v>
      </c>
      <c r="E109" s="38">
        <f>COUNTIF('PF144'!V10:V153,"ADC[1]_27")</f>
        <v>0</v>
      </c>
      <c r="F109" s="38">
        <f>COUNTIF('PF144'!V10:V153,"ADC[2]_27")</f>
        <v>0</v>
      </c>
    </row>
    <row r="110" spans="2:6" x14ac:dyDescent="0.55000000000000004">
      <c r="B110" s="124"/>
      <c r="C110" s="38" t="s">
        <v>514</v>
      </c>
      <c r="D110" s="38">
        <f>COUNTIF('PF144'!V10:V153,"ADC[0]_28")</f>
        <v>0</v>
      </c>
      <c r="E110" s="38">
        <f>COUNTIF('PF144'!V10:V153,"ADC[1]_28")</f>
        <v>0</v>
      </c>
      <c r="F110" s="38">
        <f>COUNTIF('PF144'!V10:V153,"ADC[2]_28")</f>
        <v>0</v>
      </c>
    </row>
    <row r="111" spans="2:6" x14ac:dyDescent="0.55000000000000004">
      <c r="B111" s="124"/>
      <c r="C111" s="38" t="s">
        <v>515</v>
      </c>
      <c r="D111" s="38">
        <f>COUNTIF('PF144'!V10:V153,"ADC[0]_29")</f>
        <v>0</v>
      </c>
      <c r="E111" s="38">
        <f>COUNTIF('PF144'!V10:V153,"ADC[1]_29")</f>
        <v>0</v>
      </c>
      <c r="F111" s="38">
        <f>COUNTIF('PF144'!V10:V153,"ADC[2]_29")</f>
        <v>0</v>
      </c>
    </row>
    <row r="112" spans="2:6" x14ac:dyDescent="0.55000000000000004">
      <c r="B112" s="124"/>
      <c r="C112" s="38" t="s">
        <v>516</v>
      </c>
      <c r="D112" s="38">
        <f>COUNTIF('PF144'!V10:V153,"ADC[0]_30")</f>
        <v>0</v>
      </c>
      <c r="E112" s="38">
        <f>COUNTIF('PF144'!V10:V153,"ADC[1]_30")</f>
        <v>0</v>
      </c>
      <c r="F112" s="38">
        <f>COUNTIF('PF144'!V10:V153,"ADC[2]_30")</f>
        <v>0</v>
      </c>
    </row>
    <row r="113" spans="2:7" x14ac:dyDescent="0.55000000000000004">
      <c r="B113" s="130"/>
      <c r="C113" s="38" t="s">
        <v>517</v>
      </c>
      <c r="D113" s="38">
        <f>COUNTIF('PF144'!V10:V153,"ADC[0]_31")</f>
        <v>0</v>
      </c>
      <c r="E113" s="38">
        <f>COUNTIF('PF144'!V10:V153,"ADC[1]_31")</f>
        <v>0</v>
      </c>
      <c r="F113" s="38">
        <f>COUNTIF('PF144'!V10:V153,"ADC[2]_31")</f>
        <v>0</v>
      </c>
    </row>
    <row r="114" spans="2:7" ht="20" x14ac:dyDescent="0.55000000000000004">
      <c r="B114" s="62" t="s">
        <v>518</v>
      </c>
      <c r="C114" s="63" t="s">
        <v>419</v>
      </c>
      <c r="D114" s="38">
        <f>COUNTIF('PF144'!V10:V153,"ADC[0]_M")</f>
        <v>0</v>
      </c>
      <c r="E114" s="38">
        <f>COUNTIF('PF144'!V10:V153,"ADC[1]_M")</f>
        <v>0</v>
      </c>
      <c r="F114" s="38">
        <f>COUNTIF('PF144'!V10:V153,"ADC[2]_M")</f>
        <v>0</v>
      </c>
    </row>
    <row r="117" spans="2:7" x14ac:dyDescent="0.55000000000000004">
      <c r="B117" s="128" t="s">
        <v>1201</v>
      </c>
      <c r="C117" s="129"/>
      <c r="D117" s="37" t="s">
        <v>1203</v>
      </c>
      <c r="E117" s="37" t="s">
        <v>1204</v>
      </c>
      <c r="F117" s="37" t="s">
        <v>1205</v>
      </c>
      <c r="G117" s="37" t="s">
        <v>1207</v>
      </c>
    </row>
    <row r="118" spans="2:7" x14ac:dyDescent="0.55000000000000004">
      <c r="B118" s="123" t="s">
        <v>398</v>
      </c>
      <c r="C118" s="38" t="s">
        <v>386</v>
      </c>
      <c r="D118" s="38">
        <f>COUNTIF('PF144'!V10:V153,"CXPI0_RX")</f>
        <v>0</v>
      </c>
      <c r="E118" s="38">
        <f>COUNTIF('PF144'!V10:V153,"CXPI1_RX")</f>
        <v>0</v>
      </c>
      <c r="F118" s="38">
        <f>COUNTIF('PF144'!V10:V153,"CXPI2_RX")</f>
        <v>0</v>
      </c>
      <c r="G118" s="38">
        <f>COUNTIF('PF144'!V10:V153,"CXPI3_RX")</f>
        <v>0</v>
      </c>
    </row>
    <row r="119" spans="2:7" x14ac:dyDescent="0.55000000000000004">
      <c r="B119" s="124"/>
      <c r="C119" s="38" t="s">
        <v>385</v>
      </c>
      <c r="D119" s="38">
        <f>COUNTIF('PF144'!V10:V153,"CXPI0_TX")</f>
        <v>0</v>
      </c>
      <c r="E119" s="38">
        <f>COUNTIF('PF144'!V10:V153,"CXPI1_TX")</f>
        <v>0</v>
      </c>
      <c r="F119" s="38">
        <f>COUNTIF('PF144'!V10:V153,"CXPI2_TX")</f>
        <v>0</v>
      </c>
      <c r="G119" s="38">
        <f>COUNTIF('PF144'!V10:V153,"CXPI3_TX")</f>
        <v>0</v>
      </c>
    </row>
    <row r="120" spans="2:7" x14ac:dyDescent="0.55000000000000004">
      <c r="B120" s="125"/>
      <c r="C120" s="38" t="s">
        <v>1202</v>
      </c>
      <c r="D120" s="38">
        <f>COUNTIF('PF144'!V10:V153,"CXPI0_EN")</f>
        <v>0</v>
      </c>
      <c r="E120" s="38">
        <f>COUNTIF('PF144'!V10:V153,"CXPI1_EN")</f>
        <v>0</v>
      </c>
      <c r="F120" s="38">
        <f>COUNTIF('PF144'!V10:V153,"CXPI2_EN")</f>
        <v>0</v>
      </c>
      <c r="G120" s="38">
        <f>COUNTIF('PF144'!V10:V153,"CXPI3_EN")</f>
        <v>0</v>
      </c>
    </row>
    <row r="131" spans="2:21" ht="14.5" x14ac:dyDescent="0.35">
      <c r="B131" s="118" t="s">
        <v>1216</v>
      </c>
      <c r="C131" s="118"/>
      <c r="D131" s="118"/>
      <c r="E131" s="118"/>
      <c r="F131" s="118"/>
      <c r="G131" s="118"/>
      <c r="H131" s="118"/>
      <c r="I131" s="118"/>
      <c r="J131" s="118"/>
      <c r="K131" s="118"/>
      <c r="L131" s="118"/>
      <c r="M131" s="118"/>
      <c r="N131" s="118"/>
      <c r="O131" s="118"/>
      <c r="P131" s="118"/>
      <c r="Q131" s="118"/>
      <c r="R131" s="118"/>
      <c r="S131" s="118"/>
      <c r="T131" s="118"/>
      <c r="U131" s="118"/>
    </row>
    <row r="132" spans="2:21" ht="172" customHeight="1" x14ac:dyDescent="0.55000000000000004">
      <c r="B132" s="119" t="s">
        <v>1217</v>
      </c>
      <c r="C132" s="119"/>
      <c r="D132" s="119"/>
      <c r="E132" s="119"/>
      <c r="F132" s="119"/>
      <c r="G132" s="119"/>
      <c r="H132" s="119"/>
      <c r="I132" s="119"/>
      <c r="J132" s="119"/>
      <c r="K132" s="119"/>
      <c r="L132" s="119"/>
      <c r="M132" s="119"/>
      <c r="N132" s="119"/>
      <c r="O132" s="119"/>
      <c r="P132" s="119"/>
      <c r="Q132" s="119"/>
      <c r="R132" s="119"/>
      <c r="S132" s="119"/>
      <c r="T132" s="119"/>
      <c r="U132" s="119"/>
    </row>
  </sheetData>
  <sheetProtection algorithmName="SHA-512" hashValue="vVvNQQvR5eh7498zLP/0gMYC6JNzqwR8FFLP4L40EkOTdRC7BQFaxYn9wgD7aj5waQ1TPV9amj9MO2HJDSv/YQ==" saltValue="N8orrnnNCmJARz3XNK15NA==" spinCount="100000" sheet="1" objects="1" scenarios="1" formatCells="0" formatColumns="0" formatRows="0" insertColumns="0" insertRows="0" insertHyperlinks="0" deleteColumns="0" deleteRows="0" selectLockedCells="1" sort="0" autoFilter="0" pivotTables="0" selectUnlockedCells="1"/>
  <mergeCells count="25">
    <mergeCell ref="B131:U131"/>
    <mergeCell ref="B132:U132"/>
    <mergeCell ref="B82:B113"/>
    <mergeCell ref="B65:B66"/>
    <mergeCell ref="B68:C68"/>
    <mergeCell ref="B69:B70"/>
    <mergeCell ref="B71:B72"/>
    <mergeCell ref="B74:C74"/>
    <mergeCell ref="B75:B76"/>
    <mergeCell ref="B117:C117"/>
    <mergeCell ref="B118:B120"/>
    <mergeCell ref="B77:B78"/>
    <mergeCell ref="B81:C81"/>
    <mergeCell ref="B63:B64"/>
    <mergeCell ref="B7:C7"/>
    <mergeCell ref="B8:B9"/>
    <mergeCell ref="B11:C11"/>
    <mergeCell ref="B12:B13"/>
    <mergeCell ref="B16:C16"/>
    <mergeCell ref="B17:B19"/>
    <mergeCell ref="B22:C22"/>
    <mergeCell ref="B62:C62"/>
    <mergeCell ref="B23:B36"/>
    <mergeCell ref="B37:B44"/>
    <mergeCell ref="B45:B50"/>
  </mergeCells>
  <phoneticPr fontId="3"/>
  <conditionalFormatting sqref="D17:K20">
    <cfRule type="cellIs" dxfId="292" priority="145" operator="greaterThanOrEqual">
      <formula>2</formula>
    </cfRule>
    <cfRule type="cellIs" dxfId="291" priority="159" operator="notEqual">
      <formula>0</formula>
    </cfRule>
  </conditionalFormatting>
  <conditionalFormatting sqref="D8:F9">
    <cfRule type="cellIs" dxfId="290" priority="147" operator="greaterThanOrEqual">
      <formula>2</formula>
    </cfRule>
    <cfRule type="cellIs" dxfId="289" priority="152" operator="notEqual">
      <formula>0</formula>
    </cfRule>
  </conditionalFormatting>
  <conditionalFormatting sqref="D12:F14">
    <cfRule type="cellIs" dxfId="288" priority="146" operator="greaterThanOrEqual">
      <formula>2</formula>
    </cfRule>
    <cfRule type="cellIs" dxfId="287" priority="151" operator="notEqual">
      <formula>0</formula>
    </cfRule>
  </conditionalFormatting>
  <conditionalFormatting sqref="D75:K78">
    <cfRule type="cellIs" dxfId="286" priority="142" operator="greaterThanOrEqual">
      <formula>2</formula>
    </cfRule>
    <cfRule type="cellIs" dxfId="285" priority="143" operator="notEqual">
      <formula>0</formula>
    </cfRule>
  </conditionalFormatting>
  <conditionalFormatting sqref="D69:O72">
    <cfRule type="cellIs" dxfId="284" priority="140" operator="greaterThanOrEqual">
      <formula>2</formula>
    </cfRule>
    <cfRule type="cellIs" dxfId="283" priority="141" operator="notEqual">
      <formula>0</formula>
    </cfRule>
  </conditionalFormatting>
  <conditionalFormatting sqref="D63:BN66">
    <cfRule type="cellIs" dxfId="282" priority="138" operator="greaterThanOrEqual">
      <formula>2</formula>
    </cfRule>
    <cfRule type="cellIs" dxfId="281" priority="139" operator="notEqual">
      <formula>0</formula>
    </cfRule>
  </conditionalFormatting>
  <conditionalFormatting sqref="D82:F114">
    <cfRule type="cellIs" dxfId="280" priority="136" operator="greaterThanOrEqual">
      <formula>2</formula>
    </cfRule>
    <cfRule type="cellIs" dxfId="279" priority="137" operator="notEqual">
      <formula>0</formula>
    </cfRule>
  </conditionalFormatting>
  <conditionalFormatting sqref="D23:K23">
    <cfRule type="cellIs" dxfId="278" priority="51" operator="greaterThanOrEqual">
      <formula>2</formula>
    </cfRule>
    <cfRule type="cellIs" dxfId="277" priority="52" operator="notEqual">
      <formula>0</formula>
    </cfRule>
  </conditionalFormatting>
  <conditionalFormatting sqref="D37:K37">
    <cfRule type="cellIs" dxfId="276" priority="49" operator="greaterThanOrEqual">
      <formula>2</formula>
    </cfRule>
    <cfRule type="cellIs" dxfId="275" priority="50" operator="notEqual">
      <formula>0</formula>
    </cfRule>
  </conditionalFormatting>
  <conditionalFormatting sqref="D38:K38">
    <cfRule type="cellIs" dxfId="274" priority="47" operator="greaterThanOrEqual">
      <formula>2</formula>
    </cfRule>
    <cfRule type="cellIs" dxfId="273" priority="48" operator="notEqual">
      <formula>0</formula>
    </cfRule>
  </conditionalFormatting>
  <conditionalFormatting sqref="D44:K44">
    <cfRule type="cellIs" dxfId="272" priority="39" operator="greaterThanOrEqual">
      <formula>2</formula>
    </cfRule>
    <cfRule type="cellIs" dxfId="271" priority="40" operator="notEqual">
      <formula>0</formula>
    </cfRule>
  </conditionalFormatting>
  <conditionalFormatting sqref="D42:K42">
    <cfRule type="cellIs" dxfId="270" priority="41" operator="greaterThanOrEqual">
      <formula>2</formula>
    </cfRule>
    <cfRule type="cellIs" dxfId="269" priority="42" operator="notEqual">
      <formula>0</formula>
    </cfRule>
  </conditionalFormatting>
  <conditionalFormatting sqref="D39:K39 D41:K41 D43:K43">
    <cfRule type="cellIs" dxfId="268" priority="45" operator="greaterThanOrEqual">
      <formula>2</formula>
    </cfRule>
    <cfRule type="cellIs" dxfId="267" priority="46" operator="notEqual">
      <formula>0</formula>
    </cfRule>
  </conditionalFormatting>
  <conditionalFormatting sqref="D40:K40">
    <cfRule type="cellIs" dxfId="266" priority="43" operator="greaterThanOrEqual">
      <formula>2</formula>
    </cfRule>
    <cfRule type="cellIs" dxfId="265" priority="44" operator="notEqual">
      <formula>0</formula>
    </cfRule>
  </conditionalFormatting>
  <conditionalFormatting sqref="D45:K50">
    <cfRule type="cellIs" dxfId="264" priority="21" operator="greaterThanOrEqual">
      <formula>2</formula>
    </cfRule>
    <cfRule type="cellIs" dxfId="263" priority="22" operator="notEqual">
      <formula>0</formula>
    </cfRule>
  </conditionalFormatting>
  <conditionalFormatting sqref="D24:K24">
    <cfRule type="cellIs" dxfId="262" priority="35" operator="greaterThanOrEqual">
      <formula>2</formula>
    </cfRule>
    <cfRule type="cellIs" dxfId="261" priority="36" operator="notEqual">
      <formula>0</formula>
    </cfRule>
  </conditionalFormatting>
  <conditionalFormatting sqref="D26:K26">
    <cfRule type="cellIs" dxfId="260" priority="33" operator="greaterThanOrEqual">
      <formula>2</formula>
    </cfRule>
    <cfRule type="cellIs" dxfId="259" priority="34" operator="notEqual">
      <formula>0</formula>
    </cfRule>
  </conditionalFormatting>
  <conditionalFormatting sqref="D28:K28">
    <cfRule type="cellIs" dxfId="258" priority="31" operator="greaterThanOrEqual">
      <formula>2</formula>
    </cfRule>
    <cfRule type="cellIs" dxfId="257" priority="32" operator="notEqual">
      <formula>0</formula>
    </cfRule>
  </conditionalFormatting>
  <conditionalFormatting sqref="D30:K30">
    <cfRule type="cellIs" dxfId="256" priority="29" operator="greaterThanOrEqual">
      <formula>2</formula>
    </cfRule>
    <cfRule type="cellIs" dxfId="255" priority="30" operator="notEqual">
      <formula>0</formula>
    </cfRule>
  </conditionalFormatting>
  <conditionalFormatting sqref="D32:K32">
    <cfRule type="cellIs" dxfId="254" priority="27" operator="greaterThanOrEqual">
      <formula>2</formula>
    </cfRule>
    <cfRule type="cellIs" dxfId="253" priority="28" operator="notEqual">
      <formula>0</formula>
    </cfRule>
  </conditionalFormatting>
  <conditionalFormatting sqref="D34:K34">
    <cfRule type="cellIs" dxfId="252" priority="25" operator="greaterThanOrEqual">
      <formula>2</formula>
    </cfRule>
    <cfRule type="cellIs" dxfId="251" priority="26" operator="notEqual">
      <formula>0</formula>
    </cfRule>
  </conditionalFormatting>
  <conditionalFormatting sqref="D36:K36">
    <cfRule type="cellIs" dxfId="250" priority="23" operator="greaterThanOrEqual">
      <formula>2</formula>
    </cfRule>
    <cfRule type="cellIs" dxfId="249" priority="24" operator="notEqual">
      <formula>0</formula>
    </cfRule>
  </conditionalFormatting>
  <conditionalFormatting sqref="D25:K25 D27:K27 D29:K29 D31:K31 D33:K33 D35:K35">
    <cfRule type="cellIs" dxfId="248" priority="37" operator="greaterThanOrEqual">
      <formula>2</formula>
    </cfRule>
    <cfRule type="cellIs" dxfId="247" priority="38" operator="notEqual">
      <formula>0</formula>
    </cfRule>
  </conditionalFormatting>
  <conditionalFormatting sqref="D118:F119">
    <cfRule type="cellIs" dxfId="246" priority="19" operator="greaterThanOrEqual">
      <formula>2</formula>
    </cfRule>
    <cfRule type="cellIs" dxfId="245" priority="20" operator="notEqual">
      <formula>0</formula>
    </cfRule>
  </conditionalFormatting>
  <conditionalFormatting sqref="D120:F120">
    <cfRule type="cellIs" dxfId="244" priority="17" operator="greaterThanOrEqual">
      <formula>2</formula>
    </cfRule>
    <cfRule type="cellIs" dxfId="243" priority="18" operator="notEqual">
      <formula>0</formula>
    </cfRule>
  </conditionalFormatting>
  <conditionalFormatting sqref="G118:G119">
    <cfRule type="cellIs" dxfId="242" priority="15" operator="greaterThanOrEqual">
      <formula>2</formula>
    </cfRule>
    <cfRule type="cellIs" dxfId="241" priority="16" operator="notEqual">
      <formula>0</formula>
    </cfRule>
  </conditionalFormatting>
  <conditionalFormatting sqref="G120">
    <cfRule type="cellIs" dxfId="240" priority="13" operator="greaterThanOrEqual">
      <formula>2</formula>
    </cfRule>
    <cfRule type="cellIs" dxfId="239" priority="14" operator="notEqual">
      <formula>0</formula>
    </cfRule>
  </conditionalFormatting>
  <conditionalFormatting sqref="G8:G9">
    <cfRule type="cellIs" dxfId="238" priority="11" operator="greaterThanOrEqual">
      <formula>2</formula>
    </cfRule>
    <cfRule type="cellIs" dxfId="237" priority="12" operator="notEqual">
      <formula>0</formula>
    </cfRule>
  </conditionalFormatting>
  <conditionalFormatting sqref="G12:G13">
    <cfRule type="cellIs" dxfId="236" priority="9" operator="greaterThanOrEqual">
      <formula>2</formula>
    </cfRule>
    <cfRule type="cellIs" dxfId="235" priority="10" operator="notEqual">
      <formula>0</formula>
    </cfRule>
  </conditionalFormatting>
  <conditionalFormatting sqref="L17:L19">
    <cfRule type="cellIs" dxfId="234" priority="7" operator="greaterThanOrEqual">
      <formula>2</formula>
    </cfRule>
    <cfRule type="cellIs" dxfId="233" priority="8" operator="notEqual">
      <formula>0</formula>
    </cfRule>
  </conditionalFormatting>
  <conditionalFormatting sqref="M17:M19">
    <cfRule type="cellIs" dxfId="232" priority="5" operator="greaterThanOrEqual">
      <formula>2</formula>
    </cfRule>
    <cfRule type="cellIs" dxfId="231" priority="6" operator="notEqual">
      <formula>0</formula>
    </cfRule>
  </conditionalFormatting>
  <conditionalFormatting sqref="N17:N19">
    <cfRule type="cellIs" dxfId="230" priority="3" operator="greaterThanOrEqual">
      <formula>2</formula>
    </cfRule>
    <cfRule type="cellIs" dxfId="229" priority="4" operator="notEqual">
      <formula>0</formula>
    </cfRule>
  </conditionalFormatting>
  <conditionalFormatting sqref="O17:O19">
    <cfRule type="cellIs" dxfId="228" priority="1" operator="greaterThanOrEqual">
      <formula>2</formula>
    </cfRule>
    <cfRule type="cellIs" dxfId="227" priority="2" operator="notEqual">
      <formula>0</formula>
    </cfRule>
  </conditionalFormatting>
  <pageMargins left="0.7" right="0.7" top="0.75" bottom="0.75" header="0.3" footer="0.3"/>
  <pageSetup paperSize="9" orientation="portrait" r:id="rId1"/>
  <ignoredErrors>
    <ignoredError sqref="D10:X10 D67:X68 D73:X73 P71:X71 P72:X72 D79:X122 L77:X77 L78:X78 P70:X70 P69:X69 G76 L75:X75 D69:O72 D77:G77 D63:BN66 D75:E75 G75 D76:E76 F75:F76 L74:X74 L76:X76 D78:F78 G78 H75:K78 D8:F9 H8:X9 D14:X15 D11:F12 H11:X13 G8:G9 G12:G13 D13:F13 D20:X62 D16:K16 P16:X16 D17:K19 P17:X19 L17:O19" unlocked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F1938-1F15-4002-A2D6-1DE2C1D30707}">
  <dimension ref="A1:AU60"/>
  <sheetViews>
    <sheetView zoomScale="59" zoomScaleNormal="59" workbookViewId="0">
      <selection activeCell="AV5" sqref="AV5"/>
    </sheetView>
  </sheetViews>
  <sheetFormatPr defaultRowHeight="10" x14ac:dyDescent="0.55000000000000004"/>
  <cols>
    <col min="1" max="2" width="8.6640625" style="35"/>
    <col min="3" max="3" width="18.58203125" style="35" customWidth="1"/>
    <col min="4" max="5" width="3.33203125" style="35" customWidth="1"/>
    <col min="6" max="41" width="2.33203125" style="35" customWidth="1"/>
    <col min="42" max="43" width="3.33203125" style="35" customWidth="1"/>
    <col min="44" max="44" width="18.58203125" style="35" customWidth="1"/>
    <col min="45" max="47" width="8.58203125" style="35" customWidth="1"/>
    <col min="48" max="269" width="8.6640625" style="35"/>
    <col min="270" max="270" width="14.33203125" style="35" customWidth="1"/>
    <col min="271" max="272" width="3.33203125" style="35" customWidth="1"/>
    <col min="273" max="297" width="2.4140625" style="35" customWidth="1"/>
    <col min="298" max="299" width="3.33203125" style="35" customWidth="1"/>
    <col min="300" max="300" width="14.33203125" style="35" customWidth="1"/>
    <col min="301" max="525" width="8.6640625" style="35"/>
    <col min="526" max="526" width="14.33203125" style="35" customWidth="1"/>
    <col min="527" max="528" width="3.33203125" style="35" customWidth="1"/>
    <col min="529" max="553" width="2.4140625" style="35" customWidth="1"/>
    <col min="554" max="555" width="3.33203125" style="35" customWidth="1"/>
    <col min="556" max="556" width="14.33203125" style="35" customWidth="1"/>
    <col min="557" max="781" width="8.6640625" style="35"/>
    <col min="782" max="782" width="14.33203125" style="35" customWidth="1"/>
    <col min="783" max="784" width="3.33203125" style="35" customWidth="1"/>
    <col min="785" max="809" width="2.4140625" style="35" customWidth="1"/>
    <col min="810" max="811" width="3.33203125" style="35" customWidth="1"/>
    <col min="812" max="812" width="14.33203125" style="35" customWidth="1"/>
    <col min="813" max="1037" width="8.6640625" style="35"/>
    <col min="1038" max="1038" width="14.33203125" style="35" customWidth="1"/>
    <col min="1039" max="1040" width="3.33203125" style="35" customWidth="1"/>
    <col min="1041" max="1065" width="2.4140625" style="35" customWidth="1"/>
    <col min="1066" max="1067" width="3.33203125" style="35" customWidth="1"/>
    <col min="1068" max="1068" width="14.33203125" style="35" customWidth="1"/>
    <col min="1069" max="1293" width="8.6640625" style="35"/>
    <col min="1294" max="1294" width="14.33203125" style="35" customWidth="1"/>
    <col min="1295" max="1296" width="3.33203125" style="35" customWidth="1"/>
    <col min="1297" max="1321" width="2.4140625" style="35" customWidth="1"/>
    <col min="1322" max="1323" width="3.33203125" style="35" customWidth="1"/>
    <col min="1324" max="1324" width="14.33203125" style="35" customWidth="1"/>
    <col min="1325" max="1549" width="8.6640625" style="35"/>
    <col min="1550" max="1550" width="14.33203125" style="35" customWidth="1"/>
    <col min="1551" max="1552" width="3.33203125" style="35" customWidth="1"/>
    <col min="1553" max="1577" width="2.4140625" style="35" customWidth="1"/>
    <col min="1578" max="1579" width="3.33203125" style="35" customWidth="1"/>
    <col min="1580" max="1580" width="14.33203125" style="35" customWidth="1"/>
    <col min="1581" max="1805" width="8.6640625" style="35"/>
    <col min="1806" max="1806" width="14.33203125" style="35" customWidth="1"/>
    <col min="1807" max="1808" width="3.33203125" style="35" customWidth="1"/>
    <col min="1809" max="1833" width="2.4140625" style="35" customWidth="1"/>
    <col min="1834" max="1835" width="3.33203125" style="35" customWidth="1"/>
    <col min="1836" max="1836" width="14.33203125" style="35" customWidth="1"/>
    <col min="1837" max="2061" width="8.6640625" style="35"/>
    <col min="2062" max="2062" width="14.33203125" style="35" customWidth="1"/>
    <col min="2063" max="2064" width="3.33203125" style="35" customWidth="1"/>
    <col min="2065" max="2089" width="2.4140625" style="35" customWidth="1"/>
    <col min="2090" max="2091" width="3.33203125" style="35" customWidth="1"/>
    <col min="2092" max="2092" width="14.33203125" style="35" customWidth="1"/>
    <col min="2093" max="2317" width="8.6640625" style="35"/>
    <col min="2318" max="2318" width="14.33203125" style="35" customWidth="1"/>
    <col min="2319" max="2320" width="3.33203125" style="35" customWidth="1"/>
    <col min="2321" max="2345" width="2.4140625" style="35" customWidth="1"/>
    <col min="2346" max="2347" width="3.33203125" style="35" customWidth="1"/>
    <col min="2348" max="2348" width="14.33203125" style="35" customWidth="1"/>
    <col min="2349" max="2573" width="8.6640625" style="35"/>
    <col min="2574" max="2574" width="14.33203125" style="35" customWidth="1"/>
    <col min="2575" max="2576" width="3.33203125" style="35" customWidth="1"/>
    <col min="2577" max="2601" width="2.4140625" style="35" customWidth="1"/>
    <col min="2602" max="2603" width="3.33203125" style="35" customWidth="1"/>
    <col min="2604" max="2604" width="14.33203125" style="35" customWidth="1"/>
    <col min="2605" max="2829" width="8.6640625" style="35"/>
    <col min="2830" max="2830" width="14.33203125" style="35" customWidth="1"/>
    <col min="2831" max="2832" width="3.33203125" style="35" customWidth="1"/>
    <col min="2833" max="2857" width="2.4140625" style="35" customWidth="1"/>
    <col min="2858" max="2859" width="3.33203125" style="35" customWidth="1"/>
    <col min="2860" max="2860" width="14.33203125" style="35" customWidth="1"/>
    <col min="2861" max="3085" width="8.6640625" style="35"/>
    <col min="3086" max="3086" width="14.33203125" style="35" customWidth="1"/>
    <col min="3087" max="3088" width="3.33203125" style="35" customWidth="1"/>
    <col min="3089" max="3113" width="2.4140625" style="35" customWidth="1"/>
    <col min="3114" max="3115" width="3.33203125" style="35" customWidth="1"/>
    <col min="3116" max="3116" width="14.33203125" style="35" customWidth="1"/>
    <col min="3117" max="3341" width="8.6640625" style="35"/>
    <col min="3342" max="3342" width="14.33203125" style="35" customWidth="1"/>
    <col min="3343" max="3344" width="3.33203125" style="35" customWidth="1"/>
    <col min="3345" max="3369" width="2.4140625" style="35" customWidth="1"/>
    <col min="3370" max="3371" width="3.33203125" style="35" customWidth="1"/>
    <col min="3372" max="3372" width="14.33203125" style="35" customWidth="1"/>
    <col min="3373" max="3597" width="8.6640625" style="35"/>
    <col min="3598" max="3598" width="14.33203125" style="35" customWidth="1"/>
    <col min="3599" max="3600" width="3.33203125" style="35" customWidth="1"/>
    <col min="3601" max="3625" width="2.4140625" style="35" customWidth="1"/>
    <col min="3626" max="3627" width="3.33203125" style="35" customWidth="1"/>
    <col min="3628" max="3628" width="14.33203125" style="35" customWidth="1"/>
    <col min="3629" max="3853" width="8.6640625" style="35"/>
    <col min="3854" max="3854" width="14.33203125" style="35" customWidth="1"/>
    <col min="3855" max="3856" width="3.33203125" style="35" customWidth="1"/>
    <col min="3857" max="3881" width="2.4140625" style="35" customWidth="1"/>
    <col min="3882" max="3883" width="3.33203125" style="35" customWidth="1"/>
    <col min="3884" max="3884" width="14.33203125" style="35" customWidth="1"/>
    <col min="3885" max="4109" width="8.6640625" style="35"/>
    <col min="4110" max="4110" width="14.33203125" style="35" customWidth="1"/>
    <col min="4111" max="4112" width="3.33203125" style="35" customWidth="1"/>
    <col min="4113" max="4137" width="2.4140625" style="35" customWidth="1"/>
    <col min="4138" max="4139" width="3.33203125" style="35" customWidth="1"/>
    <col min="4140" max="4140" width="14.33203125" style="35" customWidth="1"/>
    <col min="4141" max="4365" width="8.6640625" style="35"/>
    <col min="4366" max="4366" width="14.33203125" style="35" customWidth="1"/>
    <col min="4367" max="4368" width="3.33203125" style="35" customWidth="1"/>
    <col min="4369" max="4393" width="2.4140625" style="35" customWidth="1"/>
    <col min="4394" max="4395" width="3.33203125" style="35" customWidth="1"/>
    <col min="4396" max="4396" width="14.33203125" style="35" customWidth="1"/>
    <col min="4397" max="4621" width="8.6640625" style="35"/>
    <col min="4622" max="4622" width="14.33203125" style="35" customWidth="1"/>
    <col min="4623" max="4624" width="3.33203125" style="35" customWidth="1"/>
    <col min="4625" max="4649" width="2.4140625" style="35" customWidth="1"/>
    <col min="4650" max="4651" width="3.33203125" style="35" customWidth="1"/>
    <col min="4652" max="4652" width="14.33203125" style="35" customWidth="1"/>
    <col min="4653" max="4877" width="8.6640625" style="35"/>
    <col min="4878" max="4878" width="14.33203125" style="35" customWidth="1"/>
    <col min="4879" max="4880" width="3.33203125" style="35" customWidth="1"/>
    <col min="4881" max="4905" width="2.4140625" style="35" customWidth="1"/>
    <col min="4906" max="4907" width="3.33203125" style="35" customWidth="1"/>
    <col min="4908" max="4908" width="14.33203125" style="35" customWidth="1"/>
    <col min="4909" max="5133" width="8.6640625" style="35"/>
    <col min="5134" max="5134" width="14.33203125" style="35" customWidth="1"/>
    <col min="5135" max="5136" width="3.33203125" style="35" customWidth="1"/>
    <col min="5137" max="5161" width="2.4140625" style="35" customWidth="1"/>
    <col min="5162" max="5163" width="3.33203125" style="35" customWidth="1"/>
    <col min="5164" max="5164" width="14.33203125" style="35" customWidth="1"/>
    <col min="5165" max="5389" width="8.6640625" style="35"/>
    <col min="5390" max="5390" width="14.33203125" style="35" customWidth="1"/>
    <col min="5391" max="5392" width="3.33203125" style="35" customWidth="1"/>
    <col min="5393" max="5417" width="2.4140625" style="35" customWidth="1"/>
    <col min="5418" max="5419" width="3.33203125" style="35" customWidth="1"/>
    <col min="5420" max="5420" width="14.33203125" style="35" customWidth="1"/>
    <col min="5421" max="5645" width="8.6640625" style="35"/>
    <col min="5646" max="5646" width="14.33203125" style="35" customWidth="1"/>
    <col min="5647" max="5648" width="3.33203125" style="35" customWidth="1"/>
    <col min="5649" max="5673" width="2.4140625" style="35" customWidth="1"/>
    <col min="5674" max="5675" width="3.33203125" style="35" customWidth="1"/>
    <col min="5676" max="5676" width="14.33203125" style="35" customWidth="1"/>
    <col min="5677" max="5901" width="8.6640625" style="35"/>
    <col min="5902" max="5902" width="14.33203125" style="35" customWidth="1"/>
    <col min="5903" max="5904" width="3.33203125" style="35" customWidth="1"/>
    <col min="5905" max="5929" width="2.4140625" style="35" customWidth="1"/>
    <col min="5930" max="5931" width="3.33203125" style="35" customWidth="1"/>
    <col min="5932" max="5932" width="14.33203125" style="35" customWidth="1"/>
    <col min="5933" max="6157" width="8.6640625" style="35"/>
    <col min="6158" max="6158" width="14.33203125" style="35" customWidth="1"/>
    <col min="6159" max="6160" width="3.33203125" style="35" customWidth="1"/>
    <col min="6161" max="6185" width="2.4140625" style="35" customWidth="1"/>
    <col min="6186" max="6187" width="3.33203125" style="35" customWidth="1"/>
    <col min="6188" max="6188" width="14.33203125" style="35" customWidth="1"/>
    <col min="6189" max="6413" width="8.6640625" style="35"/>
    <col min="6414" max="6414" width="14.33203125" style="35" customWidth="1"/>
    <col min="6415" max="6416" width="3.33203125" style="35" customWidth="1"/>
    <col min="6417" max="6441" width="2.4140625" style="35" customWidth="1"/>
    <col min="6442" max="6443" width="3.33203125" style="35" customWidth="1"/>
    <col min="6444" max="6444" width="14.33203125" style="35" customWidth="1"/>
    <col min="6445" max="6669" width="8.6640625" style="35"/>
    <col min="6670" max="6670" width="14.33203125" style="35" customWidth="1"/>
    <col min="6671" max="6672" width="3.33203125" style="35" customWidth="1"/>
    <col min="6673" max="6697" width="2.4140625" style="35" customWidth="1"/>
    <col min="6698" max="6699" width="3.33203125" style="35" customWidth="1"/>
    <col min="6700" max="6700" width="14.33203125" style="35" customWidth="1"/>
    <col min="6701" max="6925" width="8.6640625" style="35"/>
    <col min="6926" max="6926" width="14.33203125" style="35" customWidth="1"/>
    <col min="6927" max="6928" width="3.33203125" style="35" customWidth="1"/>
    <col min="6929" max="6953" width="2.4140625" style="35" customWidth="1"/>
    <col min="6954" max="6955" width="3.33203125" style="35" customWidth="1"/>
    <col min="6956" max="6956" width="14.33203125" style="35" customWidth="1"/>
    <col min="6957" max="7181" width="8.6640625" style="35"/>
    <col min="7182" max="7182" width="14.33203125" style="35" customWidth="1"/>
    <col min="7183" max="7184" width="3.33203125" style="35" customWidth="1"/>
    <col min="7185" max="7209" width="2.4140625" style="35" customWidth="1"/>
    <col min="7210" max="7211" width="3.33203125" style="35" customWidth="1"/>
    <col min="7212" max="7212" width="14.33203125" style="35" customWidth="1"/>
    <col min="7213" max="7437" width="8.6640625" style="35"/>
    <col min="7438" max="7438" width="14.33203125" style="35" customWidth="1"/>
    <col min="7439" max="7440" width="3.33203125" style="35" customWidth="1"/>
    <col min="7441" max="7465" width="2.4140625" style="35" customWidth="1"/>
    <col min="7466" max="7467" width="3.33203125" style="35" customWidth="1"/>
    <col min="7468" max="7468" width="14.33203125" style="35" customWidth="1"/>
    <col min="7469" max="7693" width="8.6640625" style="35"/>
    <col min="7694" max="7694" width="14.33203125" style="35" customWidth="1"/>
    <col min="7695" max="7696" width="3.33203125" style="35" customWidth="1"/>
    <col min="7697" max="7721" width="2.4140625" style="35" customWidth="1"/>
    <col min="7722" max="7723" width="3.33203125" style="35" customWidth="1"/>
    <col min="7724" max="7724" width="14.33203125" style="35" customWidth="1"/>
    <col min="7725" max="7949" width="8.6640625" style="35"/>
    <col min="7950" max="7950" width="14.33203125" style="35" customWidth="1"/>
    <col min="7951" max="7952" width="3.33203125" style="35" customWidth="1"/>
    <col min="7953" max="7977" width="2.4140625" style="35" customWidth="1"/>
    <col min="7978" max="7979" width="3.33203125" style="35" customWidth="1"/>
    <col min="7980" max="7980" width="14.33203125" style="35" customWidth="1"/>
    <col min="7981" max="8205" width="8.6640625" style="35"/>
    <col min="8206" max="8206" width="14.33203125" style="35" customWidth="1"/>
    <col min="8207" max="8208" width="3.33203125" style="35" customWidth="1"/>
    <col min="8209" max="8233" width="2.4140625" style="35" customWidth="1"/>
    <col min="8234" max="8235" width="3.33203125" style="35" customWidth="1"/>
    <col min="8236" max="8236" width="14.33203125" style="35" customWidth="1"/>
    <col min="8237" max="8461" width="8.6640625" style="35"/>
    <col min="8462" max="8462" width="14.33203125" style="35" customWidth="1"/>
    <col min="8463" max="8464" width="3.33203125" style="35" customWidth="1"/>
    <col min="8465" max="8489" width="2.4140625" style="35" customWidth="1"/>
    <col min="8490" max="8491" width="3.33203125" style="35" customWidth="1"/>
    <col min="8492" max="8492" width="14.33203125" style="35" customWidth="1"/>
    <col min="8493" max="8717" width="8.6640625" style="35"/>
    <col min="8718" max="8718" width="14.33203125" style="35" customWidth="1"/>
    <col min="8719" max="8720" width="3.33203125" style="35" customWidth="1"/>
    <col min="8721" max="8745" width="2.4140625" style="35" customWidth="1"/>
    <col min="8746" max="8747" width="3.33203125" style="35" customWidth="1"/>
    <col min="8748" max="8748" width="14.33203125" style="35" customWidth="1"/>
    <col min="8749" max="8973" width="8.6640625" style="35"/>
    <col min="8974" max="8974" width="14.33203125" style="35" customWidth="1"/>
    <col min="8975" max="8976" width="3.33203125" style="35" customWidth="1"/>
    <col min="8977" max="9001" width="2.4140625" style="35" customWidth="1"/>
    <col min="9002" max="9003" width="3.33203125" style="35" customWidth="1"/>
    <col min="9004" max="9004" width="14.33203125" style="35" customWidth="1"/>
    <col min="9005" max="9229" width="8.6640625" style="35"/>
    <col min="9230" max="9230" width="14.33203125" style="35" customWidth="1"/>
    <col min="9231" max="9232" width="3.33203125" style="35" customWidth="1"/>
    <col min="9233" max="9257" width="2.4140625" style="35" customWidth="1"/>
    <col min="9258" max="9259" width="3.33203125" style="35" customWidth="1"/>
    <col min="9260" max="9260" width="14.33203125" style="35" customWidth="1"/>
    <col min="9261" max="9485" width="8.6640625" style="35"/>
    <col min="9486" max="9486" width="14.33203125" style="35" customWidth="1"/>
    <col min="9487" max="9488" width="3.33203125" style="35" customWidth="1"/>
    <col min="9489" max="9513" width="2.4140625" style="35" customWidth="1"/>
    <col min="9514" max="9515" width="3.33203125" style="35" customWidth="1"/>
    <col min="9516" max="9516" width="14.33203125" style="35" customWidth="1"/>
    <col min="9517" max="9741" width="8.6640625" style="35"/>
    <col min="9742" max="9742" width="14.33203125" style="35" customWidth="1"/>
    <col min="9743" max="9744" width="3.33203125" style="35" customWidth="1"/>
    <col min="9745" max="9769" width="2.4140625" style="35" customWidth="1"/>
    <col min="9770" max="9771" width="3.33203125" style="35" customWidth="1"/>
    <col min="9772" max="9772" width="14.33203125" style="35" customWidth="1"/>
    <col min="9773" max="9997" width="8.6640625" style="35"/>
    <col min="9998" max="9998" width="14.33203125" style="35" customWidth="1"/>
    <col min="9999" max="10000" width="3.33203125" style="35" customWidth="1"/>
    <col min="10001" max="10025" width="2.4140625" style="35" customWidth="1"/>
    <col min="10026" max="10027" width="3.33203125" style="35" customWidth="1"/>
    <col min="10028" max="10028" width="14.33203125" style="35" customWidth="1"/>
    <col min="10029" max="10253" width="8.6640625" style="35"/>
    <col min="10254" max="10254" width="14.33203125" style="35" customWidth="1"/>
    <col min="10255" max="10256" width="3.33203125" style="35" customWidth="1"/>
    <col min="10257" max="10281" width="2.4140625" style="35" customWidth="1"/>
    <col min="10282" max="10283" width="3.33203125" style="35" customWidth="1"/>
    <col min="10284" max="10284" width="14.33203125" style="35" customWidth="1"/>
    <col min="10285" max="10509" width="8.6640625" style="35"/>
    <col min="10510" max="10510" width="14.33203125" style="35" customWidth="1"/>
    <col min="10511" max="10512" width="3.33203125" style="35" customWidth="1"/>
    <col min="10513" max="10537" width="2.4140625" style="35" customWidth="1"/>
    <col min="10538" max="10539" width="3.33203125" style="35" customWidth="1"/>
    <col min="10540" max="10540" width="14.33203125" style="35" customWidth="1"/>
    <col min="10541" max="10765" width="8.6640625" style="35"/>
    <col min="10766" max="10766" width="14.33203125" style="35" customWidth="1"/>
    <col min="10767" max="10768" width="3.33203125" style="35" customWidth="1"/>
    <col min="10769" max="10793" width="2.4140625" style="35" customWidth="1"/>
    <col min="10794" max="10795" width="3.33203125" style="35" customWidth="1"/>
    <col min="10796" max="10796" width="14.33203125" style="35" customWidth="1"/>
    <col min="10797" max="11021" width="8.6640625" style="35"/>
    <col min="11022" max="11022" width="14.33203125" style="35" customWidth="1"/>
    <col min="11023" max="11024" width="3.33203125" style="35" customWidth="1"/>
    <col min="11025" max="11049" width="2.4140625" style="35" customWidth="1"/>
    <col min="11050" max="11051" width="3.33203125" style="35" customWidth="1"/>
    <col min="11052" max="11052" width="14.33203125" style="35" customWidth="1"/>
    <col min="11053" max="11277" width="8.6640625" style="35"/>
    <col min="11278" max="11278" width="14.33203125" style="35" customWidth="1"/>
    <col min="11279" max="11280" width="3.33203125" style="35" customWidth="1"/>
    <col min="11281" max="11305" width="2.4140625" style="35" customWidth="1"/>
    <col min="11306" max="11307" width="3.33203125" style="35" customWidth="1"/>
    <col min="11308" max="11308" width="14.33203125" style="35" customWidth="1"/>
    <col min="11309" max="11533" width="8.6640625" style="35"/>
    <col min="11534" max="11534" width="14.33203125" style="35" customWidth="1"/>
    <col min="11535" max="11536" width="3.33203125" style="35" customWidth="1"/>
    <col min="11537" max="11561" width="2.4140625" style="35" customWidth="1"/>
    <col min="11562" max="11563" width="3.33203125" style="35" customWidth="1"/>
    <col min="11564" max="11564" width="14.33203125" style="35" customWidth="1"/>
    <col min="11565" max="11789" width="8.6640625" style="35"/>
    <col min="11790" max="11790" width="14.33203125" style="35" customWidth="1"/>
    <col min="11791" max="11792" width="3.33203125" style="35" customWidth="1"/>
    <col min="11793" max="11817" width="2.4140625" style="35" customWidth="1"/>
    <col min="11818" max="11819" width="3.33203125" style="35" customWidth="1"/>
    <col min="11820" max="11820" width="14.33203125" style="35" customWidth="1"/>
    <col min="11821" max="12045" width="8.6640625" style="35"/>
    <col min="12046" max="12046" width="14.33203125" style="35" customWidth="1"/>
    <col min="12047" max="12048" width="3.33203125" style="35" customWidth="1"/>
    <col min="12049" max="12073" width="2.4140625" style="35" customWidth="1"/>
    <col min="12074" max="12075" width="3.33203125" style="35" customWidth="1"/>
    <col min="12076" max="12076" width="14.33203125" style="35" customWidth="1"/>
    <col min="12077" max="12301" width="8.6640625" style="35"/>
    <col min="12302" max="12302" width="14.33203125" style="35" customWidth="1"/>
    <col min="12303" max="12304" width="3.33203125" style="35" customWidth="1"/>
    <col min="12305" max="12329" width="2.4140625" style="35" customWidth="1"/>
    <col min="12330" max="12331" width="3.33203125" style="35" customWidth="1"/>
    <col min="12332" max="12332" width="14.33203125" style="35" customWidth="1"/>
    <col min="12333" max="12557" width="8.6640625" style="35"/>
    <col min="12558" max="12558" width="14.33203125" style="35" customWidth="1"/>
    <col min="12559" max="12560" width="3.33203125" style="35" customWidth="1"/>
    <col min="12561" max="12585" width="2.4140625" style="35" customWidth="1"/>
    <col min="12586" max="12587" width="3.33203125" style="35" customWidth="1"/>
    <col min="12588" max="12588" width="14.33203125" style="35" customWidth="1"/>
    <col min="12589" max="12813" width="8.6640625" style="35"/>
    <col min="12814" max="12814" width="14.33203125" style="35" customWidth="1"/>
    <col min="12815" max="12816" width="3.33203125" style="35" customWidth="1"/>
    <col min="12817" max="12841" width="2.4140625" style="35" customWidth="1"/>
    <col min="12842" max="12843" width="3.33203125" style="35" customWidth="1"/>
    <col min="12844" max="12844" width="14.33203125" style="35" customWidth="1"/>
    <col min="12845" max="13069" width="8.6640625" style="35"/>
    <col min="13070" max="13070" width="14.33203125" style="35" customWidth="1"/>
    <col min="13071" max="13072" width="3.33203125" style="35" customWidth="1"/>
    <col min="13073" max="13097" width="2.4140625" style="35" customWidth="1"/>
    <col min="13098" max="13099" width="3.33203125" style="35" customWidth="1"/>
    <col min="13100" max="13100" width="14.33203125" style="35" customWidth="1"/>
    <col min="13101" max="13325" width="8.6640625" style="35"/>
    <col min="13326" max="13326" width="14.33203125" style="35" customWidth="1"/>
    <col min="13327" max="13328" width="3.33203125" style="35" customWidth="1"/>
    <col min="13329" max="13353" width="2.4140625" style="35" customWidth="1"/>
    <col min="13354" max="13355" width="3.33203125" style="35" customWidth="1"/>
    <col min="13356" max="13356" width="14.33203125" style="35" customWidth="1"/>
    <col min="13357" max="13581" width="8.6640625" style="35"/>
    <col min="13582" max="13582" width="14.33203125" style="35" customWidth="1"/>
    <col min="13583" max="13584" width="3.33203125" style="35" customWidth="1"/>
    <col min="13585" max="13609" width="2.4140625" style="35" customWidth="1"/>
    <col min="13610" max="13611" width="3.33203125" style="35" customWidth="1"/>
    <col min="13612" max="13612" width="14.33203125" style="35" customWidth="1"/>
    <col min="13613" max="13837" width="8.6640625" style="35"/>
    <col min="13838" max="13838" width="14.33203125" style="35" customWidth="1"/>
    <col min="13839" max="13840" width="3.33203125" style="35" customWidth="1"/>
    <col min="13841" max="13865" width="2.4140625" style="35" customWidth="1"/>
    <col min="13866" max="13867" width="3.33203125" style="35" customWidth="1"/>
    <col min="13868" max="13868" width="14.33203125" style="35" customWidth="1"/>
    <col min="13869" max="14093" width="8.6640625" style="35"/>
    <col min="14094" max="14094" width="14.33203125" style="35" customWidth="1"/>
    <col min="14095" max="14096" width="3.33203125" style="35" customWidth="1"/>
    <col min="14097" max="14121" width="2.4140625" style="35" customWidth="1"/>
    <col min="14122" max="14123" width="3.33203125" style="35" customWidth="1"/>
    <col min="14124" max="14124" width="14.33203125" style="35" customWidth="1"/>
    <col min="14125" max="14349" width="8.6640625" style="35"/>
    <col min="14350" max="14350" width="14.33203125" style="35" customWidth="1"/>
    <col min="14351" max="14352" width="3.33203125" style="35" customWidth="1"/>
    <col min="14353" max="14377" width="2.4140625" style="35" customWidth="1"/>
    <col min="14378" max="14379" width="3.33203125" style="35" customWidth="1"/>
    <col min="14380" max="14380" width="14.33203125" style="35" customWidth="1"/>
    <col min="14381" max="14605" width="8.6640625" style="35"/>
    <col min="14606" max="14606" width="14.33203125" style="35" customWidth="1"/>
    <col min="14607" max="14608" width="3.33203125" style="35" customWidth="1"/>
    <col min="14609" max="14633" width="2.4140625" style="35" customWidth="1"/>
    <col min="14634" max="14635" width="3.33203125" style="35" customWidth="1"/>
    <col min="14636" max="14636" width="14.33203125" style="35" customWidth="1"/>
    <col min="14637" max="14861" width="8.6640625" style="35"/>
    <col min="14862" max="14862" width="14.33203125" style="35" customWidth="1"/>
    <col min="14863" max="14864" width="3.33203125" style="35" customWidth="1"/>
    <col min="14865" max="14889" width="2.4140625" style="35" customWidth="1"/>
    <col min="14890" max="14891" width="3.33203125" style="35" customWidth="1"/>
    <col min="14892" max="14892" width="14.33203125" style="35" customWidth="1"/>
    <col min="14893" max="15117" width="8.6640625" style="35"/>
    <col min="15118" max="15118" width="14.33203125" style="35" customWidth="1"/>
    <col min="15119" max="15120" width="3.33203125" style="35" customWidth="1"/>
    <col min="15121" max="15145" width="2.4140625" style="35" customWidth="1"/>
    <col min="15146" max="15147" width="3.33203125" style="35" customWidth="1"/>
    <col min="15148" max="15148" width="14.33203125" style="35" customWidth="1"/>
    <col min="15149" max="15373" width="8.6640625" style="35"/>
    <col min="15374" max="15374" width="14.33203125" style="35" customWidth="1"/>
    <col min="15375" max="15376" width="3.33203125" style="35" customWidth="1"/>
    <col min="15377" max="15401" width="2.4140625" style="35" customWidth="1"/>
    <col min="15402" max="15403" width="3.33203125" style="35" customWidth="1"/>
    <col min="15404" max="15404" width="14.33203125" style="35" customWidth="1"/>
    <col min="15405" max="15629" width="8.6640625" style="35"/>
    <col min="15630" max="15630" width="14.33203125" style="35" customWidth="1"/>
    <col min="15631" max="15632" width="3.33203125" style="35" customWidth="1"/>
    <col min="15633" max="15657" width="2.4140625" style="35" customWidth="1"/>
    <col min="15658" max="15659" width="3.33203125" style="35" customWidth="1"/>
    <col min="15660" max="15660" width="14.33203125" style="35" customWidth="1"/>
    <col min="15661" max="15885" width="8.6640625" style="35"/>
    <col min="15886" max="15886" width="14.33203125" style="35" customWidth="1"/>
    <col min="15887" max="15888" width="3.33203125" style="35" customWidth="1"/>
    <col min="15889" max="15913" width="2.4140625" style="35" customWidth="1"/>
    <col min="15914" max="15915" width="3.33203125" style="35" customWidth="1"/>
    <col min="15916" max="15916" width="14.33203125" style="35" customWidth="1"/>
    <col min="15917" max="16141" width="8.6640625" style="35"/>
    <col min="16142" max="16142" width="14.33203125" style="35" customWidth="1"/>
    <col min="16143" max="16144" width="3.33203125" style="35" customWidth="1"/>
    <col min="16145" max="16169" width="2.4140625" style="35" customWidth="1"/>
    <col min="16170" max="16171" width="3.33203125" style="35" customWidth="1"/>
    <col min="16172" max="16172" width="14.33203125" style="35" customWidth="1"/>
    <col min="16173" max="16384" width="8.6640625" style="35"/>
  </cols>
  <sheetData>
    <row r="1" spans="1:47" ht="22.5" x14ac:dyDescent="0.55000000000000004">
      <c r="A1" s="34" t="s">
        <v>365</v>
      </c>
      <c r="AS1" s="4"/>
      <c r="AT1" s="4"/>
      <c r="AU1" s="4"/>
    </row>
    <row r="2" spans="1:47" ht="22.5" x14ac:dyDescent="0.55000000000000004">
      <c r="A2" s="34"/>
      <c r="AS2" s="4"/>
      <c r="AT2" s="4"/>
      <c r="AU2" s="4"/>
    </row>
    <row r="3" spans="1:47" ht="22.5" x14ac:dyDescent="0.55000000000000004">
      <c r="A3" s="34"/>
      <c r="AS3" s="4"/>
      <c r="AT3" s="4"/>
      <c r="AU3" s="4"/>
    </row>
    <row r="4" spans="1:47" ht="22.5" x14ac:dyDescent="0.55000000000000004">
      <c r="A4" s="34"/>
      <c r="AS4" s="4"/>
      <c r="AT4" s="4"/>
      <c r="AU4" s="4"/>
    </row>
    <row r="5" spans="1:47" ht="22.5" x14ac:dyDescent="0.55000000000000004">
      <c r="A5" s="34"/>
      <c r="AS5" s="4"/>
      <c r="AT5" s="4"/>
      <c r="AU5" s="24" t="s">
        <v>1185</v>
      </c>
    </row>
    <row r="7" spans="1:47" ht="105" customHeight="1" x14ac:dyDescent="0.55000000000000004">
      <c r="F7" s="68" t="str">
        <f>'PF144'!V153</f>
        <v>VDDD</v>
      </c>
      <c r="G7" s="69">
        <f>'PF144'!V152</f>
        <v>0</v>
      </c>
      <c r="H7" s="69">
        <f>'PF144'!V151</f>
        <v>0</v>
      </c>
      <c r="I7" s="69">
        <f>'PF144'!V150</f>
        <v>0</v>
      </c>
      <c r="J7" s="69">
        <f>'PF144'!V149</f>
        <v>0</v>
      </c>
      <c r="K7" s="69">
        <f>'PF144'!V148</f>
        <v>0</v>
      </c>
      <c r="L7" s="69">
        <f>'PF144'!V147</f>
        <v>0</v>
      </c>
      <c r="M7" s="69">
        <f>'PF144'!V146</f>
        <v>0</v>
      </c>
      <c r="N7" s="69">
        <f>'PF144'!V145</f>
        <v>0</v>
      </c>
      <c r="O7" s="69">
        <f>'PF144'!V144</f>
        <v>0</v>
      </c>
      <c r="P7" s="69">
        <f>'PF144'!V143</f>
        <v>0</v>
      </c>
      <c r="Q7" s="69">
        <f>'PF144'!V142</f>
        <v>0</v>
      </c>
      <c r="R7" s="69">
        <f>'PF144'!V141</f>
        <v>0</v>
      </c>
      <c r="S7" s="69">
        <f>'PF144'!V140</f>
        <v>0</v>
      </c>
      <c r="T7" s="69">
        <f>'PF144'!V139</f>
        <v>0</v>
      </c>
      <c r="U7" s="69">
        <f>'PF144'!V138</f>
        <v>0</v>
      </c>
      <c r="V7" s="69">
        <f>'PF144'!V137</f>
        <v>0</v>
      </c>
      <c r="W7" s="68" t="str">
        <f>'PF144'!V136</f>
        <v>VCCD</v>
      </c>
      <c r="X7" s="70" t="str">
        <f>'PF144'!V135</f>
        <v>VSSD</v>
      </c>
      <c r="Y7" s="70" t="str">
        <f>'PF144'!V134</f>
        <v>VSSD</v>
      </c>
      <c r="Z7" s="68" t="str">
        <f>'PF144'!V133</f>
        <v>VDDD</v>
      </c>
      <c r="AA7" s="71" t="str">
        <f>'PF144'!V132</f>
        <v>XRES_L</v>
      </c>
      <c r="AB7" s="69">
        <f>'PF144'!V131</f>
        <v>0</v>
      </c>
      <c r="AC7" s="69">
        <f>'PF144'!V130</f>
        <v>0</v>
      </c>
      <c r="AD7" s="69">
        <f>'PF144'!V129</f>
        <v>0</v>
      </c>
      <c r="AE7" s="69">
        <f>'PF144'!V128</f>
        <v>0</v>
      </c>
      <c r="AF7" s="69">
        <f>'PF144'!V127</f>
        <v>0</v>
      </c>
      <c r="AG7" s="69">
        <f>'PF144'!V126</f>
        <v>0</v>
      </c>
      <c r="AH7" s="69">
        <f>'PF144'!V125</f>
        <v>0</v>
      </c>
      <c r="AI7" s="69">
        <f>'PF144'!V124</f>
        <v>0</v>
      </c>
      <c r="AJ7" s="69">
        <f>'PF144'!V123</f>
        <v>0</v>
      </c>
      <c r="AK7" s="69">
        <f>'PF144'!V122</f>
        <v>0</v>
      </c>
      <c r="AL7" s="69">
        <f>'PF144'!V121</f>
        <v>0</v>
      </c>
      <c r="AM7" s="69">
        <f>'PF144'!V120</f>
        <v>0</v>
      </c>
      <c r="AN7" s="69">
        <f>'PF144'!V119</f>
        <v>0</v>
      </c>
      <c r="AO7" s="70" t="str">
        <f>'PF144'!V118</f>
        <v>VSSD</v>
      </c>
    </row>
    <row r="8" spans="1:47" ht="15" customHeight="1" x14ac:dyDescent="0.55000000000000004">
      <c r="D8" s="72"/>
      <c r="E8" s="73"/>
      <c r="F8" s="73">
        <v>144</v>
      </c>
      <c r="G8" s="73">
        <v>143</v>
      </c>
      <c r="H8" s="73">
        <v>142</v>
      </c>
      <c r="I8" s="73">
        <v>141</v>
      </c>
      <c r="J8" s="73">
        <v>140</v>
      </c>
      <c r="K8" s="73">
        <v>139</v>
      </c>
      <c r="L8" s="73">
        <v>138</v>
      </c>
      <c r="M8" s="73">
        <v>137</v>
      </c>
      <c r="N8" s="73">
        <v>136</v>
      </c>
      <c r="O8" s="73">
        <v>135</v>
      </c>
      <c r="P8" s="73">
        <v>134</v>
      </c>
      <c r="Q8" s="73">
        <v>133</v>
      </c>
      <c r="R8" s="73">
        <v>132</v>
      </c>
      <c r="S8" s="73">
        <v>131</v>
      </c>
      <c r="T8" s="73">
        <v>130</v>
      </c>
      <c r="U8" s="73">
        <v>129</v>
      </c>
      <c r="V8" s="73">
        <v>128</v>
      </c>
      <c r="W8" s="73">
        <v>127</v>
      </c>
      <c r="X8" s="73">
        <v>126</v>
      </c>
      <c r="Y8" s="73">
        <v>125</v>
      </c>
      <c r="Z8" s="73">
        <v>124</v>
      </c>
      <c r="AA8" s="73">
        <v>123</v>
      </c>
      <c r="AB8" s="73">
        <v>122</v>
      </c>
      <c r="AC8" s="73">
        <v>121</v>
      </c>
      <c r="AD8" s="73">
        <v>120</v>
      </c>
      <c r="AE8" s="73">
        <v>119</v>
      </c>
      <c r="AF8" s="73">
        <v>118</v>
      </c>
      <c r="AG8" s="73">
        <v>117</v>
      </c>
      <c r="AH8" s="73">
        <v>116</v>
      </c>
      <c r="AI8" s="73">
        <v>115</v>
      </c>
      <c r="AJ8" s="73">
        <v>114</v>
      </c>
      <c r="AK8" s="73">
        <v>113</v>
      </c>
      <c r="AL8" s="73">
        <v>112</v>
      </c>
      <c r="AM8" s="73">
        <v>111</v>
      </c>
      <c r="AN8" s="73">
        <v>110</v>
      </c>
      <c r="AO8" s="73">
        <v>109</v>
      </c>
      <c r="AP8" s="73"/>
      <c r="AQ8" s="74"/>
    </row>
    <row r="9" spans="1:47" ht="15" customHeight="1" x14ac:dyDescent="0.55000000000000004">
      <c r="D9" s="75"/>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7"/>
    </row>
    <row r="10" spans="1:47" ht="15" customHeight="1" x14ac:dyDescent="0.55000000000000004">
      <c r="B10" s="78"/>
      <c r="C10" s="79" t="str">
        <f>'PF144'!V10</f>
        <v>VSSD</v>
      </c>
      <c r="D10" s="75">
        <v>1</v>
      </c>
      <c r="E10" s="76"/>
      <c r="F10" s="136" t="s">
        <v>357</v>
      </c>
      <c r="G10" s="136"/>
      <c r="H10" s="136"/>
      <c r="I10" s="136"/>
      <c r="J10" s="136"/>
      <c r="K10" s="136"/>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76"/>
      <c r="AQ10" s="77">
        <v>108</v>
      </c>
      <c r="AR10" s="80" t="str">
        <f>'PF144'!V117</f>
        <v>VDDD</v>
      </c>
    </row>
    <row r="11" spans="1:47" ht="15" customHeight="1" x14ac:dyDescent="0.55000000000000004">
      <c r="B11" s="78"/>
      <c r="C11" s="81">
        <f>'PF144'!V11</f>
        <v>0</v>
      </c>
      <c r="D11" s="75">
        <v>2</v>
      </c>
      <c r="E11" s="76"/>
      <c r="F11" s="136"/>
      <c r="G11" s="136"/>
      <c r="H11" s="136"/>
      <c r="I11" s="136"/>
      <c r="J11" s="136"/>
      <c r="K11" s="136"/>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76"/>
      <c r="AQ11" s="77">
        <v>107</v>
      </c>
      <c r="AR11" s="82">
        <f>'PF144'!V116</f>
        <v>0</v>
      </c>
    </row>
    <row r="12" spans="1:47" ht="15" customHeight="1" x14ac:dyDescent="0.55000000000000004">
      <c r="B12" s="78"/>
      <c r="C12" s="81">
        <f>'PF144'!V12</f>
        <v>0</v>
      </c>
      <c r="D12" s="75">
        <v>3</v>
      </c>
      <c r="E12" s="7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76"/>
      <c r="AQ12" s="77">
        <v>106</v>
      </c>
      <c r="AR12" s="82">
        <f>'PF144'!V115</f>
        <v>0</v>
      </c>
    </row>
    <row r="13" spans="1:47" ht="15" customHeight="1" x14ac:dyDescent="0.55000000000000004">
      <c r="B13" s="78"/>
      <c r="C13" s="81">
        <f>'PF144'!V13</f>
        <v>0</v>
      </c>
      <c r="D13" s="75">
        <v>4</v>
      </c>
      <c r="E13" s="76"/>
      <c r="F13" s="136"/>
      <c r="G13" s="136"/>
      <c r="H13" s="136"/>
      <c r="I13" s="136"/>
      <c r="J13" s="136"/>
      <c r="K13" s="136"/>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76"/>
      <c r="AQ13" s="77">
        <v>105</v>
      </c>
      <c r="AR13" s="82">
        <f>'PF144'!V114</f>
        <v>0</v>
      </c>
    </row>
    <row r="14" spans="1:47" ht="15" customHeight="1" x14ac:dyDescent="0.55000000000000004">
      <c r="B14" s="78"/>
      <c r="C14" s="81">
        <f>'PF144'!V14</f>
        <v>0</v>
      </c>
      <c r="D14" s="75">
        <v>5</v>
      </c>
      <c r="E14" s="7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76"/>
      <c r="AQ14" s="77">
        <v>104</v>
      </c>
      <c r="AR14" s="82">
        <f>'PF144'!V113</f>
        <v>0</v>
      </c>
    </row>
    <row r="15" spans="1:47" ht="15" customHeight="1" x14ac:dyDescent="0.55000000000000004">
      <c r="B15" s="78"/>
      <c r="C15" s="81">
        <f>'PF144'!V15</f>
        <v>0</v>
      </c>
      <c r="D15" s="75">
        <v>6</v>
      </c>
      <c r="E15" s="76"/>
      <c r="F15" s="136"/>
      <c r="G15" s="136"/>
      <c r="H15" s="136"/>
      <c r="I15" s="136"/>
      <c r="J15" s="136"/>
      <c r="K15" s="136"/>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76"/>
      <c r="AQ15" s="77">
        <v>103</v>
      </c>
      <c r="AR15" s="82">
        <f>'PF144'!V112</f>
        <v>0</v>
      </c>
    </row>
    <row r="16" spans="1:47" ht="15" customHeight="1" x14ac:dyDescent="0.55000000000000004">
      <c r="B16" s="78"/>
      <c r="C16" s="81">
        <f>'PF144'!V16</f>
        <v>0</v>
      </c>
      <c r="D16" s="75">
        <v>7</v>
      </c>
      <c r="E16" s="76"/>
      <c r="F16" s="136"/>
      <c r="G16" s="136"/>
      <c r="H16" s="136"/>
      <c r="I16" s="136"/>
      <c r="J16" s="136"/>
      <c r="K16" s="136"/>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c r="AI16" s="136"/>
      <c r="AJ16" s="136"/>
      <c r="AK16" s="136"/>
      <c r="AL16" s="136"/>
      <c r="AM16" s="136"/>
      <c r="AN16" s="136"/>
      <c r="AO16" s="136"/>
      <c r="AP16" s="76"/>
      <c r="AQ16" s="77">
        <v>102</v>
      </c>
      <c r="AR16" s="82">
        <f>'PF144'!V111</f>
        <v>0</v>
      </c>
    </row>
    <row r="17" spans="2:44" ht="15" customHeight="1" x14ac:dyDescent="0.55000000000000004">
      <c r="B17" s="78"/>
      <c r="C17" s="81">
        <f>'PF144'!V17</f>
        <v>0</v>
      </c>
      <c r="D17" s="75">
        <v>8</v>
      </c>
      <c r="E17" s="76"/>
      <c r="F17" s="136"/>
      <c r="G17" s="136"/>
      <c r="H17" s="136"/>
      <c r="I17" s="136"/>
      <c r="J17" s="136"/>
      <c r="K17" s="136"/>
      <c r="L17" s="136"/>
      <c r="M17" s="136"/>
      <c r="N17" s="136"/>
      <c r="O17" s="136"/>
      <c r="P17" s="136"/>
      <c r="Q17" s="136"/>
      <c r="R17" s="136"/>
      <c r="S17" s="136"/>
      <c r="T17" s="136"/>
      <c r="U17" s="136"/>
      <c r="V17" s="136"/>
      <c r="W17" s="136"/>
      <c r="X17" s="136"/>
      <c r="Y17" s="136"/>
      <c r="Z17" s="136"/>
      <c r="AA17" s="136"/>
      <c r="AB17" s="136"/>
      <c r="AC17" s="136"/>
      <c r="AD17" s="136"/>
      <c r="AE17" s="136"/>
      <c r="AF17" s="136"/>
      <c r="AG17" s="136"/>
      <c r="AH17" s="136"/>
      <c r="AI17" s="136"/>
      <c r="AJ17" s="136"/>
      <c r="AK17" s="136"/>
      <c r="AL17" s="136"/>
      <c r="AM17" s="136"/>
      <c r="AN17" s="136"/>
      <c r="AO17" s="136"/>
      <c r="AP17" s="76"/>
      <c r="AQ17" s="77">
        <v>101</v>
      </c>
      <c r="AR17" s="82">
        <f>'PF144'!V110</f>
        <v>0</v>
      </c>
    </row>
    <row r="18" spans="2:44" ht="15" customHeight="1" x14ac:dyDescent="0.55000000000000004">
      <c r="B18" s="78"/>
      <c r="C18" s="81">
        <f>'PF144'!V18</f>
        <v>0</v>
      </c>
      <c r="D18" s="75">
        <v>9</v>
      </c>
      <c r="E18" s="76"/>
      <c r="F18" s="136"/>
      <c r="G18" s="136"/>
      <c r="H18" s="136"/>
      <c r="I18" s="136"/>
      <c r="J18" s="136"/>
      <c r="K18" s="136"/>
      <c r="L18" s="136"/>
      <c r="M18" s="136"/>
      <c r="N18" s="136"/>
      <c r="O18" s="136"/>
      <c r="P18" s="136"/>
      <c r="Q18" s="136"/>
      <c r="R18" s="136"/>
      <c r="S18" s="136"/>
      <c r="T18" s="136"/>
      <c r="U18" s="136"/>
      <c r="V18" s="136"/>
      <c r="W18" s="136"/>
      <c r="X18" s="136"/>
      <c r="Y18" s="136"/>
      <c r="Z18" s="136"/>
      <c r="AA18" s="136"/>
      <c r="AB18" s="136"/>
      <c r="AC18" s="136"/>
      <c r="AD18" s="136"/>
      <c r="AE18" s="136"/>
      <c r="AF18" s="136"/>
      <c r="AG18" s="136"/>
      <c r="AH18" s="136"/>
      <c r="AI18" s="136"/>
      <c r="AJ18" s="136"/>
      <c r="AK18" s="136"/>
      <c r="AL18" s="136"/>
      <c r="AM18" s="136"/>
      <c r="AN18" s="136"/>
      <c r="AO18" s="136"/>
      <c r="AP18" s="76"/>
      <c r="AQ18" s="77">
        <v>100</v>
      </c>
      <c r="AR18" s="82">
        <f>'PF144'!V109</f>
        <v>0</v>
      </c>
    </row>
    <row r="19" spans="2:44" ht="15" customHeight="1" x14ac:dyDescent="0.55000000000000004">
      <c r="B19" s="78"/>
      <c r="C19" s="81">
        <f>'PF144'!V19</f>
        <v>0</v>
      </c>
      <c r="D19" s="75">
        <v>10</v>
      </c>
      <c r="E19" s="76"/>
      <c r="F19" s="136"/>
      <c r="G19" s="136"/>
      <c r="H19" s="136"/>
      <c r="I19" s="136"/>
      <c r="J19" s="136"/>
      <c r="K19" s="136"/>
      <c r="L19" s="136"/>
      <c r="M19" s="136"/>
      <c r="N19" s="136"/>
      <c r="O19" s="136"/>
      <c r="P19" s="136"/>
      <c r="Q19" s="136"/>
      <c r="R19" s="136"/>
      <c r="S19" s="136"/>
      <c r="T19" s="136"/>
      <c r="U19" s="136"/>
      <c r="V19" s="136"/>
      <c r="W19" s="136"/>
      <c r="X19" s="136"/>
      <c r="Y19" s="136"/>
      <c r="Z19" s="136"/>
      <c r="AA19" s="136"/>
      <c r="AB19" s="136"/>
      <c r="AC19" s="136"/>
      <c r="AD19" s="136"/>
      <c r="AE19" s="136"/>
      <c r="AF19" s="136"/>
      <c r="AG19" s="136"/>
      <c r="AH19" s="136"/>
      <c r="AI19" s="136"/>
      <c r="AJ19" s="136"/>
      <c r="AK19" s="136"/>
      <c r="AL19" s="136"/>
      <c r="AM19" s="136"/>
      <c r="AN19" s="136"/>
      <c r="AO19" s="136"/>
      <c r="AP19" s="76"/>
      <c r="AQ19" s="77">
        <v>99</v>
      </c>
      <c r="AR19" s="82">
        <f>'PF144'!V108</f>
        <v>0</v>
      </c>
    </row>
    <row r="20" spans="2:44" ht="15" customHeight="1" x14ac:dyDescent="0.55000000000000004">
      <c r="B20" s="78"/>
      <c r="C20" s="81">
        <f>'PF144'!V20</f>
        <v>0</v>
      </c>
      <c r="D20" s="75">
        <v>11</v>
      </c>
      <c r="E20" s="7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76"/>
      <c r="AQ20" s="77">
        <v>98</v>
      </c>
      <c r="AR20" s="82">
        <f>'PF144'!V107</f>
        <v>0</v>
      </c>
    </row>
    <row r="21" spans="2:44" ht="15" customHeight="1" x14ac:dyDescent="0.55000000000000004">
      <c r="B21" s="78"/>
      <c r="C21" s="81">
        <f>'PF144'!V21</f>
        <v>0</v>
      </c>
      <c r="D21" s="75">
        <v>12</v>
      </c>
      <c r="E21" s="76"/>
      <c r="F21" s="136"/>
      <c r="G21" s="136"/>
      <c r="H21" s="136"/>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76"/>
      <c r="AQ21" s="77">
        <v>97</v>
      </c>
      <c r="AR21" s="82">
        <f>'PF144'!V106</f>
        <v>0</v>
      </c>
    </row>
    <row r="22" spans="2:44" ht="15" customHeight="1" x14ac:dyDescent="0.55000000000000004">
      <c r="B22" s="78"/>
      <c r="C22" s="81">
        <f>'PF144'!V22</f>
        <v>0</v>
      </c>
      <c r="D22" s="75">
        <v>13</v>
      </c>
      <c r="E22" s="7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76"/>
      <c r="AQ22" s="77">
        <v>96</v>
      </c>
      <c r="AR22" s="82">
        <f>'PF144'!V105</f>
        <v>0</v>
      </c>
    </row>
    <row r="23" spans="2:44" ht="15" customHeight="1" x14ac:dyDescent="0.55000000000000004">
      <c r="B23" s="78"/>
      <c r="C23" s="81">
        <f>'PF144'!V23</f>
        <v>0</v>
      </c>
      <c r="D23" s="75">
        <v>14</v>
      </c>
      <c r="E23" s="76"/>
      <c r="F23" s="136"/>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76"/>
      <c r="AQ23" s="77">
        <v>95</v>
      </c>
      <c r="AR23" s="82">
        <f>'PF144'!V104</f>
        <v>0</v>
      </c>
    </row>
    <row r="24" spans="2:44" ht="15" customHeight="1" x14ac:dyDescent="0.55000000000000004">
      <c r="B24" s="78"/>
      <c r="C24" s="81">
        <f>'PF144'!V24</f>
        <v>0</v>
      </c>
      <c r="D24" s="75">
        <v>15</v>
      </c>
      <c r="E24" s="76"/>
      <c r="F24" s="136"/>
      <c r="G24" s="136"/>
      <c r="H24" s="136"/>
      <c r="I24" s="136"/>
      <c r="J24" s="136"/>
      <c r="K24" s="136"/>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76"/>
      <c r="AQ24" s="77">
        <v>94</v>
      </c>
      <c r="AR24" s="82">
        <f>'PF144'!V103</f>
        <v>0</v>
      </c>
    </row>
    <row r="25" spans="2:44" ht="15" customHeight="1" x14ac:dyDescent="0.55000000000000004">
      <c r="B25" s="78"/>
      <c r="C25" s="81">
        <f>'PF144'!V25</f>
        <v>0</v>
      </c>
      <c r="D25" s="75">
        <v>16</v>
      </c>
      <c r="E25" s="7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76"/>
      <c r="AQ25" s="77">
        <v>93</v>
      </c>
      <c r="AR25" s="82">
        <f>'PF144'!V102</f>
        <v>0</v>
      </c>
    </row>
    <row r="26" spans="2:44" ht="15" customHeight="1" x14ac:dyDescent="0.55000000000000004">
      <c r="B26" s="78"/>
      <c r="C26" s="81">
        <f>'PF144'!V26</f>
        <v>0</v>
      </c>
      <c r="D26" s="75">
        <v>17</v>
      </c>
      <c r="E26" s="7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c r="AJ26" s="136"/>
      <c r="AK26" s="136"/>
      <c r="AL26" s="136"/>
      <c r="AM26" s="136"/>
      <c r="AN26" s="136"/>
      <c r="AO26" s="136"/>
      <c r="AP26" s="76"/>
      <c r="AQ26" s="77">
        <v>92</v>
      </c>
      <c r="AR26" s="82">
        <f>'PF144'!V101</f>
        <v>0</v>
      </c>
    </row>
    <row r="27" spans="2:44" ht="15" customHeight="1" x14ac:dyDescent="0.55000000000000004">
      <c r="B27" s="78"/>
      <c r="C27" s="83" t="str">
        <f>'PF144'!V27</f>
        <v>VDDD</v>
      </c>
      <c r="D27" s="75">
        <v>18</v>
      </c>
      <c r="E27" s="7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76"/>
      <c r="AQ27" s="77">
        <v>91</v>
      </c>
      <c r="AR27" s="82">
        <f>'PF144'!V100</f>
        <v>0</v>
      </c>
    </row>
    <row r="28" spans="2:44" ht="15" customHeight="1" x14ac:dyDescent="0.55000000000000004">
      <c r="B28" s="78"/>
      <c r="C28" s="79" t="str">
        <f>'PF144'!V28</f>
        <v>VSSD</v>
      </c>
      <c r="D28" s="75">
        <v>19</v>
      </c>
      <c r="E28" s="76"/>
      <c r="F28" s="136"/>
      <c r="G28" s="136"/>
      <c r="H28" s="136"/>
      <c r="I28" s="136"/>
      <c r="J28" s="136"/>
      <c r="K28" s="136"/>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c r="AI28" s="136"/>
      <c r="AJ28" s="136"/>
      <c r="AK28" s="136"/>
      <c r="AL28" s="136"/>
      <c r="AM28" s="136"/>
      <c r="AN28" s="136"/>
      <c r="AO28" s="136"/>
      <c r="AP28" s="76"/>
      <c r="AQ28" s="77">
        <v>90</v>
      </c>
      <c r="AR28" s="82">
        <f>'PF144'!V99</f>
        <v>0</v>
      </c>
    </row>
    <row r="29" spans="2:44" ht="15" customHeight="1" x14ac:dyDescent="0.55000000000000004">
      <c r="B29" s="78"/>
      <c r="C29" s="81">
        <f>'PF144'!V29</f>
        <v>0</v>
      </c>
      <c r="D29" s="75">
        <v>20</v>
      </c>
      <c r="E29" s="7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76"/>
      <c r="AQ29" s="77">
        <v>89</v>
      </c>
      <c r="AR29" s="82">
        <f>'PF144'!V98</f>
        <v>0</v>
      </c>
    </row>
    <row r="30" spans="2:44" ht="15" customHeight="1" x14ac:dyDescent="0.55000000000000004">
      <c r="B30" s="78"/>
      <c r="C30" s="81">
        <f>'PF144'!V30</f>
        <v>0</v>
      </c>
      <c r="D30" s="75">
        <v>21</v>
      </c>
      <c r="E30" s="7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76"/>
      <c r="AQ30" s="77">
        <v>88</v>
      </c>
      <c r="AR30" s="82">
        <f>'PF144'!V97</f>
        <v>0</v>
      </c>
    </row>
    <row r="31" spans="2:44" ht="15" customHeight="1" x14ac:dyDescent="0.55000000000000004">
      <c r="B31" s="78"/>
      <c r="C31" s="81">
        <f>'PF144'!V31</f>
        <v>0</v>
      </c>
      <c r="D31" s="75">
        <v>22</v>
      </c>
      <c r="E31" s="76"/>
      <c r="F31" s="136"/>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76"/>
      <c r="AQ31" s="77">
        <v>87</v>
      </c>
      <c r="AR31" s="82">
        <f>'PF144'!V96</f>
        <v>0</v>
      </c>
    </row>
    <row r="32" spans="2:44" ht="15" customHeight="1" x14ac:dyDescent="0.55000000000000004">
      <c r="B32" s="78"/>
      <c r="C32" s="81">
        <f>'PF144'!V32</f>
        <v>0</v>
      </c>
      <c r="D32" s="75">
        <v>23</v>
      </c>
      <c r="E32" s="76"/>
      <c r="F32" s="136"/>
      <c r="G32" s="136"/>
      <c r="H32" s="136"/>
      <c r="I32" s="136"/>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c r="AG32" s="136"/>
      <c r="AH32" s="136"/>
      <c r="AI32" s="136"/>
      <c r="AJ32" s="136"/>
      <c r="AK32" s="136"/>
      <c r="AL32" s="136"/>
      <c r="AM32" s="136"/>
      <c r="AN32" s="136"/>
      <c r="AO32" s="136"/>
      <c r="AP32" s="76"/>
      <c r="AQ32" s="77">
        <v>86</v>
      </c>
      <c r="AR32" s="82">
        <f>'PF144'!V95</f>
        <v>0</v>
      </c>
    </row>
    <row r="33" spans="2:44" ht="15" customHeight="1" x14ac:dyDescent="0.55000000000000004">
      <c r="B33" s="78"/>
      <c r="C33" s="81">
        <f>'PF144'!V33</f>
        <v>0</v>
      </c>
      <c r="D33" s="75">
        <v>24</v>
      </c>
      <c r="E33" s="76"/>
      <c r="F33" s="136"/>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76"/>
      <c r="AQ33" s="77">
        <v>85</v>
      </c>
      <c r="AR33" s="82">
        <f>'PF144'!V94</f>
        <v>0</v>
      </c>
    </row>
    <row r="34" spans="2:44" ht="15" customHeight="1" x14ac:dyDescent="0.55000000000000004">
      <c r="B34" s="78"/>
      <c r="C34" s="81">
        <f>'PF144'!V34</f>
        <v>0</v>
      </c>
      <c r="D34" s="75">
        <v>25</v>
      </c>
      <c r="E34" s="76"/>
      <c r="F34" s="136"/>
      <c r="G34" s="136"/>
      <c r="H34" s="136"/>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76"/>
      <c r="AQ34" s="77">
        <v>84</v>
      </c>
      <c r="AR34" s="82">
        <f>'PF144'!V93</f>
        <v>0</v>
      </c>
    </row>
    <row r="35" spans="2:44" ht="15" customHeight="1" x14ac:dyDescent="0.55000000000000004">
      <c r="B35" s="78"/>
      <c r="C35" s="81">
        <f>'PF144'!V35</f>
        <v>0</v>
      </c>
      <c r="D35" s="75">
        <v>26</v>
      </c>
      <c r="E35" s="7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c r="AK35" s="136"/>
      <c r="AL35" s="136"/>
      <c r="AM35" s="136"/>
      <c r="AN35" s="136"/>
      <c r="AO35" s="136"/>
      <c r="AP35" s="76"/>
      <c r="AQ35" s="77">
        <v>83</v>
      </c>
      <c r="AR35" s="82">
        <f>'PF144'!V92</f>
        <v>0</v>
      </c>
    </row>
    <row r="36" spans="2:44" ht="15" customHeight="1" x14ac:dyDescent="0.55000000000000004">
      <c r="B36" s="78"/>
      <c r="C36" s="81">
        <f>'PF144'!V36</f>
        <v>0</v>
      </c>
      <c r="D36" s="75">
        <v>27</v>
      </c>
      <c r="E36" s="76"/>
      <c r="F36" s="136"/>
      <c r="G36" s="136"/>
      <c r="H36" s="136"/>
      <c r="I36" s="136"/>
      <c r="J36" s="136"/>
      <c r="K36" s="136"/>
      <c r="L36" s="136"/>
      <c r="M36" s="136"/>
      <c r="N36" s="136"/>
      <c r="O36" s="136"/>
      <c r="P36" s="136"/>
      <c r="Q36" s="136"/>
      <c r="R36" s="136"/>
      <c r="S36" s="136"/>
      <c r="T36" s="136"/>
      <c r="U36" s="136"/>
      <c r="V36" s="136"/>
      <c r="W36" s="136"/>
      <c r="X36" s="136"/>
      <c r="Y36" s="136"/>
      <c r="Z36" s="136"/>
      <c r="AA36" s="136"/>
      <c r="AB36" s="136"/>
      <c r="AC36" s="136"/>
      <c r="AD36" s="136"/>
      <c r="AE36" s="136"/>
      <c r="AF36" s="136"/>
      <c r="AG36" s="136"/>
      <c r="AH36" s="136"/>
      <c r="AI36" s="136"/>
      <c r="AJ36" s="136"/>
      <c r="AK36" s="136"/>
      <c r="AL36" s="136"/>
      <c r="AM36" s="136"/>
      <c r="AN36" s="136"/>
      <c r="AO36" s="136"/>
      <c r="AP36" s="76"/>
      <c r="AQ36" s="77">
        <v>82</v>
      </c>
      <c r="AR36" s="82">
        <f>'PF144'!V91</f>
        <v>0</v>
      </c>
    </row>
    <row r="37" spans="2:44" ht="15" customHeight="1" x14ac:dyDescent="0.55000000000000004">
      <c r="B37" s="78"/>
      <c r="C37" s="81">
        <f>'PF144'!V37</f>
        <v>0</v>
      </c>
      <c r="D37" s="75">
        <v>28</v>
      </c>
      <c r="E37" s="76"/>
      <c r="F37" s="136"/>
      <c r="G37" s="136"/>
      <c r="H37" s="136"/>
      <c r="I37" s="136"/>
      <c r="J37" s="136"/>
      <c r="K37" s="136"/>
      <c r="L37" s="136"/>
      <c r="M37" s="136"/>
      <c r="N37" s="136"/>
      <c r="O37" s="136"/>
      <c r="P37" s="136"/>
      <c r="Q37" s="136"/>
      <c r="R37" s="136"/>
      <c r="S37" s="136"/>
      <c r="T37" s="136"/>
      <c r="U37" s="136"/>
      <c r="V37" s="136"/>
      <c r="W37" s="136"/>
      <c r="X37" s="136"/>
      <c r="Y37" s="136"/>
      <c r="Z37" s="136"/>
      <c r="AA37" s="136"/>
      <c r="AB37" s="136"/>
      <c r="AC37" s="136"/>
      <c r="AD37" s="136"/>
      <c r="AE37" s="136"/>
      <c r="AF37" s="136"/>
      <c r="AG37" s="136"/>
      <c r="AH37" s="136"/>
      <c r="AI37" s="136"/>
      <c r="AJ37" s="136"/>
      <c r="AK37" s="136"/>
      <c r="AL37" s="136"/>
      <c r="AM37" s="136"/>
      <c r="AN37" s="136"/>
      <c r="AO37" s="136"/>
      <c r="AP37" s="76"/>
      <c r="AQ37" s="77">
        <v>81</v>
      </c>
      <c r="AR37" s="82">
        <f>'PF144'!V90</f>
        <v>0</v>
      </c>
    </row>
    <row r="38" spans="2:44" ht="15" customHeight="1" x14ac:dyDescent="0.55000000000000004">
      <c r="B38" s="78"/>
      <c r="C38" s="81">
        <f>'PF144'!V38</f>
        <v>0</v>
      </c>
      <c r="D38" s="75">
        <v>29</v>
      </c>
      <c r="E38" s="76"/>
      <c r="F38" s="136"/>
      <c r="G38" s="136"/>
      <c r="H38" s="136"/>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c r="AG38" s="136"/>
      <c r="AH38" s="136"/>
      <c r="AI38" s="136"/>
      <c r="AJ38" s="136"/>
      <c r="AK38" s="136"/>
      <c r="AL38" s="136"/>
      <c r="AM38" s="136"/>
      <c r="AN38" s="136"/>
      <c r="AO38" s="136"/>
      <c r="AP38" s="76"/>
      <c r="AQ38" s="77">
        <v>80</v>
      </c>
      <c r="AR38" s="82">
        <f>'PF144'!V89</f>
        <v>0</v>
      </c>
    </row>
    <row r="39" spans="2:44" ht="15" customHeight="1" x14ac:dyDescent="0.55000000000000004">
      <c r="B39" s="78"/>
      <c r="C39" s="81">
        <f>'PF144'!V39</f>
        <v>0</v>
      </c>
      <c r="D39" s="75">
        <v>30</v>
      </c>
      <c r="E39" s="7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6"/>
      <c r="AK39" s="136"/>
      <c r="AL39" s="136"/>
      <c r="AM39" s="136"/>
      <c r="AN39" s="136"/>
      <c r="AO39" s="136"/>
      <c r="AP39" s="76"/>
      <c r="AQ39" s="77">
        <v>79</v>
      </c>
      <c r="AR39" s="82">
        <f>'PF144'!V88</f>
        <v>0</v>
      </c>
    </row>
    <row r="40" spans="2:44" ht="15" customHeight="1" x14ac:dyDescent="0.55000000000000004">
      <c r="B40" s="78"/>
      <c r="C40" s="81">
        <f>'PF144'!V40</f>
        <v>0</v>
      </c>
      <c r="D40" s="75">
        <v>31</v>
      </c>
      <c r="E40" s="76"/>
      <c r="F40" s="136"/>
      <c r="G40" s="136"/>
      <c r="H40" s="136"/>
      <c r="I40" s="136"/>
      <c r="J40" s="136"/>
      <c r="K40" s="136"/>
      <c r="L40" s="136"/>
      <c r="M40" s="136"/>
      <c r="N40" s="136"/>
      <c r="O40" s="136"/>
      <c r="P40" s="136"/>
      <c r="Q40" s="136"/>
      <c r="R40" s="136"/>
      <c r="S40" s="136"/>
      <c r="T40" s="136"/>
      <c r="U40" s="136"/>
      <c r="V40" s="136"/>
      <c r="W40" s="136"/>
      <c r="X40" s="136"/>
      <c r="Y40" s="136"/>
      <c r="Z40" s="136"/>
      <c r="AA40" s="136"/>
      <c r="AB40" s="136"/>
      <c r="AC40" s="136"/>
      <c r="AD40" s="136"/>
      <c r="AE40" s="136"/>
      <c r="AF40" s="136"/>
      <c r="AG40" s="136"/>
      <c r="AH40" s="136"/>
      <c r="AI40" s="136"/>
      <c r="AJ40" s="136"/>
      <c r="AK40" s="136"/>
      <c r="AL40" s="136"/>
      <c r="AM40" s="136"/>
      <c r="AN40" s="136"/>
      <c r="AO40" s="136"/>
      <c r="AP40" s="76"/>
      <c r="AQ40" s="77">
        <v>78</v>
      </c>
      <c r="AR40" s="82">
        <f>'PF144'!V87</f>
        <v>0</v>
      </c>
    </row>
    <row r="41" spans="2:44" ht="15" customHeight="1" x14ac:dyDescent="0.55000000000000004">
      <c r="B41" s="78"/>
      <c r="C41" s="81">
        <f>'PF144'!V41</f>
        <v>0</v>
      </c>
      <c r="D41" s="75">
        <v>32</v>
      </c>
      <c r="E41" s="76"/>
      <c r="F41" s="136"/>
      <c r="G41" s="136"/>
      <c r="H41" s="136"/>
      <c r="I41" s="136"/>
      <c r="J41" s="136"/>
      <c r="K41" s="136"/>
      <c r="L41" s="136"/>
      <c r="M41" s="136"/>
      <c r="N41" s="136"/>
      <c r="O41" s="136"/>
      <c r="P41" s="136"/>
      <c r="Q41" s="136"/>
      <c r="R41" s="136"/>
      <c r="S41" s="136"/>
      <c r="T41" s="136"/>
      <c r="U41" s="136"/>
      <c r="V41" s="136"/>
      <c r="W41" s="136"/>
      <c r="X41" s="136"/>
      <c r="Y41" s="136"/>
      <c r="Z41" s="136"/>
      <c r="AA41" s="136"/>
      <c r="AB41" s="136"/>
      <c r="AC41" s="136"/>
      <c r="AD41" s="136"/>
      <c r="AE41" s="136"/>
      <c r="AF41" s="136"/>
      <c r="AG41" s="136"/>
      <c r="AH41" s="136"/>
      <c r="AI41" s="136"/>
      <c r="AJ41" s="136"/>
      <c r="AK41" s="136"/>
      <c r="AL41" s="136"/>
      <c r="AM41" s="136"/>
      <c r="AN41" s="136"/>
      <c r="AO41" s="136"/>
      <c r="AP41" s="76"/>
      <c r="AQ41" s="77">
        <v>77</v>
      </c>
      <c r="AR41" s="82">
        <f>'PF144'!V86</f>
        <v>0</v>
      </c>
    </row>
    <row r="42" spans="2:44" ht="15" customHeight="1" x14ac:dyDescent="0.55000000000000004">
      <c r="B42" s="78"/>
      <c r="C42" s="81">
        <f>'PF144'!V42</f>
        <v>0</v>
      </c>
      <c r="D42" s="75">
        <v>33</v>
      </c>
      <c r="E42" s="76"/>
      <c r="F42" s="136"/>
      <c r="G42" s="136"/>
      <c r="H42" s="136"/>
      <c r="I42" s="136"/>
      <c r="J42" s="136"/>
      <c r="K42" s="136"/>
      <c r="L42" s="136"/>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c r="AJ42" s="136"/>
      <c r="AK42" s="136"/>
      <c r="AL42" s="136"/>
      <c r="AM42" s="136"/>
      <c r="AN42" s="136"/>
      <c r="AO42" s="136"/>
      <c r="AP42" s="76"/>
      <c r="AQ42" s="77">
        <v>76</v>
      </c>
      <c r="AR42" s="82">
        <f>'PF144'!V85</f>
        <v>0</v>
      </c>
    </row>
    <row r="43" spans="2:44" ht="15" customHeight="1" x14ac:dyDescent="0.55000000000000004">
      <c r="B43" s="78"/>
      <c r="C43" s="81">
        <f>'PF144'!V43</f>
        <v>0</v>
      </c>
      <c r="D43" s="75">
        <v>34</v>
      </c>
      <c r="E43" s="76"/>
      <c r="F43" s="136"/>
      <c r="G43" s="136"/>
      <c r="H43" s="136"/>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6"/>
      <c r="AK43" s="136"/>
      <c r="AL43" s="136"/>
      <c r="AM43" s="136"/>
      <c r="AN43" s="136"/>
      <c r="AO43" s="136"/>
      <c r="AP43" s="76"/>
      <c r="AQ43" s="77">
        <v>75</v>
      </c>
      <c r="AR43" s="82">
        <f>'PF144'!V84</f>
        <v>0</v>
      </c>
    </row>
    <row r="44" spans="2:44" ht="15" customHeight="1" x14ac:dyDescent="0.55000000000000004">
      <c r="B44" s="78"/>
      <c r="C44" s="83" t="str">
        <f>'PF144'!V44</f>
        <v>VDDD</v>
      </c>
      <c r="D44" s="75">
        <v>35</v>
      </c>
      <c r="E44" s="76"/>
      <c r="F44" s="136"/>
      <c r="G44" s="136"/>
      <c r="H44" s="136"/>
      <c r="I44" s="136"/>
      <c r="J44" s="136"/>
      <c r="K44" s="136"/>
      <c r="L44" s="136"/>
      <c r="M44" s="136"/>
      <c r="N44" s="136"/>
      <c r="O44" s="136"/>
      <c r="P44" s="136"/>
      <c r="Q44" s="136"/>
      <c r="R44" s="136"/>
      <c r="S44" s="136"/>
      <c r="T44" s="136"/>
      <c r="U44" s="136"/>
      <c r="V44" s="136"/>
      <c r="W44" s="136"/>
      <c r="X44" s="136"/>
      <c r="Y44" s="136"/>
      <c r="Z44" s="136"/>
      <c r="AA44" s="136"/>
      <c r="AB44" s="136"/>
      <c r="AC44" s="136"/>
      <c r="AD44" s="136"/>
      <c r="AE44" s="136"/>
      <c r="AF44" s="136"/>
      <c r="AG44" s="136"/>
      <c r="AH44" s="136"/>
      <c r="AI44" s="136"/>
      <c r="AJ44" s="136"/>
      <c r="AK44" s="136"/>
      <c r="AL44" s="136"/>
      <c r="AM44" s="136"/>
      <c r="AN44" s="136"/>
      <c r="AO44" s="136"/>
      <c r="AP44" s="76"/>
      <c r="AQ44" s="77">
        <v>74</v>
      </c>
      <c r="AR44" s="82">
        <f>'PF144'!V83</f>
        <v>0</v>
      </c>
    </row>
    <row r="45" spans="2:44" ht="15" customHeight="1" x14ac:dyDescent="0.55000000000000004">
      <c r="B45" s="78"/>
      <c r="C45" s="83" t="str">
        <f>'PF144'!V45</f>
        <v>VDDIO_1</v>
      </c>
      <c r="D45" s="75">
        <v>36</v>
      </c>
      <c r="E45" s="76"/>
      <c r="F45" s="136"/>
      <c r="G45" s="136"/>
      <c r="H45" s="136"/>
      <c r="I45" s="136"/>
      <c r="J45" s="136"/>
      <c r="K45" s="136"/>
      <c r="L45" s="136"/>
      <c r="M45" s="136"/>
      <c r="N45" s="136"/>
      <c r="O45" s="136"/>
      <c r="P45" s="136"/>
      <c r="Q45" s="136"/>
      <c r="R45" s="136"/>
      <c r="S45" s="136"/>
      <c r="T45" s="136"/>
      <c r="U45" s="136"/>
      <c r="V45" s="136"/>
      <c r="W45" s="136"/>
      <c r="X45" s="136"/>
      <c r="Y45" s="136"/>
      <c r="Z45" s="136"/>
      <c r="AA45" s="136"/>
      <c r="AB45" s="136"/>
      <c r="AC45" s="136"/>
      <c r="AD45" s="136"/>
      <c r="AE45" s="136"/>
      <c r="AF45" s="136"/>
      <c r="AG45" s="136"/>
      <c r="AH45" s="136"/>
      <c r="AI45" s="136"/>
      <c r="AJ45" s="136"/>
      <c r="AK45" s="136"/>
      <c r="AL45" s="136"/>
      <c r="AM45" s="136"/>
      <c r="AN45" s="136"/>
      <c r="AO45" s="136"/>
      <c r="AP45" s="76"/>
      <c r="AQ45" s="77">
        <v>73</v>
      </c>
      <c r="AR45" s="84" t="str">
        <f>'PF144'!V82</f>
        <v>VSSD</v>
      </c>
    </row>
    <row r="46" spans="2:44" ht="15" customHeight="1" x14ac:dyDescent="0.55000000000000004">
      <c r="D46" s="75"/>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7"/>
    </row>
    <row r="47" spans="2:44" ht="15" customHeight="1" x14ac:dyDescent="0.55000000000000004">
      <c r="D47" s="74"/>
      <c r="E47" s="85"/>
      <c r="F47" s="85">
        <v>37</v>
      </c>
      <c r="G47" s="85">
        <v>38</v>
      </c>
      <c r="H47" s="85">
        <v>39</v>
      </c>
      <c r="I47" s="85">
        <v>40</v>
      </c>
      <c r="J47" s="85">
        <v>41</v>
      </c>
      <c r="K47" s="85">
        <v>42</v>
      </c>
      <c r="L47" s="85">
        <v>43</v>
      </c>
      <c r="M47" s="85">
        <v>44</v>
      </c>
      <c r="N47" s="85">
        <v>45</v>
      </c>
      <c r="O47" s="85">
        <v>46</v>
      </c>
      <c r="P47" s="85">
        <v>47</v>
      </c>
      <c r="Q47" s="85">
        <v>48</v>
      </c>
      <c r="R47" s="85">
        <v>49</v>
      </c>
      <c r="S47" s="85">
        <v>50</v>
      </c>
      <c r="T47" s="85">
        <v>51</v>
      </c>
      <c r="U47" s="85">
        <v>52</v>
      </c>
      <c r="V47" s="85">
        <v>53</v>
      </c>
      <c r="W47" s="85">
        <v>54</v>
      </c>
      <c r="X47" s="85">
        <v>55</v>
      </c>
      <c r="Y47" s="85">
        <v>56</v>
      </c>
      <c r="Z47" s="85">
        <v>57</v>
      </c>
      <c r="AA47" s="85">
        <v>58</v>
      </c>
      <c r="AB47" s="85">
        <v>59</v>
      </c>
      <c r="AC47" s="85">
        <v>60</v>
      </c>
      <c r="AD47" s="85">
        <v>61</v>
      </c>
      <c r="AE47" s="85">
        <v>62</v>
      </c>
      <c r="AF47" s="85">
        <v>63</v>
      </c>
      <c r="AG47" s="85">
        <v>64</v>
      </c>
      <c r="AH47" s="85">
        <v>65</v>
      </c>
      <c r="AI47" s="85">
        <v>66</v>
      </c>
      <c r="AJ47" s="85">
        <v>67</v>
      </c>
      <c r="AK47" s="85">
        <v>68</v>
      </c>
      <c r="AL47" s="85">
        <v>69</v>
      </c>
      <c r="AM47" s="85">
        <v>70</v>
      </c>
      <c r="AN47" s="85">
        <v>71</v>
      </c>
      <c r="AO47" s="85">
        <v>72</v>
      </c>
      <c r="AP47" s="85"/>
      <c r="AQ47" s="72"/>
    </row>
    <row r="48" spans="2:44" ht="105" customHeight="1" x14ac:dyDescent="0.55000000000000004">
      <c r="F48" s="86" t="str">
        <f>'PF144'!V46</f>
        <v>VSSD</v>
      </c>
      <c r="G48" s="86" t="str">
        <f>'PF144'!V47</f>
        <v>VSSD</v>
      </c>
      <c r="H48" s="87" t="str">
        <f>'PF144'!V48</f>
        <v>VCCD</v>
      </c>
      <c r="I48" s="88">
        <f>'PF144'!V49</f>
        <v>0</v>
      </c>
      <c r="J48" s="88">
        <f>'PF144'!V50</f>
        <v>0</v>
      </c>
      <c r="K48" s="88">
        <f>'PF144'!V51</f>
        <v>0</v>
      </c>
      <c r="L48" s="88">
        <f>'PF144'!V52</f>
        <v>0</v>
      </c>
      <c r="M48" s="88">
        <f>'PF144'!V53</f>
        <v>0</v>
      </c>
      <c r="N48" s="88">
        <f>'PF144'!V54</f>
        <v>0</v>
      </c>
      <c r="O48" s="88">
        <f>'PF144'!V55</f>
        <v>0</v>
      </c>
      <c r="P48" s="88">
        <f>'PF144'!V56</f>
        <v>0</v>
      </c>
      <c r="Q48" s="88">
        <f>'PF144'!V57</f>
        <v>0</v>
      </c>
      <c r="R48" s="88">
        <f>'PF144'!V58</f>
        <v>0</v>
      </c>
      <c r="S48" s="88">
        <f>'PF144'!V59</f>
        <v>0</v>
      </c>
      <c r="T48" s="88">
        <f>'PF144'!V60</f>
        <v>0</v>
      </c>
      <c r="U48" s="88">
        <f>'PF144'!V61</f>
        <v>0</v>
      </c>
      <c r="V48" s="88">
        <f>'PF144'!V62</f>
        <v>0</v>
      </c>
      <c r="W48" s="88">
        <f>'PF144'!V63</f>
        <v>0</v>
      </c>
      <c r="X48" s="88">
        <f>'PF144'!V64</f>
        <v>0</v>
      </c>
      <c r="Y48" s="88">
        <f>'PF144'!V65</f>
        <v>0</v>
      </c>
      <c r="Z48" s="88">
        <f>'PF144'!V66</f>
        <v>0</v>
      </c>
      <c r="AA48" s="88">
        <f>'PF144'!V67</f>
        <v>0</v>
      </c>
      <c r="AB48" s="88">
        <f>'PF144'!V68</f>
        <v>0</v>
      </c>
      <c r="AC48" s="88">
        <f>'PF144'!V69</f>
        <v>0</v>
      </c>
      <c r="AD48" s="88">
        <f>'PF144'!V70</f>
        <v>0</v>
      </c>
      <c r="AE48" s="89" t="str">
        <f>'PF144'!V71</f>
        <v>VREFL</v>
      </c>
      <c r="AF48" s="86" t="str">
        <f>'PF144'!V72</f>
        <v>VSSA</v>
      </c>
      <c r="AG48" s="87" t="str">
        <f>'PF144'!V73</f>
        <v>VDDA</v>
      </c>
      <c r="AH48" s="89" t="str">
        <f>'PF144'!V74</f>
        <v>VREFH</v>
      </c>
      <c r="AI48" s="88">
        <f>'PF144'!V75</f>
        <v>0</v>
      </c>
      <c r="AJ48" s="88">
        <f>'PF144'!V76</f>
        <v>0</v>
      </c>
      <c r="AK48" s="88">
        <f>'PF144'!V77</f>
        <v>0</v>
      </c>
      <c r="AL48" s="88">
        <f>'PF144'!V78</f>
        <v>0</v>
      </c>
      <c r="AM48" s="88">
        <f>'PF144'!V79</f>
        <v>0</v>
      </c>
      <c r="AN48" s="88">
        <f>'PF144'!V80</f>
        <v>0</v>
      </c>
      <c r="AO48" s="87" t="str">
        <f>'PF144'!V81</f>
        <v>VDDIO_2</v>
      </c>
    </row>
    <row r="59" spans="3:44" ht="14.5" x14ac:dyDescent="0.55000000000000004">
      <c r="C59" s="137" t="s">
        <v>1216</v>
      </c>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37"/>
      <c r="AQ59" s="137"/>
      <c r="AR59" s="137"/>
    </row>
    <row r="60" spans="3:44" ht="181.5" customHeight="1" x14ac:dyDescent="0.55000000000000004">
      <c r="C60" s="119" t="s">
        <v>1217</v>
      </c>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row>
  </sheetData>
  <sheetProtection algorithmName="SHA-512" hashValue="oochZ3579unqiM4OttQcySKVJIwdodesSbTHl5ei+kSvt4GGO1uV8cRI9lbYpnfQfFrLLRXyHG6ziPGw7rdo1Q==" saltValue="J3WK2NwRy1x9TkqWcD1Keg==" spinCount="100000" sheet="1" objects="1" scenarios="1" formatCells="0" formatColumns="0" formatRows="0" insertColumns="0" insertRows="0" insertHyperlinks="0" deleteColumns="0" deleteRows="0" selectLockedCells="1" sort="0" autoFilter="0" pivotTables="0"/>
  <mergeCells count="3">
    <mergeCell ref="F10:AO45"/>
    <mergeCell ref="C59:AR59"/>
    <mergeCell ref="C60:AR60"/>
  </mergeCells>
  <phoneticPr fontId="3"/>
  <pageMargins left="0.7" right="0.7" top="0.75" bottom="0.75" header="0.3" footer="0.3"/>
  <pageSetup paperSize="9" orientation="portrait" r:id="rId1"/>
  <ignoredErrors>
    <ignoredError sqref="F7:AO9 F46:AO48 F10:AO45 C10:E45 AP10:AR45" unlockedFormula="1"/>
  </ignoredError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DE7C6-2883-48F7-B175-526F98DD71AD}">
  <dimension ref="A1:AF219"/>
  <sheetViews>
    <sheetView zoomScaleNormal="100" workbookViewId="0">
      <pane xSplit="3" ySplit="9" topLeftCell="Z10" activePane="bottomRight" state="frozen"/>
      <selection pane="topRight" activeCell="D1" sqref="D1"/>
      <selection pane="bottomLeft" activeCell="A6" sqref="A6"/>
      <selection pane="bottomRight" activeCell="V54" sqref="V54"/>
    </sheetView>
  </sheetViews>
  <sheetFormatPr defaultColWidth="8.6640625" defaultRowHeight="10" x14ac:dyDescent="0.55000000000000004"/>
  <cols>
    <col min="1" max="1" width="4.58203125" style="4" customWidth="1"/>
    <col min="2" max="2" width="8.83203125" style="4"/>
    <col min="3" max="3" width="3.58203125" style="4" customWidth="1"/>
    <col min="4" max="4" width="9.58203125" style="4" customWidth="1"/>
    <col min="5" max="5" width="8.83203125" style="4" customWidth="1"/>
    <col min="6" max="7" width="11.08203125" style="4" customWidth="1"/>
    <col min="8" max="8" width="11.6640625" style="4" customWidth="1"/>
    <col min="9" max="9" width="11.5" style="4" customWidth="1"/>
    <col min="10" max="10" width="11.1640625" style="4" customWidth="1"/>
    <col min="11" max="11" width="12.08203125" style="4" customWidth="1"/>
    <col min="12" max="12" width="11.83203125" style="4" customWidth="1"/>
    <col min="13" max="16" width="8.83203125" style="4" customWidth="1"/>
    <col min="17" max="20" width="14.08203125" style="4" customWidth="1"/>
    <col min="21" max="21" width="17.6640625" style="4" customWidth="1"/>
    <col min="22" max="22" width="16.4140625" style="4" bestFit="1" customWidth="1"/>
    <col min="23" max="23" width="16.4140625" style="4" customWidth="1"/>
    <col min="24" max="25" width="24.83203125" style="4" customWidth="1"/>
    <col min="26" max="26" width="7.83203125" style="4" bestFit="1" customWidth="1"/>
    <col min="27" max="27" width="6.83203125" style="4" bestFit="1" customWidth="1"/>
    <col min="28" max="29" width="12.58203125" style="4" customWidth="1"/>
    <col min="30" max="35" width="8.58203125" style="4" customWidth="1"/>
    <col min="36" max="16384" width="8.6640625" style="4"/>
  </cols>
  <sheetData>
    <row r="1" spans="1:32" ht="25" customHeight="1" x14ac:dyDescent="0.55000000000000004">
      <c r="A1" s="1" t="s">
        <v>361</v>
      </c>
      <c r="AD1" s="23"/>
      <c r="AE1" s="23"/>
      <c r="AF1" s="23"/>
    </row>
    <row r="2" spans="1:32" ht="25" customHeight="1" x14ac:dyDescent="0.55000000000000004">
      <c r="A2" s="1"/>
      <c r="AD2" s="23"/>
      <c r="AE2" s="23"/>
      <c r="AF2" s="23"/>
    </row>
    <row r="3" spans="1:32" ht="25" customHeight="1" x14ac:dyDescent="0.55000000000000004">
      <c r="A3" s="1"/>
      <c r="AD3" s="23"/>
      <c r="AE3" s="23"/>
      <c r="AF3" s="23"/>
    </row>
    <row r="4" spans="1:32" ht="25" customHeight="1" x14ac:dyDescent="0.55000000000000004">
      <c r="A4" s="1"/>
      <c r="AD4" s="23"/>
      <c r="AE4" s="23"/>
      <c r="AF4" s="23"/>
    </row>
    <row r="5" spans="1:32" ht="25" customHeight="1" x14ac:dyDescent="0.55000000000000004">
      <c r="A5" s="1"/>
      <c r="AC5" s="5"/>
      <c r="AD5" s="23"/>
      <c r="AE5" s="23"/>
      <c r="AF5" s="24" t="s">
        <v>1185</v>
      </c>
    </row>
    <row r="6" spans="1:32" x14ac:dyDescent="0.55000000000000004">
      <c r="B6" s="4" t="s">
        <v>519</v>
      </c>
      <c r="E6" s="4" t="s">
        <v>529</v>
      </c>
      <c r="F6" s="4" t="s">
        <v>529</v>
      </c>
      <c r="G6" s="4" t="s">
        <v>520</v>
      </c>
      <c r="H6" s="4" t="s">
        <v>520</v>
      </c>
      <c r="I6" s="4" t="s">
        <v>529</v>
      </c>
      <c r="J6" s="4" t="s">
        <v>521</v>
      </c>
      <c r="K6" s="4" t="s">
        <v>522</v>
      </c>
      <c r="L6" s="4" t="s">
        <v>523</v>
      </c>
      <c r="M6" s="4" t="s">
        <v>524</v>
      </c>
      <c r="N6" s="4" t="s">
        <v>525</v>
      </c>
      <c r="O6" s="4" t="s">
        <v>1130</v>
      </c>
      <c r="P6" s="4" t="s">
        <v>526</v>
      </c>
      <c r="Q6" s="4" t="s">
        <v>526</v>
      </c>
      <c r="R6" s="4" t="s">
        <v>522</v>
      </c>
      <c r="S6" s="4" t="s">
        <v>527</v>
      </c>
      <c r="T6" s="4" t="s">
        <v>523</v>
      </c>
      <c r="U6" s="4" t="s">
        <v>528</v>
      </c>
    </row>
    <row r="7" spans="1:32" ht="10.25" customHeight="1" x14ac:dyDescent="0.55000000000000004">
      <c r="B7" s="138" t="s">
        <v>1129</v>
      </c>
      <c r="C7" s="147" t="s">
        <v>252</v>
      </c>
      <c r="D7" s="141" t="s">
        <v>373</v>
      </c>
      <c r="E7" s="6"/>
      <c r="F7" s="7"/>
      <c r="G7" s="7"/>
      <c r="H7" s="7"/>
      <c r="I7" s="121" t="s">
        <v>1</v>
      </c>
      <c r="J7" s="121"/>
      <c r="K7" s="121"/>
      <c r="L7" s="7"/>
      <c r="M7" s="7"/>
      <c r="N7" s="7"/>
      <c r="O7" s="7"/>
      <c r="P7" s="7"/>
      <c r="Q7" s="8"/>
      <c r="R7" s="144" t="s">
        <v>346</v>
      </c>
      <c r="S7" s="121"/>
      <c r="T7" s="145"/>
      <c r="U7" s="138" t="s">
        <v>264</v>
      </c>
      <c r="V7" s="111" t="s">
        <v>262</v>
      </c>
      <c r="W7" s="112"/>
      <c r="X7" s="112"/>
      <c r="Y7" s="101" t="s">
        <v>1187</v>
      </c>
      <c r="Z7" s="114" t="s">
        <v>545</v>
      </c>
      <c r="AA7" s="115"/>
      <c r="AB7" s="106" t="s">
        <v>372</v>
      </c>
      <c r="AC7" s="107"/>
    </row>
    <row r="8" spans="1:32" ht="10.25" customHeight="1" x14ac:dyDescent="0.55000000000000004">
      <c r="B8" s="139"/>
      <c r="C8" s="148"/>
      <c r="D8" s="142"/>
      <c r="E8" s="67" t="s">
        <v>348</v>
      </c>
      <c r="F8" s="67" t="s">
        <v>2</v>
      </c>
      <c r="G8" s="67" t="s">
        <v>3</v>
      </c>
      <c r="H8" s="67" t="s">
        <v>4</v>
      </c>
      <c r="I8" s="67" t="s">
        <v>5</v>
      </c>
      <c r="J8" s="67" t="s">
        <v>6</v>
      </c>
      <c r="K8" s="67" t="s">
        <v>7</v>
      </c>
      <c r="L8" s="67" t="s">
        <v>8</v>
      </c>
      <c r="M8" s="67" t="s">
        <v>9</v>
      </c>
      <c r="N8" s="67" t="s">
        <v>10</v>
      </c>
      <c r="O8" s="67" t="s">
        <v>1128</v>
      </c>
      <c r="P8" s="67" t="s">
        <v>11</v>
      </c>
      <c r="Q8" s="67" t="s">
        <v>12</v>
      </c>
      <c r="R8" s="67" t="s">
        <v>265</v>
      </c>
      <c r="S8" s="67" t="s">
        <v>266</v>
      </c>
      <c r="T8" s="67" t="s">
        <v>267</v>
      </c>
      <c r="U8" s="139"/>
      <c r="V8" s="108" t="s">
        <v>263</v>
      </c>
      <c r="W8" s="108" t="s">
        <v>1186</v>
      </c>
      <c r="X8" s="109" t="s">
        <v>370</v>
      </c>
      <c r="Y8" s="102"/>
      <c r="Z8" s="116" t="s">
        <v>544</v>
      </c>
      <c r="AA8" s="116" t="s">
        <v>542</v>
      </c>
      <c r="AB8" s="104" t="s">
        <v>1183</v>
      </c>
      <c r="AC8" s="104" t="s">
        <v>1184</v>
      </c>
    </row>
    <row r="9" spans="1:32" ht="10.25" customHeight="1" x14ac:dyDescent="0.55000000000000004">
      <c r="B9" s="146"/>
      <c r="C9" s="149"/>
      <c r="D9" s="143"/>
      <c r="E9" s="67" t="s">
        <v>349</v>
      </c>
      <c r="F9" s="67" t="s">
        <v>13</v>
      </c>
      <c r="G9" s="67" t="s">
        <v>14</v>
      </c>
      <c r="H9" s="67" t="s">
        <v>15</v>
      </c>
      <c r="I9" s="67" t="s">
        <v>16</v>
      </c>
      <c r="J9" s="67" t="s">
        <v>17</v>
      </c>
      <c r="K9" s="67" t="s">
        <v>18</v>
      </c>
      <c r="L9" s="67" t="s">
        <v>19</v>
      </c>
      <c r="M9" s="67" t="s">
        <v>20</v>
      </c>
      <c r="N9" s="67" t="s">
        <v>21</v>
      </c>
      <c r="O9" s="67" t="s">
        <v>22</v>
      </c>
      <c r="P9" s="67" t="s">
        <v>1126</v>
      </c>
      <c r="Q9" s="67" t="s">
        <v>1127</v>
      </c>
      <c r="R9" s="67" t="s">
        <v>347</v>
      </c>
      <c r="S9" s="67" t="s">
        <v>268</v>
      </c>
      <c r="T9" s="67" t="s">
        <v>269</v>
      </c>
      <c r="U9" s="140"/>
      <c r="V9" s="108"/>
      <c r="W9" s="108"/>
      <c r="X9" s="110"/>
      <c r="Y9" s="103"/>
      <c r="Z9" s="117"/>
      <c r="AA9" s="117"/>
      <c r="AB9" s="105"/>
      <c r="AC9" s="105"/>
    </row>
    <row r="10" spans="1:32" x14ac:dyDescent="0.2">
      <c r="B10" s="10" t="s">
        <v>253</v>
      </c>
      <c r="C10" s="11">
        <v>1</v>
      </c>
      <c r="D10" s="12" t="s">
        <v>272</v>
      </c>
      <c r="E10" s="12" t="s">
        <v>272</v>
      </c>
      <c r="F10" s="12" t="s">
        <v>272</v>
      </c>
      <c r="G10" s="12" t="s">
        <v>272</v>
      </c>
      <c r="H10" s="12" t="s">
        <v>272</v>
      </c>
      <c r="I10" s="12" t="s">
        <v>272</v>
      </c>
      <c r="J10" s="12" t="s">
        <v>272</v>
      </c>
      <c r="K10" s="12" t="s">
        <v>272</v>
      </c>
      <c r="L10" s="12" t="s">
        <v>272</v>
      </c>
      <c r="M10" s="12" t="s">
        <v>272</v>
      </c>
      <c r="N10" s="12" t="s">
        <v>272</v>
      </c>
      <c r="O10" s="12" t="s">
        <v>272</v>
      </c>
      <c r="P10" s="12" t="s">
        <v>272</v>
      </c>
      <c r="Q10" s="12" t="s">
        <v>272</v>
      </c>
      <c r="R10" s="12" t="s">
        <v>272</v>
      </c>
      <c r="S10" s="12" t="s">
        <v>272</v>
      </c>
      <c r="T10" s="12" t="s">
        <v>272</v>
      </c>
      <c r="U10" s="12" t="s">
        <v>272</v>
      </c>
      <c r="V10" s="10" t="s">
        <v>253</v>
      </c>
      <c r="W10" s="12" t="s">
        <v>272</v>
      </c>
      <c r="X10" s="25"/>
      <c r="Y10" s="13" t="s">
        <v>531</v>
      </c>
      <c r="Z10" s="90" t="s">
        <v>543</v>
      </c>
      <c r="AA10" s="90" t="s">
        <v>543</v>
      </c>
      <c r="AB10" s="13"/>
      <c r="AC10" s="13"/>
    </row>
    <row r="11" spans="1:32" x14ac:dyDescent="0.2">
      <c r="B11" s="14" t="s">
        <v>23</v>
      </c>
      <c r="C11" s="14">
        <v>2</v>
      </c>
      <c r="D11" s="15" t="s">
        <v>23</v>
      </c>
      <c r="E11" s="14" t="s">
        <v>564</v>
      </c>
      <c r="F11" s="14" t="s">
        <v>565</v>
      </c>
      <c r="G11" s="14" t="s">
        <v>566</v>
      </c>
      <c r="H11" s="14" t="s">
        <v>567</v>
      </c>
      <c r="I11" s="12" t="s">
        <v>272</v>
      </c>
      <c r="J11" s="14" t="s">
        <v>568</v>
      </c>
      <c r="K11" s="14" t="s">
        <v>569</v>
      </c>
      <c r="L11" s="12" t="s">
        <v>272</v>
      </c>
      <c r="M11" s="14" t="s">
        <v>24</v>
      </c>
      <c r="N11" s="12" t="s">
        <v>272</v>
      </c>
      <c r="O11" s="12" t="s">
        <v>272</v>
      </c>
      <c r="P11" s="12" t="s">
        <v>272</v>
      </c>
      <c r="Q11" s="12" t="s">
        <v>272</v>
      </c>
      <c r="R11" s="12" t="s">
        <v>272</v>
      </c>
      <c r="S11" s="12" t="s">
        <v>272</v>
      </c>
      <c r="T11" s="14" t="s">
        <v>1111</v>
      </c>
      <c r="U11" s="12" t="s">
        <v>272</v>
      </c>
      <c r="V11" s="91"/>
      <c r="W11" s="12" t="s">
        <v>272</v>
      </c>
      <c r="X11" s="25" t="str">
        <f>_xlfn.IFS(AND(COUNTIF(V11,"SCB0*")=1, 'PCH100'!D60&gt;=2), "See the Notice *2", AND(COUNTIF(V11,"SCB7*")=1, 'PCH100'!K60&gt;=2), "See the Notice *2", TRUE, "")</f>
        <v/>
      </c>
      <c r="Y11" s="13"/>
      <c r="Z11" s="90" t="s">
        <v>270</v>
      </c>
      <c r="AA11" s="90" t="s">
        <v>254</v>
      </c>
      <c r="AB11" s="13"/>
      <c r="AC11" s="13"/>
    </row>
    <row r="12" spans="1:32" x14ac:dyDescent="0.2">
      <c r="B12" s="14" t="s">
        <v>25</v>
      </c>
      <c r="C12" s="14">
        <v>3</v>
      </c>
      <c r="D12" s="15" t="s">
        <v>25</v>
      </c>
      <c r="E12" s="14" t="s">
        <v>570</v>
      </c>
      <c r="F12" s="14" t="s">
        <v>571</v>
      </c>
      <c r="G12" s="14" t="s">
        <v>572</v>
      </c>
      <c r="H12" s="14" t="s">
        <v>573</v>
      </c>
      <c r="I12" s="12" t="s">
        <v>272</v>
      </c>
      <c r="J12" s="14" t="s">
        <v>574</v>
      </c>
      <c r="K12" s="14" t="s">
        <v>575</v>
      </c>
      <c r="L12" s="12" t="s">
        <v>272</v>
      </c>
      <c r="M12" s="14" t="s">
        <v>26</v>
      </c>
      <c r="N12" s="12" t="s">
        <v>272</v>
      </c>
      <c r="O12" s="12" t="s">
        <v>272</v>
      </c>
      <c r="P12" s="12" t="s">
        <v>272</v>
      </c>
      <c r="Q12" s="12" t="s">
        <v>272</v>
      </c>
      <c r="R12" s="12" t="s">
        <v>272</v>
      </c>
      <c r="S12" s="12" t="s">
        <v>272</v>
      </c>
      <c r="T12" s="14" t="s">
        <v>1112</v>
      </c>
      <c r="U12" s="12" t="s">
        <v>272</v>
      </c>
      <c r="V12" s="18"/>
      <c r="W12" s="12" t="s">
        <v>272</v>
      </c>
      <c r="X12" s="25" t="str">
        <f>_xlfn.IFS(AND(COUNTIF(V12,"SCB0*")=1, 'PCH100'!D60&gt;=2), "See the Notice *2", AND(COUNTIF(V12,"SCB7*")=1, 'PCH100'!K60&gt;=2), "See the Notice *2", TRUE, "")</f>
        <v/>
      </c>
      <c r="Y12" s="13"/>
      <c r="Z12" s="90" t="s">
        <v>270</v>
      </c>
      <c r="AA12" s="90" t="s">
        <v>254</v>
      </c>
      <c r="AB12" s="13"/>
      <c r="AC12" s="13"/>
    </row>
    <row r="13" spans="1:32" x14ac:dyDescent="0.2">
      <c r="B13" s="14" t="s">
        <v>27</v>
      </c>
      <c r="C13" s="14">
        <v>4</v>
      </c>
      <c r="D13" s="15" t="s">
        <v>27</v>
      </c>
      <c r="E13" s="14" t="s">
        <v>576</v>
      </c>
      <c r="F13" s="14" t="s">
        <v>577</v>
      </c>
      <c r="G13" s="14" t="s">
        <v>578</v>
      </c>
      <c r="H13" s="14" t="s">
        <v>579</v>
      </c>
      <c r="I13" s="12" t="s">
        <v>272</v>
      </c>
      <c r="J13" s="14" t="s">
        <v>580</v>
      </c>
      <c r="K13" s="12" t="s">
        <v>272</v>
      </c>
      <c r="L13" s="12" t="s">
        <v>272</v>
      </c>
      <c r="M13" s="14" t="s">
        <v>28</v>
      </c>
      <c r="N13" s="14" t="s">
        <v>29</v>
      </c>
      <c r="O13" s="12" t="s">
        <v>272</v>
      </c>
      <c r="P13" s="12" t="s">
        <v>272</v>
      </c>
      <c r="Q13" s="12" t="s">
        <v>272</v>
      </c>
      <c r="R13" s="14" t="s">
        <v>1113</v>
      </c>
      <c r="S13" s="12" t="s">
        <v>272</v>
      </c>
      <c r="T13" s="14" t="s">
        <v>1114</v>
      </c>
      <c r="U13" s="12" t="s">
        <v>272</v>
      </c>
      <c r="V13" s="18"/>
      <c r="W13" s="12" t="s">
        <v>272</v>
      </c>
      <c r="X13" s="25" t="str">
        <f>_xlfn.IFS(AND(COUNTIF(V13,"SCB*")=1, 'PCH100'!D60&gt;=2), "See the Notice *2", TRUE, "")</f>
        <v/>
      </c>
      <c r="Y13" s="13"/>
      <c r="Z13" s="90" t="s">
        <v>270</v>
      </c>
      <c r="AA13" s="90" t="s">
        <v>254</v>
      </c>
      <c r="AB13" s="13"/>
      <c r="AC13" s="13"/>
    </row>
    <row r="14" spans="1:32" x14ac:dyDescent="0.2">
      <c r="B14" s="14" t="s">
        <v>30</v>
      </c>
      <c r="C14" s="14">
        <v>5</v>
      </c>
      <c r="D14" s="15" t="s">
        <v>30</v>
      </c>
      <c r="E14" s="14" t="s">
        <v>581</v>
      </c>
      <c r="F14" s="14" t="s">
        <v>582</v>
      </c>
      <c r="G14" s="14" t="s">
        <v>583</v>
      </c>
      <c r="H14" s="14" t="s">
        <v>584</v>
      </c>
      <c r="I14" s="12" t="s">
        <v>272</v>
      </c>
      <c r="J14" s="14" t="s">
        <v>585</v>
      </c>
      <c r="K14" s="12" t="s">
        <v>272</v>
      </c>
      <c r="L14" s="12" t="s">
        <v>272</v>
      </c>
      <c r="M14" s="12" t="s">
        <v>272</v>
      </c>
      <c r="N14" s="14" t="s">
        <v>31</v>
      </c>
      <c r="O14" s="12" t="s">
        <v>272</v>
      </c>
      <c r="P14" s="12" t="s">
        <v>272</v>
      </c>
      <c r="Q14" s="12" t="s">
        <v>272</v>
      </c>
      <c r="R14" s="14" t="s">
        <v>1115</v>
      </c>
      <c r="S14" s="12" t="s">
        <v>272</v>
      </c>
      <c r="T14" s="14" t="s">
        <v>1116</v>
      </c>
      <c r="U14" s="12" t="s">
        <v>272</v>
      </c>
      <c r="V14" s="18"/>
      <c r="W14" s="12" t="s">
        <v>272</v>
      </c>
      <c r="X14" s="25" t="str">
        <f>_xlfn.IFS(AND(COUNTIF(V14,"SCB*")=1, 'PCH100'!D60&gt;=2), "See the Notice *2", TRUE, "")</f>
        <v/>
      </c>
      <c r="Y14" s="13"/>
      <c r="Z14" s="90" t="s">
        <v>270</v>
      </c>
      <c r="AA14" s="90" t="s">
        <v>254</v>
      </c>
      <c r="AB14" s="13"/>
      <c r="AC14" s="13"/>
    </row>
    <row r="15" spans="1:32" x14ac:dyDescent="0.2">
      <c r="B15" s="14" t="s">
        <v>38</v>
      </c>
      <c r="C15" s="14">
        <v>6</v>
      </c>
      <c r="D15" s="15" t="s">
        <v>38</v>
      </c>
      <c r="E15" s="14" t="s">
        <v>606</v>
      </c>
      <c r="F15" s="14" t="s">
        <v>607</v>
      </c>
      <c r="G15" s="14" t="s">
        <v>608</v>
      </c>
      <c r="H15" s="14" t="s">
        <v>609</v>
      </c>
      <c r="I15" s="14" t="s">
        <v>610</v>
      </c>
      <c r="J15" s="14" t="s">
        <v>611</v>
      </c>
      <c r="K15" s="12" t="s">
        <v>272</v>
      </c>
      <c r="L15" s="14" t="s">
        <v>612</v>
      </c>
      <c r="M15" s="14" t="s">
        <v>39</v>
      </c>
      <c r="N15" s="14" t="s">
        <v>40</v>
      </c>
      <c r="O15" s="12" t="s">
        <v>272</v>
      </c>
      <c r="P15" s="14" t="s">
        <v>41</v>
      </c>
      <c r="Q15" s="12" t="s">
        <v>272</v>
      </c>
      <c r="R15" s="12" t="s">
        <v>272</v>
      </c>
      <c r="S15" s="14" t="s">
        <v>273</v>
      </c>
      <c r="T15" s="14" t="s">
        <v>1123</v>
      </c>
      <c r="U15" s="12" t="s">
        <v>272</v>
      </c>
      <c r="V15" s="18"/>
      <c r="W15" s="12" t="s">
        <v>272</v>
      </c>
      <c r="X15" s="25" t="str">
        <f>_xlfn.IFS(AND(COUNTIF(V15,"SCB0*")=1, 'PCH100'!D60&gt;=2), "See the Notice *2", AND(COUNTIF(V15,"SCB7*")=1, 'PCH100'!K60&gt;=2), "See the Notice *2", TRUE, "")</f>
        <v/>
      </c>
      <c r="Y15" s="13"/>
      <c r="Z15" s="90" t="s">
        <v>271</v>
      </c>
      <c r="AA15" s="90" t="s">
        <v>254</v>
      </c>
      <c r="AB15" s="13"/>
      <c r="AC15" s="13"/>
    </row>
    <row r="16" spans="1:32" x14ac:dyDescent="0.2">
      <c r="B16" s="14" t="s">
        <v>42</v>
      </c>
      <c r="C16" s="14">
        <v>7</v>
      </c>
      <c r="D16" s="15" t="s">
        <v>42</v>
      </c>
      <c r="E16" s="14" t="s">
        <v>613</v>
      </c>
      <c r="F16" s="14" t="s">
        <v>614</v>
      </c>
      <c r="G16" s="14" t="s">
        <v>615</v>
      </c>
      <c r="H16" s="14" t="s">
        <v>616</v>
      </c>
      <c r="I16" s="14" t="s">
        <v>617</v>
      </c>
      <c r="J16" s="14" t="s">
        <v>618</v>
      </c>
      <c r="K16" s="14" t="s">
        <v>619</v>
      </c>
      <c r="L16" s="14" t="s">
        <v>620</v>
      </c>
      <c r="M16" s="14" t="s">
        <v>43</v>
      </c>
      <c r="N16" s="14" t="s">
        <v>44</v>
      </c>
      <c r="O16" s="12" t="s">
        <v>272</v>
      </c>
      <c r="P16" s="14" t="s">
        <v>45</v>
      </c>
      <c r="Q16" s="12" t="s">
        <v>272</v>
      </c>
      <c r="R16" s="12" t="s">
        <v>272</v>
      </c>
      <c r="S16" s="12" t="s">
        <v>272</v>
      </c>
      <c r="T16" s="14" t="s">
        <v>1124</v>
      </c>
      <c r="U16" s="12" t="s">
        <v>272</v>
      </c>
      <c r="V16" s="18"/>
      <c r="W16" s="12" t="s">
        <v>272</v>
      </c>
      <c r="X16" s="25" t="str">
        <f>_xlfn.IFS(AND(COUNTIF(V16,"SCB0*")=1, 'PCH100'!D60&gt;=2), "See the Notice *2", AND(COUNTIF(V16,"SCB7*")=1, 'PCH100'!K60&gt;=2), "See the Notice *2", TRUE, "")</f>
        <v/>
      </c>
      <c r="Y16" s="13"/>
      <c r="Z16" s="90" t="s">
        <v>271</v>
      </c>
      <c r="AA16" s="90" t="s">
        <v>254</v>
      </c>
      <c r="AB16" s="13"/>
      <c r="AC16" s="13"/>
    </row>
    <row r="17" spans="2:29" x14ac:dyDescent="0.2">
      <c r="B17" s="14" t="s">
        <v>46</v>
      </c>
      <c r="C17" s="14">
        <v>8</v>
      </c>
      <c r="D17" s="15" t="s">
        <v>46</v>
      </c>
      <c r="E17" s="14" t="s">
        <v>621</v>
      </c>
      <c r="F17" s="14" t="s">
        <v>622</v>
      </c>
      <c r="G17" s="14" t="s">
        <v>623</v>
      </c>
      <c r="H17" s="14" t="s">
        <v>624</v>
      </c>
      <c r="I17" s="14" t="s">
        <v>625</v>
      </c>
      <c r="J17" s="14" t="s">
        <v>626</v>
      </c>
      <c r="K17" s="14" t="s">
        <v>627</v>
      </c>
      <c r="L17" s="14" t="s">
        <v>628</v>
      </c>
      <c r="M17" s="14" t="s">
        <v>47</v>
      </c>
      <c r="N17" s="12" t="s">
        <v>272</v>
      </c>
      <c r="O17" s="12" t="s">
        <v>272</v>
      </c>
      <c r="P17" s="14" t="s">
        <v>48</v>
      </c>
      <c r="Q17" s="12" t="s">
        <v>272</v>
      </c>
      <c r="R17" s="12" t="s">
        <v>272</v>
      </c>
      <c r="S17" s="12" t="s">
        <v>272</v>
      </c>
      <c r="T17" s="14" t="s">
        <v>1125</v>
      </c>
      <c r="U17" s="12" t="s">
        <v>272</v>
      </c>
      <c r="V17" s="18"/>
      <c r="W17" s="12" t="s">
        <v>272</v>
      </c>
      <c r="X17" s="25" t="str">
        <f>_xlfn.IFS(AND(COUNTIF(V17,"SCB0*")=1, 'PCH100'!D60&gt;=2), "See the Notice *2", AND(COUNTIF(V17,"SCB7*")=1, 'PCH100'!K60&gt;=2), "See the Notice *2", TRUE, "")</f>
        <v/>
      </c>
      <c r="Y17" s="13"/>
      <c r="Z17" s="90" t="s">
        <v>271</v>
      </c>
      <c r="AA17" s="90" t="s">
        <v>254</v>
      </c>
      <c r="AB17" s="13"/>
      <c r="AC17" s="13"/>
    </row>
    <row r="18" spans="2:29" x14ac:dyDescent="0.2">
      <c r="B18" s="14" t="s">
        <v>49</v>
      </c>
      <c r="C18" s="14">
        <v>9</v>
      </c>
      <c r="D18" s="15" t="s">
        <v>49</v>
      </c>
      <c r="E18" s="14" t="s">
        <v>629</v>
      </c>
      <c r="F18" s="14" t="s">
        <v>630</v>
      </c>
      <c r="G18" s="14" t="s">
        <v>631</v>
      </c>
      <c r="H18" s="14" t="s">
        <v>632</v>
      </c>
      <c r="I18" s="14" t="s">
        <v>633</v>
      </c>
      <c r="J18" s="14" t="s">
        <v>634</v>
      </c>
      <c r="K18" s="12" t="s">
        <v>272</v>
      </c>
      <c r="L18" s="14" t="s">
        <v>635</v>
      </c>
      <c r="M18" s="14" t="s">
        <v>50</v>
      </c>
      <c r="N18" s="12" t="s">
        <v>272</v>
      </c>
      <c r="O18" s="12" t="s">
        <v>272</v>
      </c>
      <c r="P18" s="14" t="s">
        <v>51</v>
      </c>
      <c r="Q18" s="12" t="s">
        <v>272</v>
      </c>
      <c r="R18" s="12" t="s">
        <v>272</v>
      </c>
      <c r="S18" s="12" t="s">
        <v>272</v>
      </c>
      <c r="T18" s="12" t="s">
        <v>272</v>
      </c>
      <c r="U18" s="12" t="s">
        <v>272</v>
      </c>
      <c r="V18" s="18"/>
      <c r="W18" s="12" t="s">
        <v>272</v>
      </c>
      <c r="X18" s="25" t="str">
        <f>_xlfn.IFS(AND(COUNTIF(V18,"SCB*")=1, 'PCH100'!K60&gt;=2), "See the Notice *2", TRUE, "")</f>
        <v/>
      </c>
      <c r="Y18" s="13"/>
      <c r="Z18" s="90" t="s">
        <v>271</v>
      </c>
      <c r="AA18" s="90" t="s">
        <v>254</v>
      </c>
      <c r="AB18" s="13"/>
      <c r="AC18" s="13"/>
    </row>
    <row r="19" spans="2:29" x14ac:dyDescent="0.2">
      <c r="B19" s="14" t="s">
        <v>58</v>
      </c>
      <c r="C19" s="14">
        <v>10</v>
      </c>
      <c r="D19" s="15" t="s">
        <v>58</v>
      </c>
      <c r="E19" s="14" t="s">
        <v>648</v>
      </c>
      <c r="F19" s="14" t="s">
        <v>649</v>
      </c>
      <c r="G19" s="14" t="s">
        <v>650</v>
      </c>
      <c r="H19" s="14" t="s">
        <v>651</v>
      </c>
      <c r="I19" s="14" t="s">
        <v>652</v>
      </c>
      <c r="J19" s="14" t="s">
        <v>653</v>
      </c>
      <c r="K19" s="12" t="s">
        <v>272</v>
      </c>
      <c r="L19" s="14" t="s">
        <v>654</v>
      </c>
      <c r="M19" s="12" t="s">
        <v>272</v>
      </c>
      <c r="N19" s="14" t="s">
        <v>655</v>
      </c>
      <c r="O19" s="12" t="s">
        <v>272</v>
      </c>
      <c r="P19" s="12" t="s">
        <v>272</v>
      </c>
      <c r="Q19" s="14" t="s">
        <v>59</v>
      </c>
      <c r="R19" s="12" t="s">
        <v>272</v>
      </c>
      <c r="S19" s="12" t="s">
        <v>272</v>
      </c>
      <c r="T19" s="12" t="s">
        <v>272</v>
      </c>
      <c r="U19" s="12" t="s">
        <v>272</v>
      </c>
      <c r="V19" s="18"/>
      <c r="W19" s="12" t="s">
        <v>272</v>
      </c>
      <c r="X19" s="25" t="str">
        <f>_xlfn.IFS(AND(COUNTIF(V19,"SCB*")=1, 'PCH100'!J60&gt;=2), "See the Notice *2", TRUE, "")</f>
        <v/>
      </c>
      <c r="Y19" s="13"/>
      <c r="Z19" s="90" t="s">
        <v>271</v>
      </c>
      <c r="AA19" s="90" t="s">
        <v>254</v>
      </c>
      <c r="AB19" s="13"/>
      <c r="AC19" s="13"/>
    </row>
    <row r="20" spans="2:29" x14ac:dyDescent="0.2">
      <c r="B20" s="14" t="s">
        <v>60</v>
      </c>
      <c r="C20" s="14">
        <v>11</v>
      </c>
      <c r="D20" s="15" t="s">
        <v>60</v>
      </c>
      <c r="E20" s="14" t="s">
        <v>656</v>
      </c>
      <c r="F20" s="14" t="s">
        <v>657</v>
      </c>
      <c r="G20" s="14" t="s">
        <v>658</v>
      </c>
      <c r="H20" s="14" t="s">
        <v>659</v>
      </c>
      <c r="I20" s="14" t="s">
        <v>660</v>
      </c>
      <c r="J20" s="14" t="s">
        <v>661</v>
      </c>
      <c r="K20" s="14" t="s">
        <v>662</v>
      </c>
      <c r="L20" s="14" t="s">
        <v>663</v>
      </c>
      <c r="M20" s="12" t="s">
        <v>272</v>
      </c>
      <c r="N20" s="14" t="s">
        <v>664</v>
      </c>
      <c r="O20" s="12" t="s">
        <v>272</v>
      </c>
      <c r="P20" s="12" t="s">
        <v>272</v>
      </c>
      <c r="Q20" s="14" t="s">
        <v>61</v>
      </c>
      <c r="R20" s="12" t="s">
        <v>272</v>
      </c>
      <c r="S20" s="12" t="s">
        <v>272</v>
      </c>
      <c r="T20" s="12" t="s">
        <v>272</v>
      </c>
      <c r="U20" s="12" t="s">
        <v>272</v>
      </c>
      <c r="V20" s="18"/>
      <c r="W20" s="12" t="s">
        <v>272</v>
      </c>
      <c r="X20" s="25" t="str">
        <f>_xlfn.IFS(AND(COUNTIF(V20,"SCB*")=1, 'PCH100'!J60&gt;=2), "See the Notice *2", TRUE, "")</f>
        <v/>
      </c>
      <c r="Y20" s="13"/>
      <c r="Z20" s="90" t="s">
        <v>271</v>
      </c>
      <c r="AA20" s="90" t="s">
        <v>254</v>
      </c>
      <c r="AB20" s="13"/>
      <c r="AC20" s="13"/>
    </row>
    <row r="21" spans="2:29" x14ac:dyDescent="0.2">
      <c r="B21" s="17" t="s">
        <v>254</v>
      </c>
      <c r="C21" s="92">
        <v>12</v>
      </c>
      <c r="D21" s="12" t="s">
        <v>272</v>
      </c>
      <c r="E21" s="12" t="s">
        <v>272</v>
      </c>
      <c r="F21" s="12" t="s">
        <v>272</v>
      </c>
      <c r="G21" s="12" t="s">
        <v>272</v>
      </c>
      <c r="H21" s="12" t="s">
        <v>272</v>
      </c>
      <c r="I21" s="12" t="s">
        <v>272</v>
      </c>
      <c r="J21" s="12" t="s">
        <v>272</v>
      </c>
      <c r="K21" s="12" t="s">
        <v>272</v>
      </c>
      <c r="L21" s="12" t="s">
        <v>272</v>
      </c>
      <c r="M21" s="12" t="s">
        <v>272</v>
      </c>
      <c r="N21" s="12" t="s">
        <v>272</v>
      </c>
      <c r="O21" s="12" t="s">
        <v>272</v>
      </c>
      <c r="P21" s="12" t="s">
        <v>272</v>
      </c>
      <c r="Q21" s="12" t="s">
        <v>272</v>
      </c>
      <c r="R21" s="12" t="s">
        <v>272</v>
      </c>
      <c r="S21" s="12" t="s">
        <v>272</v>
      </c>
      <c r="T21" s="12" t="s">
        <v>272</v>
      </c>
      <c r="U21" s="12" t="s">
        <v>272</v>
      </c>
      <c r="V21" s="17" t="s">
        <v>254</v>
      </c>
      <c r="W21" s="12" t="s">
        <v>272</v>
      </c>
      <c r="X21" s="25"/>
      <c r="Y21" s="13" t="s">
        <v>530</v>
      </c>
      <c r="Z21" s="90" t="s">
        <v>543</v>
      </c>
      <c r="AA21" s="90" t="s">
        <v>543</v>
      </c>
      <c r="AB21" s="13"/>
      <c r="AC21" s="13"/>
    </row>
    <row r="22" spans="2:29" x14ac:dyDescent="0.2">
      <c r="B22" s="10" t="s">
        <v>253</v>
      </c>
      <c r="C22" s="92">
        <v>13</v>
      </c>
      <c r="D22" s="12" t="s">
        <v>272</v>
      </c>
      <c r="E22" s="12" t="s">
        <v>272</v>
      </c>
      <c r="F22" s="12" t="s">
        <v>272</v>
      </c>
      <c r="G22" s="12" t="s">
        <v>272</v>
      </c>
      <c r="H22" s="12" t="s">
        <v>272</v>
      </c>
      <c r="I22" s="12" t="s">
        <v>272</v>
      </c>
      <c r="J22" s="12" t="s">
        <v>272</v>
      </c>
      <c r="K22" s="12" t="s">
        <v>272</v>
      </c>
      <c r="L22" s="12" t="s">
        <v>272</v>
      </c>
      <c r="M22" s="12" t="s">
        <v>272</v>
      </c>
      <c r="N22" s="12" t="s">
        <v>272</v>
      </c>
      <c r="O22" s="12" t="s">
        <v>272</v>
      </c>
      <c r="P22" s="12" t="s">
        <v>272</v>
      </c>
      <c r="Q22" s="12" t="s">
        <v>272</v>
      </c>
      <c r="R22" s="12" t="s">
        <v>272</v>
      </c>
      <c r="S22" s="12" t="s">
        <v>272</v>
      </c>
      <c r="T22" s="12" t="s">
        <v>272</v>
      </c>
      <c r="U22" s="12" t="s">
        <v>272</v>
      </c>
      <c r="V22" s="10" t="s">
        <v>253</v>
      </c>
      <c r="W22" s="12" t="s">
        <v>272</v>
      </c>
      <c r="X22" s="25"/>
      <c r="Y22" s="13" t="s">
        <v>531</v>
      </c>
      <c r="Z22" s="90" t="s">
        <v>543</v>
      </c>
      <c r="AA22" s="90" t="s">
        <v>543</v>
      </c>
      <c r="AB22" s="13"/>
      <c r="AC22" s="13"/>
    </row>
    <row r="23" spans="2:29" x14ac:dyDescent="0.2">
      <c r="B23" s="14" t="s">
        <v>79</v>
      </c>
      <c r="C23" s="14">
        <v>14</v>
      </c>
      <c r="D23" s="15" t="s">
        <v>79</v>
      </c>
      <c r="E23" s="14" t="s">
        <v>705</v>
      </c>
      <c r="F23" s="14" t="s">
        <v>607</v>
      </c>
      <c r="G23" s="14" t="s">
        <v>706</v>
      </c>
      <c r="H23" s="14" t="s">
        <v>609</v>
      </c>
      <c r="I23" s="12" t="s">
        <v>272</v>
      </c>
      <c r="J23" s="12" t="s">
        <v>272</v>
      </c>
      <c r="K23" s="12" t="s">
        <v>272</v>
      </c>
      <c r="L23" s="14" t="s">
        <v>707</v>
      </c>
      <c r="M23" s="14" t="s">
        <v>80</v>
      </c>
      <c r="N23" s="12" t="s">
        <v>272</v>
      </c>
      <c r="O23" s="12" t="s">
        <v>272</v>
      </c>
      <c r="P23" s="12" t="s">
        <v>272</v>
      </c>
      <c r="Q23" s="12" t="s">
        <v>272</v>
      </c>
      <c r="R23" s="12" t="s">
        <v>272</v>
      </c>
      <c r="S23" s="12" t="s">
        <v>272</v>
      </c>
      <c r="T23" s="12" t="s">
        <v>272</v>
      </c>
      <c r="U23" s="12" t="s">
        <v>272</v>
      </c>
      <c r="V23" s="18"/>
      <c r="W23" s="12" t="s">
        <v>272</v>
      </c>
      <c r="X23" s="25" t="str">
        <f>_xlfn.IFS(AND(COUNTIF(V23,"SCB*")=1, 'PCH100'!I60&gt;=2), "See the Notice *2", TRUE, "")</f>
        <v/>
      </c>
      <c r="Y23" s="13"/>
      <c r="Z23" s="90" t="s">
        <v>271</v>
      </c>
      <c r="AA23" s="90" t="s">
        <v>254</v>
      </c>
      <c r="AB23" s="13"/>
      <c r="AC23" s="13"/>
    </row>
    <row r="24" spans="2:29" x14ac:dyDescent="0.2">
      <c r="B24" s="14" t="s">
        <v>81</v>
      </c>
      <c r="C24" s="14">
        <v>15</v>
      </c>
      <c r="D24" s="15" t="s">
        <v>81</v>
      </c>
      <c r="E24" s="14" t="s">
        <v>596</v>
      </c>
      <c r="F24" s="14" t="s">
        <v>708</v>
      </c>
      <c r="G24" s="14" t="s">
        <v>598</v>
      </c>
      <c r="H24" s="14" t="s">
        <v>709</v>
      </c>
      <c r="I24" s="12" t="s">
        <v>272</v>
      </c>
      <c r="J24" s="12" t="s">
        <v>272</v>
      </c>
      <c r="K24" s="12" t="s">
        <v>272</v>
      </c>
      <c r="L24" s="12" t="s">
        <v>272</v>
      </c>
      <c r="M24" s="14" t="s">
        <v>82</v>
      </c>
      <c r="N24" s="12" t="s">
        <v>272</v>
      </c>
      <c r="O24" s="12" t="s">
        <v>272</v>
      </c>
      <c r="P24" s="12" t="s">
        <v>272</v>
      </c>
      <c r="Q24" s="12" t="s">
        <v>272</v>
      </c>
      <c r="R24" s="12" t="s">
        <v>272</v>
      </c>
      <c r="S24" s="12" t="s">
        <v>272</v>
      </c>
      <c r="T24" s="12" t="s">
        <v>272</v>
      </c>
      <c r="U24" s="12" t="s">
        <v>272</v>
      </c>
      <c r="V24" s="18"/>
      <c r="W24" s="12" t="s">
        <v>272</v>
      </c>
      <c r="X24" s="25"/>
      <c r="Y24" s="13"/>
      <c r="Z24" s="90" t="s">
        <v>271</v>
      </c>
      <c r="AA24" s="90" t="s">
        <v>254</v>
      </c>
      <c r="AB24" s="13"/>
      <c r="AC24" s="13"/>
    </row>
    <row r="25" spans="2:29" x14ac:dyDescent="0.2">
      <c r="B25" s="14" t="s">
        <v>83</v>
      </c>
      <c r="C25" s="14">
        <v>16</v>
      </c>
      <c r="D25" s="15" t="s">
        <v>83</v>
      </c>
      <c r="E25" s="14" t="s">
        <v>591</v>
      </c>
      <c r="F25" s="14" t="s">
        <v>602</v>
      </c>
      <c r="G25" s="14" t="s">
        <v>593</v>
      </c>
      <c r="H25" s="14" t="s">
        <v>604</v>
      </c>
      <c r="I25" s="12" t="s">
        <v>272</v>
      </c>
      <c r="J25" s="12" t="s">
        <v>272</v>
      </c>
      <c r="K25" s="12" t="s">
        <v>272</v>
      </c>
      <c r="L25" s="12" t="s">
        <v>272</v>
      </c>
      <c r="M25" s="14" t="s">
        <v>84</v>
      </c>
      <c r="N25" s="12" t="s">
        <v>272</v>
      </c>
      <c r="O25" s="12" t="s">
        <v>272</v>
      </c>
      <c r="P25" s="12" t="s">
        <v>272</v>
      </c>
      <c r="Q25" s="12" t="s">
        <v>272</v>
      </c>
      <c r="R25" s="12" t="s">
        <v>272</v>
      </c>
      <c r="S25" s="12" t="s">
        <v>272</v>
      </c>
      <c r="T25" s="12" t="s">
        <v>272</v>
      </c>
      <c r="U25" s="12" t="s">
        <v>272</v>
      </c>
      <c r="V25" s="18"/>
      <c r="W25" s="12" t="s">
        <v>272</v>
      </c>
      <c r="X25" s="25"/>
      <c r="Y25" s="13"/>
      <c r="Z25" s="90" t="s">
        <v>271</v>
      </c>
      <c r="AA25" s="90" t="s">
        <v>254</v>
      </c>
      <c r="AB25" s="13"/>
      <c r="AC25" s="13"/>
    </row>
    <row r="26" spans="2:29" x14ac:dyDescent="0.2">
      <c r="B26" s="14" t="s">
        <v>85</v>
      </c>
      <c r="C26" s="14">
        <v>17</v>
      </c>
      <c r="D26" s="15" t="s">
        <v>85</v>
      </c>
      <c r="E26" s="14" t="s">
        <v>586</v>
      </c>
      <c r="F26" s="14" t="s">
        <v>597</v>
      </c>
      <c r="G26" s="14" t="s">
        <v>588</v>
      </c>
      <c r="H26" s="14" t="s">
        <v>599</v>
      </c>
      <c r="I26" s="12" t="s">
        <v>272</v>
      </c>
      <c r="J26" s="12" t="s">
        <v>272</v>
      </c>
      <c r="K26" s="12" t="s">
        <v>272</v>
      </c>
      <c r="L26" s="12" t="s">
        <v>272</v>
      </c>
      <c r="M26" s="14" t="s">
        <v>86</v>
      </c>
      <c r="N26" s="12" t="s">
        <v>272</v>
      </c>
      <c r="O26" s="12" t="s">
        <v>272</v>
      </c>
      <c r="P26" s="12" t="s">
        <v>272</v>
      </c>
      <c r="Q26" s="12" t="s">
        <v>272</v>
      </c>
      <c r="R26" s="12" t="s">
        <v>272</v>
      </c>
      <c r="S26" s="12" t="s">
        <v>272</v>
      </c>
      <c r="T26" s="12" t="s">
        <v>272</v>
      </c>
      <c r="U26" s="12" t="s">
        <v>272</v>
      </c>
      <c r="V26" s="18"/>
      <c r="W26" s="12" t="s">
        <v>272</v>
      </c>
      <c r="X26" s="25"/>
      <c r="Y26" s="13"/>
      <c r="Z26" s="90" t="s">
        <v>271</v>
      </c>
      <c r="AA26" s="90" t="s">
        <v>254</v>
      </c>
      <c r="AB26" s="13"/>
      <c r="AC26" s="13"/>
    </row>
    <row r="27" spans="2:29" x14ac:dyDescent="0.2">
      <c r="B27" s="14" t="s">
        <v>91</v>
      </c>
      <c r="C27" s="14">
        <v>18</v>
      </c>
      <c r="D27" s="15" t="s">
        <v>91</v>
      </c>
      <c r="E27" s="14" t="s">
        <v>686</v>
      </c>
      <c r="F27" s="14" t="s">
        <v>582</v>
      </c>
      <c r="G27" s="14" t="s">
        <v>688</v>
      </c>
      <c r="H27" s="14" t="s">
        <v>584</v>
      </c>
      <c r="I27" s="12" t="s">
        <v>272</v>
      </c>
      <c r="J27" s="14" t="s">
        <v>710</v>
      </c>
      <c r="K27" s="12" t="s">
        <v>272</v>
      </c>
      <c r="L27" s="14" t="s">
        <v>711</v>
      </c>
      <c r="M27" s="14" t="s">
        <v>92</v>
      </c>
      <c r="N27" s="12" t="s">
        <v>272</v>
      </c>
      <c r="O27" s="12" t="s">
        <v>272</v>
      </c>
      <c r="P27" s="12" t="s">
        <v>272</v>
      </c>
      <c r="Q27" s="12" t="s">
        <v>272</v>
      </c>
      <c r="R27" s="12" t="s">
        <v>272</v>
      </c>
      <c r="S27" s="12" t="s">
        <v>272</v>
      </c>
      <c r="T27" s="12" t="s">
        <v>272</v>
      </c>
      <c r="U27" s="14" t="s">
        <v>274</v>
      </c>
      <c r="V27" s="18"/>
      <c r="W27" s="12" t="s">
        <v>272</v>
      </c>
      <c r="X27" s="25" t="str">
        <f>_xlfn.IFS(AND(COUNTIF(V27,"SCB*")=1, 'PCH100'!H60&gt;=2), "See the Notice *2", TRUE, "")</f>
        <v/>
      </c>
      <c r="Y27" s="13"/>
      <c r="Z27" s="90" t="s">
        <v>271</v>
      </c>
      <c r="AA27" s="90" t="s">
        <v>255</v>
      </c>
      <c r="AB27" s="13"/>
      <c r="AC27" s="13"/>
    </row>
    <row r="28" spans="2:29" x14ac:dyDescent="0.2">
      <c r="B28" s="14" t="s">
        <v>93</v>
      </c>
      <c r="C28" s="14">
        <v>19</v>
      </c>
      <c r="D28" s="15" t="s">
        <v>93</v>
      </c>
      <c r="E28" s="14" t="s">
        <v>656</v>
      </c>
      <c r="F28" s="14" t="s">
        <v>692</v>
      </c>
      <c r="G28" s="14" t="s">
        <v>658</v>
      </c>
      <c r="H28" s="14" t="s">
        <v>693</v>
      </c>
      <c r="I28" s="12" t="s">
        <v>272</v>
      </c>
      <c r="J28" s="14" t="s">
        <v>712</v>
      </c>
      <c r="K28" s="14" t="s">
        <v>713</v>
      </c>
      <c r="L28" s="14" t="s">
        <v>714</v>
      </c>
      <c r="M28" s="14" t="s">
        <v>94</v>
      </c>
      <c r="N28" s="12" t="s">
        <v>272</v>
      </c>
      <c r="O28" s="12" t="s">
        <v>272</v>
      </c>
      <c r="P28" s="12" t="s">
        <v>272</v>
      </c>
      <c r="Q28" s="12" t="s">
        <v>272</v>
      </c>
      <c r="R28" s="12" t="s">
        <v>272</v>
      </c>
      <c r="S28" s="12" t="s">
        <v>272</v>
      </c>
      <c r="T28" s="12" t="s">
        <v>272</v>
      </c>
      <c r="U28" s="14" t="s">
        <v>275</v>
      </c>
      <c r="V28" s="18"/>
      <c r="W28" s="12" t="s">
        <v>272</v>
      </c>
      <c r="X28" s="25" t="str">
        <f>_xlfn.IFS(AND(COUNTIF(V28,"SCB*")=1, 'PCH100'!H60&gt;=2), "See the Notice *2", TRUE, "")</f>
        <v/>
      </c>
      <c r="Y28" s="13"/>
      <c r="Z28" s="90" t="s">
        <v>271</v>
      </c>
      <c r="AA28" s="90" t="s">
        <v>255</v>
      </c>
      <c r="AB28" s="13"/>
      <c r="AC28" s="13"/>
    </row>
    <row r="29" spans="2:29" x14ac:dyDescent="0.2">
      <c r="B29" s="14" t="s">
        <v>95</v>
      </c>
      <c r="C29" s="14">
        <v>20</v>
      </c>
      <c r="D29" s="15" t="s">
        <v>95</v>
      </c>
      <c r="E29" s="14" t="s">
        <v>680</v>
      </c>
      <c r="F29" s="14" t="s">
        <v>666</v>
      </c>
      <c r="G29" s="14" t="s">
        <v>682</v>
      </c>
      <c r="H29" s="14" t="s">
        <v>668</v>
      </c>
      <c r="I29" s="12" t="s">
        <v>272</v>
      </c>
      <c r="J29" s="14" t="s">
        <v>715</v>
      </c>
      <c r="K29" s="14" t="s">
        <v>716</v>
      </c>
      <c r="L29" s="14" t="s">
        <v>717</v>
      </c>
      <c r="M29" s="14" t="s">
        <v>96</v>
      </c>
      <c r="N29" s="14" t="s">
        <v>97</v>
      </c>
      <c r="O29" s="12" t="s">
        <v>272</v>
      </c>
      <c r="P29" s="12" t="s">
        <v>272</v>
      </c>
      <c r="Q29" s="12" t="s">
        <v>272</v>
      </c>
      <c r="R29" s="12" t="s">
        <v>272</v>
      </c>
      <c r="S29" s="12" t="s">
        <v>272</v>
      </c>
      <c r="T29" s="12" t="s">
        <v>272</v>
      </c>
      <c r="U29" s="14" t="s">
        <v>276</v>
      </c>
      <c r="V29" s="18"/>
      <c r="W29" s="12" t="s">
        <v>272</v>
      </c>
      <c r="X29" s="25" t="str">
        <f>_xlfn.IFS(AND(COUNTIF(V29,"SCB*")=1, 'PCH100'!H60&gt;=2), "See the Notice *2", TRUE, "")</f>
        <v/>
      </c>
      <c r="Y29" s="13"/>
      <c r="Z29" s="90" t="s">
        <v>271</v>
      </c>
      <c r="AA29" s="90" t="s">
        <v>255</v>
      </c>
      <c r="AB29" s="13"/>
      <c r="AC29" s="13"/>
    </row>
    <row r="30" spans="2:29" x14ac:dyDescent="0.2">
      <c r="B30" s="14" t="s">
        <v>98</v>
      </c>
      <c r="C30" s="14">
        <v>21</v>
      </c>
      <c r="D30" s="15" t="s">
        <v>98</v>
      </c>
      <c r="E30" s="14" t="s">
        <v>648</v>
      </c>
      <c r="F30" s="14" t="s">
        <v>687</v>
      </c>
      <c r="G30" s="14" t="s">
        <v>650</v>
      </c>
      <c r="H30" s="14" t="s">
        <v>689</v>
      </c>
      <c r="I30" s="12" t="s">
        <v>272</v>
      </c>
      <c r="J30" s="14" t="s">
        <v>718</v>
      </c>
      <c r="K30" s="12" t="s">
        <v>272</v>
      </c>
      <c r="L30" s="14" t="s">
        <v>719</v>
      </c>
      <c r="M30" s="14" t="s">
        <v>99</v>
      </c>
      <c r="N30" s="14" t="s">
        <v>100</v>
      </c>
      <c r="O30" s="12" t="s">
        <v>272</v>
      </c>
      <c r="P30" s="12" t="s">
        <v>272</v>
      </c>
      <c r="Q30" s="14" t="s">
        <v>101</v>
      </c>
      <c r="R30" s="12" t="s">
        <v>272</v>
      </c>
      <c r="S30" s="12" t="s">
        <v>272</v>
      </c>
      <c r="T30" s="12" t="s">
        <v>272</v>
      </c>
      <c r="U30" s="14" t="s">
        <v>277</v>
      </c>
      <c r="V30" s="18"/>
      <c r="W30" s="12" t="s">
        <v>272</v>
      </c>
      <c r="X30" s="25" t="str">
        <f>_xlfn.IFS(AND(COUNTIF(V30,"SCB*")=1, 'PCH100'!H60&gt;=2), "See the Notice *2", TRUE, "")</f>
        <v/>
      </c>
      <c r="Y30" s="13"/>
      <c r="Z30" s="90" t="s">
        <v>271</v>
      </c>
      <c r="AA30" s="90" t="s">
        <v>255</v>
      </c>
      <c r="AB30" s="13"/>
      <c r="AC30" s="13"/>
    </row>
    <row r="31" spans="2:29" x14ac:dyDescent="0.2">
      <c r="B31" s="14" t="s">
        <v>102</v>
      </c>
      <c r="C31" s="14">
        <v>22</v>
      </c>
      <c r="D31" s="15" t="s">
        <v>102</v>
      </c>
      <c r="E31" s="14" t="s">
        <v>673</v>
      </c>
      <c r="F31" s="14" t="s">
        <v>657</v>
      </c>
      <c r="G31" s="14" t="s">
        <v>675</v>
      </c>
      <c r="H31" s="14" t="s">
        <v>659</v>
      </c>
      <c r="I31" s="12" t="s">
        <v>272</v>
      </c>
      <c r="J31" s="12" t="s">
        <v>272</v>
      </c>
      <c r="K31" s="12" t="s">
        <v>272</v>
      </c>
      <c r="L31" s="14" t="s">
        <v>720</v>
      </c>
      <c r="M31" s="14" t="s">
        <v>103</v>
      </c>
      <c r="N31" s="12" t="s">
        <v>272</v>
      </c>
      <c r="O31" s="12" t="s">
        <v>272</v>
      </c>
      <c r="P31" s="12" t="s">
        <v>272</v>
      </c>
      <c r="Q31" s="12" t="s">
        <v>272</v>
      </c>
      <c r="R31" s="12" t="s">
        <v>272</v>
      </c>
      <c r="S31" s="12" t="s">
        <v>272</v>
      </c>
      <c r="T31" s="12" t="s">
        <v>272</v>
      </c>
      <c r="U31" s="14" t="s">
        <v>278</v>
      </c>
      <c r="V31" s="18"/>
      <c r="W31" s="12" t="s">
        <v>272</v>
      </c>
      <c r="X31" s="25" t="str">
        <f>_xlfn.IFS(AND(COUNTIF(V31,"SCB*")=1, 'PCH100'!H60&gt;=2), "See the Notice *2", TRUE, "")</f>
        <v/>
      </c>
      <c r="Y31" s="13"/>
      <c r="Z31" s="90" t="s">
        <v>271</v>
      </c>
      <c r="AA31" s="90" t="s">
        <v>255</v>
      </c>
      <c r="AB31" s="13"/>
      <c r="AC31" s="13"/>
    </row>
    <row r="32" spans="2:29" x14ac:dyDescent="0.2">
      <c r="B32" s="14" t="s">
        <v>104</v>
      </c>
      <c r="C32" s="14">
        <v>23</v>
      </c>
      <c r="D32" s="15" t="s">
        <v>104</v>
      </c>
      <c r="E32" s="14" t="s">
        <v>642</v>
      </c>
      <c r="F32" s="14" t="s">
        <v>681</v>
      </c>
      <c r="G32" s="14" t="s">
        <v>644</v>
      </c>
      <c r="H32" s="14" t="s">
        <v>683</v>
      </c>
      <c r="I32" s="12" t="s">
        <v>272</v>
      </c>
      <c r="J32" s="12" t="s">
        <v>272</v>
      </c>
      <c r="K32" s="12" t="s">
        <v>272</v>
      </c>
      <c r="L32" s="14" t="s">
        <v>721</v>
      </c>
      <c r="M32" s="14" t="s">
        <v>105</v>
      </c>
      <c r="N32" s="12" t="s">
        <v>272</v>
      </c>
      <c r="O32" s="12" t="s">
        <v>272</v>
      </c>
      <c r="P32" s="12" t="s">
        <v>272</v>
      </c>
      <c r="Q32" s="12" t="s">
        <v>272</v>
      </c>
      <c r="R32" s="12" t="s">
        <v>272</v>
      </c>
      <c r="S32" s="12" t="s">
        <v>272</v>
      </c>
      <c r="T32" s="12" t="s">
        <v>272</v>
      </c>
      <c r="U32" s="14" t="s">
        <v>279</v>
      </c>
      <c r="V32" s="18"/>
      <c r="W32" s="12" t="s">
        <v>272</v>
      </c>
      <c r="X32" s="25" t="str">
        <f>_xlfn.IFS(AND(COUNTIF(V32,"SCB*")=1, 'PCH100'!H60&gt;=2), "See the Notice *2", TRUE, "")</f>
        <v/>
      </c>
      <c r="Y32" s="13"/>
      <c r="Z32" s="90" t="s">
        <v>271</v>
      </c>
      <c r="AA32" s="90" t="s">
        <v>255</v>
      </c>
      <c r="AB32" s="13"/>
      <c r="AC32" s="13"/>
    </row>
    <row r="33" spans="2:29" x14ac:dyDescent="0.2">
      <c r="B33" s="17" t="s">
        <v>254</v>
      </c>
      <c r="C33" s="92">
        <v>24</v>
      </c>
      <c r="D33" s="12" t="s">
        <v>272</v>
      </c>
      <c r="E33" s="12" t="s">
        <v>272</v>
      </c>
      <c r="F33" s="12" t="s">
        <v>272</v>
      </c>
      <c r="G33" s="12" t="s">
        <v>272</v>
      </c>
      <c r="H33" s="12" t="s">
        <v>272</v>
      </c>
      <c r="I33" s="12" t="s">
        <v>272</v>
      </c>
      <c r="J33" s="12" t="s">
        <v>272</v>
      </c>
      <c r="K33" s="12" t="s">
        <v>272</v>
      </c>
      <c r="L33" s="12" t="s">
        <v>272</v>
      </c>
      <c r="M33" s="12" t="s">
        <v>272</v>
      </c>
      <c r="N33" s="12" t="s">
        <v>272</v>
      </c>
      <c r="O33" s="12" t="s">
        <v>272</v>
      </c>
      <c r="P33" s="12" t="s">
        <v>272</v>
      </c>
      <c r="Q33" s="12" t="s">
        <v>272</v>
      </c>
      <c r="R33" s="12" t="s">
        <v>272</v>
      </c>
      <c r="S33" s="12" t="s">
        <v>272</v>
      </c>
      <c r="T33" s="12" t="s">
        <v>272</v>
      </c>
      <c r="U33" s="12" t="s">
        <v>272</v>
      </c>
      <c r="V33" s="17" t="s">
        <v>254</v>
      </c>
      <c r="W33" s="12" t="s">
        <v>272</v>
      </c>
      <c r="X33" s="25"/>
      <c r="Y33" s="13" t="s">
        <v>530</v>
      </c>
      <c r="Z33" s="90" t="s">
        <v>543</v>
      </c>
      <c r="AA33" s="90" t="s">
        <v>543</v>
      </c>
      <c r="AB33" s="13"/>
      <c r="AC33" s="13"/>
    </row>
    <row r="34" spans="2:29" x14ac:dyDescent="0.2">
      <c r="B34" s="17" t="s">
        <v>255</v>
      </c>
      <c r="C34" s="92">
        <v>25</v>
      </c>
      <c r="D34" s="12" t="s">
        <v>272</v>
      </c>
      <c r="E34" s="12" t="s">
        <v>272</v>
      </c>
      <c r="F34" s="12" t="s">
        <v>272</v>
      </c>
      <c r="G34" s="12" t="s">
        <v>272</v>
      </c>
      <c r="H34" s="12" t="s">
        <v>272</v>
      </c>
      <c r="I34" s="12" t="s">
        <v>272</v>
      </c>
      <c r="J34" s="12" t="s">
        <v>272</v>
      </c>
      <c r="K34" s="12" t="s">
        <v>272</v>
      </c>
      <c r="L34" s="12" t="s">
        <v>272</v>
      </c>
      <c r="M34" s="12" t="s">
        <v>272</v>
      </c>
      <c r="N34" s="12" t="s">
        <v>272</v>
      </c>
      <c r="O34" s="12" t="s">
        <v>272</v>
      </c>
      <c r="P34" s="12" t="s">
        <v>272</v>
      </c>
      <c r="Q34" s="12" t="s">
        <v>272</v>
      </c>
      <c r="R34" s="12" t="s">
        <v>272</v>
      </c>
      <c r="S34" s="12" t="s">
        <v>272</v>
      </c>
      <c r="T34" s="12" t="s">
        <v>272</v>
      </c>
      <c r="U34" s="12" t="s">
        <v>272</v>
      </c>
      <c r="V34" s="17" t="s">
        <v>255</v>
      </c>
      <c r="W34" s="12" t="s">
        <v>272</v>
      </c>
      <c r="X34" s="25"/>
      <c r="Y34" s="13" t="s">
        <v>532</v>
      </c>
      <c r="Z34" s="90" t="s">
        <v>543</v>
      </c>
      <c r="AA34" s="90" t="s">
        <v>543</v>
      </c>
      <c r="AB34" s="13"/>
      <c r="AC34" s="13"/>
    </row>
    <row r="35" spans="2:29" x14ac:dyDescent="0.2">
      <c r="B35" s="10" t="s">
        <v>253</v>
      </c>
      <c r="C35" s="92">
        <v>26</v>
      </c>
      <c r="D35" s="12" t="s">
        <v>272</v>
      </c>
      <c r="E35" s="12" t="s">
        <v>272</v>
      </c>
      <c r="F35" s="12" t="s">
        <v>272</v>
      </c>
      <c r="G35" s="12" t="s">
        <v>272</v>
      </c>
      <c r="H35" s="12" t="s">
        <v>272</v>
      </c>
      <c r="I35" s="12" t="s">
        <v>272</v>
      </c>
      <c r="J35" s="12" t="s">
        <v>272</v>
      </c>
      <c r="K35" s="12" t="s">
        <v>272</v>
      </c>
      <c r="L35" s="12" t="s">
        <v>272</v>
      </c>
      <c r="M35" s="12" t="s">
        <v>272</v>
      </c>
      <c r="N35" s="12" t="s">
        <v>272</v>
      </c>
      <c r="O35" s="12" t="s">
        <v>272</v>
      </c>
      <c r="P35" s="12" t="s">
        <v>272</v>
      </c>
      <c r="Q35" s="12" t="s">
        <v>272</v>
      </c>
      <c r="R35" s="12" t="s">
        <v>272</v>
      </c>
      <c r="S35" s="12" t="s">
        <v>272</v>
      </c>
      <c r="T35" s="12" t="s">
        <v>272</v>
      </c>
      <c r="U35" s="12" t="s">
        <v>272</v>
      </c>
      <c r="V35" s="10" t="s">
        <v>253</v>
      </c>
      <c r="W35" s="12" t="s">
        <v>272</v>
      </c>
      <c r="X35" s="25"/>
      <c r="Y35" s="13" t="s">
        <v>531</v>
      </c>
      <c r="Z35" s="90" t="s">
        <v>543</v>
      </c>
      <c r="AA35" s="90" t="s">
        <v>543</v>
      </c>
      <c r="AB35" s="13"/>
      <c r="AC35" s="13"/>
    </row>
    <row r="36" spans="2:29" x14ac:dyDescent="0.2">
      <c r="B36" s="10" t="s">
        <v>253</v>
      </c>
      <c r="C36" s="92">
        <v>27</v>
      </c>
      <c r="D36" s="12" t="s">
        <v>272</v>
      </c>
      <c r="E36" s="12" t="s">
        <v>272</v>
      </c>
      <c r="F36" s="12" t="s">
        <v>272</v>
      </c>
      <c r="G36" s="12" t="s">
        <v>272</v>
      </c>
      <c r="H36" s="12" t="s">
        <v>272</v>
      </c>
      <c r="I36" s="12" t="s">
        <v>272</v>
      </c>
      <c r="J36" s="12" t="s">
        <v>272</v>
      </c>
      <c r="K36" s="12" t="s">
        <v>272</v>
      </c>
      <c r="L36" s="12" t="s">
        <v>272</v>
      </c>
      <c r="M36" s="12" t="s">
        <v>272</v>
      </c>
      <c r="N36" s="12" t="s">
        <v>272</v>
      </c>
      <c r="O36" s="12" t="s">
        <v>272</v>
      </c>
      <c r="P36" s="12" t="s">
        <v>272</v>
      </c>
      <c r="Q36" s="12" t="s">
        <v>272</v>
      </c>
      <c r="R36" s="12" t="s">
        <v>272</v>
      </c>
      <c r="S36" s="12" t="s">
        <v>272</v>
      </c>
      <c r="T36" s="12" t="s">
        <v>272</v>
      </c>
      <c r="U36" s="12" t="s">
        <v>272</v>
      </c>
      <c r="V36" s="10" t="s">
        <v>253</v>
      </c>
      <c r="W36" s="12" t="s">
        <v>272</v>
      </c>
      <c r="X36" s="25"/>
      <c r="Y36" s="13" t="s">
        <v>531</v>
      </c>
      <c r="Z36" s="90" t="s">
        <v>543</v>
      </c>
      <c r="AA36" s="90" t="s">
        <v>543</v>
      </c>
      <c r="AB36" s="13"/>
      <c r="AC36" s="13"/>
    </row>
    <row r="37" spans="2:29" x14ac:dyDescent="0.2">
      <c r="B37" s="17" t="s">
        <v>256</v>
      </c>
      <c r="C37" s="92">
        <v>28</v>
      </c>
      <c r="D37" s="12" t="s">
        <v>272</v>
      </c>
      <c r="E37" s="12" t="s">
        <v>272</v>
      </c>
      <c r="F37" s="12" t="s">
        <v>272</v>
      </c>
      <c r="G37" s="12" t="s">
        <v>272</v>
      </c>
      <c r="H37" s="12" t="s">
        <v>272</v>
      </c>
      <c r="I37" s="12" t="s">
        <v>272</v>
      </c>
      <c r="J37" s="12" t="s">
        <v>272</v>
      </c>
      <c r="K37" s="12" t="s">
        <v>272</v>
      </c>
      <c r="L37" s="12" t="s">
        <v>272</v>
      </c>
      <c r="M37" s="12" t="s">
        <v>272</v>
      </c>
      <c r="N37" s="12" t="s">
        <v>272</v>
      </c>
      <c r="O37" s="12" t="s">
        <v>272</v>
      </c>
      <c r="P37" s="12" t="s">
        <v>272</v>
      </c>
      <c r="Q37" s="12" t="s">
        <v>272</v>
      </c>
      <c r="R37" s="12" t="s">
        <v>272</v>
      </c>
      <c r="S37" s="12" t="s">
        <v>272</v>
      </c>
      <c r="T37" s="12" t="s">
        <v>272</v>
      </c>
      <c r="U37" s="12" t="s">
        <v>272</v>
      </c>
      <c r="V37" s="17" t="s">
        <v>256</v>
      </c>
      <c r="W37" s="12" t="s">
        <v>272</v>
      </c>
      <c r="X37" s="25"/>
      <c r="Y37" s="13" t="s">
        <v>533</v>
      </c>
      <c r="Z37" s="90" t="s">
        <v>543</v>
      </c>
      <c r="AA37" s="90" t="s">
        <v>543</v>
      </c>
      <c r="AB37" s="13"/>
      <c r="AC37" s="13"/>
    </row>
    <row r="38" spans="2:29" x14ac:dyDescent="0.2">
      <c r="B38" s="14" t="s">
        <v>110</v>
      </c>
      <c r="C38" s="14">
        <v>29</v>
      </c>
      <c r="D38" s="15" t="s">
        <v>110</v>
      </c>
      <c r="E38" s="14" t="s">
        <v>723</v>
      </c>
      <c r="F38" s="14" t="s">
        <v>643</v>
      </c>
      <c r="G38" s="14" t="s">
        <v>724</v>
      </c>
      <c r="H38" s="14" t="s">
        <v>645</v>
      </c>
      <c r="I38" s="12" t="s">
        <v>272</v>
      </c>
      <c r="J38" s="14" t="s">
        <v>725</v>
      </c>
      <c r="K38" s="12" t="s">
        <v>272</v>
      </c>
      <c r="L38" s="14" t="s">
        <v>726</v>
      </c>
      <c r="M38" s="14" t="s">
        <v>99</v>
      </c>
      <c r="N38" s="12" t="s">
        <v>272</v>
      </c>
      <c r="O38" s="14" t="s">
        <v>727</v>
      </c>
      <c r="P38" s="12" t="s">
        <v>272</v>
      </c>
      <c r="Q38" s="12" t="s">
        <v>272</v>
      </c>
      <c r="R38" s="12" t="s">
        <v>272</v>
      </c>
      <c r="S38" s="12" t="s">
        <v>272</v>
      </c>
      <c r="T38" s="12" t="s">
        <v>272</v>
      </c>
      <c r="U38" s="14" t="s">
        <v>282</v>
      </c>
      <c r="V38" s="18"/>
      <c r="W38" s="12" t="s">
        <v>272</v>
      </c>
      <c r="X38" s="25" t="str">
        <f>_xlfn.IFS(AND(COUNTIF(V38,"SCB*")=1, 'PCH100'!I60&gt;=2), "See the Notice *2", TRUE, "")</f>
        <v/>
      </c>
      <c r="Y38" s="13"/>
      <c r="Z38" s="90" t="s">
        <v>271</v>
      </c>
      <c r="AA38" s="90" t="s">
        <v>255</v>
      </c>
      <c r="AB38" s="13"/>
      <c r="AC38" s="13"/>
    </row>
    <row r="39" spans="2:29" x14ac:dyDescent="0.2">
      <c r="B39" s="14" t="s">
        <v>111</v>
      </c>
      <c r="C39" s="14">
        <v>30</v>
      </c>
      <c r="D39" s="15" t="s">
        <v>111</v>
      </c>
      <c r="E39" s="14" t="s">
        <v>728</v>
      </c>
      <c r="F39" s="14" t="s">
        <v>729</v>
      </c>
      <c r="G39" s="14" t="s">
        <v>730</v>
      </c>
      <c r="H39" s="14" t="s">
        <v>731</v>
      </c>
      <c r="I39" s="12" t="s">
        <v>272</v>
      </c>
      <c r="J39" s="14" t="s">
        <v>732</v>
      </c>
      <c r="K39" s="14" t="s">
        <v>733</v>
      </c>
      <c r="L39" s="14" t="s">
        <v>734</v>
      </c>
      <c r="M39" s="14" t="s">
        <v>103</v>
      </c>
      <c r="N39" s="12" t="s">
        <v>272</v>
      </c>
      <c r="O39" s="14" t="s">
        <v>735</v>
      </c>
      <c r="P39" s="12" t="s">
        <v>272</v>
      </c>
      <c r="Q39" s="12" t="s">
        <v>272</v>
      </c>
      <c r="R39" s="12" t="s">
        <v>272</v>
      </c>
      <c r="S39" s="12" t="s">
        <v>272</v>
      </c>
      <c r="T39" s="12" t="s">
        <v>272</v>
      </c>
      <c r="U39" s="14" t="s">
        <v>283</v>
      </c>
      <c r="V39" s="18"/>
      <c r="W39" s="12" t="s">
        <v>272</v>
      </c>
      <c r="X39" s="25" t="str">
        <f>_xlfn.IFS(AND(COUNTIF(V39,"SCB*")=1, 'PCH100'!I60&gt;=2), "See the Notice *2", TRUE, "")</f>
        <v/>
      </c>
      <c r="Y39" s="13"/>
      <c r="Z39" s="90" t="s">
        <v>271</v>
      </c>
      <c r="AA39" s="90" t="s">
        <v>255</v>
      </c>
      <c r="AB39" s="13"/>
      <c r="AC39" s="13"/>
    </row>
    <row r="40" spans="2:29" x14ac:dyDescent="0.2">
      <c r="B40" s="14" t="s">
        <v>112</v>
      </c>
      <c r="C40" s="14">
        <v>31</v>
      </c>
      <c r="D40" s="15" t="s">
        <v>112</v>
      </c>
      <c r="E40" s="14" t="s">
        <v>736</v>
      </c>
      <c r="F40" s="14" t="s">
        <v>737</v>
      </c>
      <c r="G40" s="14" t="s">
        <v>738</v>
      </c>
      <c r="H40" s="14" t="s">
        <v>739</v>
      </c>
      <c r="I40" s="12" t="s">
        <v>272</v>
      </c>
      <c r="J40" s="14" t="s">
        <v>740</v>
      </c>
      <c r="K40" s="14" t="s">
        <v>741</v>
      </c>
      <c r="L40" s="14" t="s">
        <v>742</v>
      </c>
      <c r="M40" s="14" t="s">
        <v>105</v>
      </c>
      <c r="N40" s="12" t="s">
        <v>272</v>
      </c>
      <c r="O40" s="14" t="s">
        <v>743</v>
      </c>
      <c r="P40" s="12" t="s">
        <v>272</v>
      </c>
      <c r="Q40" s="12" t="s">
        <v>272</v>
      </c>
      <c r="R40" s="12" t="s">
        <v>272</v>
      </c>
      <c r="S40" s="12" t="s">
        <v>272</v>
      </c>
      <c r="T40" s="12" t="s">
        <v>272</v>
      </c>
      <c r="U40" s="14" t="s">
        <v>284</v>
      </c>
      <c r="V40" s="18"/>
      <c r="W40" s="12" t="s">
        <v>272</v>
      </c>
      <c r="X40" s="25" t="str">
        <f>_xlfn.IFS(AND(COUNTIF(V40,"SCB*")=1, 'PCH100'!I60&gt;=2), "See the Notice *2", TRUE, "")</f>
        <v/>
      </c>
      <c r="Y40" s="13"/>
      <c r="Z40" s="90" t="s">
        <v>271</v>
      </c>
      <c r="AA40" s="90" t="s">
        <v>255</v>
      </c>
      <c r="AB40" s="13"/>
      <c r="AC40" s="13"/>
    </row>
    <row r="41" spans="2:29" x14ac:dyDescent="0.2">
      <c r="B41" s="14" t="s">
        <v>113</v>
      </c>
      <c r="C41" s="14">
        <v>32</v>
      </c>
      <c r="D41" s="15" t="s">
        <v>113</v>
      </c>
      <c r="E41" s="14" t="s">
        <v>744</v>
      </c>
      <c r="F41" s="14" t="s">
        <v>745</v>
      </c>
      <c r="G41" s="14" t="s">
        <v>746</v>
      </c>
      <c r="H41" s="14" t="s">
        <v>747</v>
      </c>
      <c r="I41" s="12" t="s">
        <v>272</v>
      </c>
      <c r="J41" s="14" t="s">
        <v>748</v>
      </c>
      <c r="K41" s="12" t="s">
        <v>272</v>
      </c>
      <c r="L41" s="14" t="s">
        <v>749</v>
      </c>
      <c r="M41" s="12" t="s">
        <v>272</v>
      </c>
      <c r="N41" s="12" t="s">
        <v>272</v>
      </c>
      <c r="O41" s="12" t="s">
        <v>272</v>
      </c>
      <c r="P41" s="12" t="s">
        <v>272</v>
      </c>
      <c r="Q41" s="12" t="s">
        <v>272</v>
      </c>
      <c r="R41" s="12" t="s">
        <v>272</v>
      </c>
      <c r="S41" s="12" t="s">
        <v>272</v>
      </c>
      <c r="T41" s="12" t="s">
        <v>272</v>
      </c>
      <c r="U41" s="14" t="s">
        <v>285</v>
      </c>
      <c r="V41" s="18"/>
      <c r="W41" s="12" t="s">
        <v>272</v>
      </c>
      <c r="X41" s="25" t="str">
        <f>_xlfn.IFS(AND(COUNTIF(V41,"SCB*")=1, 'PCH100'!I60&gt;=2), "See the Notice *2", TRUE, "")</f>
        <v/>
      </c>
      <c r="Y41" s="13"/>
      <c r="Z41" s="90" t="s">
        <v>271</v>
      </c>
      <c r="AA41" s="90" t="s">
        <v>255</v>
      </c>
      <c r="AB41" s="13"/>
      <c r="AC41" s="13"/>
    </row>
    <row r="42" spans="2:29" x14ac:dyDescent="0.2">
      <c r="B42" s="14" t="s">
        <v>114</v>
      </c>
      <c r="C42" s="14">
        <v>33</v>
      </c>
      <c r="D42" s="15" t="s">
        <v>114</v>
      </c>
      <c r="E42" s="14" t="s">
        <v>750</v>
      </c>
      <c r="F42" s="14" t="s">
        <v>751</v>
      </c>
      <c r="G42" s="14" t="s">
        <v>752</v>
      </c>
      <c r="H42" s="14" t="s">
        <v>753</v>
      </c>
      <c r="I42" s="12" t="s">
        <v>272</v>
      </c>
      <c r="J42" s="12" t="s">
        <v>272</v>
      </c>
      <c r="K42" s="12" t="s">
        <v>272</v>
      </c>
      <c r="L42" s="14" t="s">
        <v>754</v>
      </c>
      <c r="M42" s="12" t="s">
        <v>272</v>
      </c>
      <c r="N42" s="12" t="s">
        <v>272</v>
      </c>
      <c r="O42" s="12" t="s">
        <v>272</v>
      </c>
      <c r="P42" s="12" t="s">
        <v>272</v>
      </c>
      <c r="Q42" s="12" t="s">
        <v>272</v>
      </c>
      <c r="R42" s="12" t="s">
        <v>272</v>
      </c>
      <c r="S42" s="12" t="s">
        <v>272</v>
      </c>
      <c r="T42" s="12" t="s">
        <v>272</v>
      </c>
      <c r="U42" s="14" t="s">
        <v>286</v>
      </c>
      <c r="V42" s="18"/>
      <c r="W42" s="12" t="s">
        <v>272</v>
      </c>
      <c r="X42" s="25" t="str">
        <f>_xlfn.IFS(AND(COUNTIF(V42,"SCB*")=1, 'PCH100'!I60&gt;=2), "See the Notice *2", TRUE, "")</f>
        <v/>
      </c>
      <c r="Y42" s="13"/>
      <c r="Z42" s="90" t="s">
        <v>271</v>
      </c>
      <c r="AA42" s="90" t="s">
        <v>255</v>
      </c>
      <c r="AB42" s="13"/>
      <c r="AC42" s="13"/>
    </row>
    <row r="43" spans="2:29" x14ac:dyDescent="0.2">
      <c r="B43" s="14" t="s">
        <v>115</v>
      </c>
      <c r="C43" s="14">
        <v>34</v>
      </c>
      <c r="D43" s="15" t="s">
        <v>115</v>
      </c>
      <c r="E43" s="14" t="s">
        <v>570</v>
      </c>
      <c r="F43" s="14" t="s">
        <v>755</v>
      </c>
      <c r="G43" s="14" t="s">
        <v>572</v>
      </c>
      <c r="H43" s="14" t="s">
        <v>756</v>
      </c>
      <c r="I43" s="12" t="s">
        <v>272</v>
      </c>
      <c r="J43" s="12" t="s">
        <v>272</v>
      </c>
      <c r="K43" s="12" t="s">
        <v>272</v>
      </c>
      <c r="L43" s="14" t="s">
        <v>757</v>
      </c>
      <c r="M43" s="14" t="s">
        <v>758</v>
      </c>
      <c r="N43" s="12" t="s">
        <v>272</v>
      </c>
      <c r="O43" s="12" t="s">
        <v>272</v>
      </c>
      <c r="P43" s="12" t="s">
        <v>272</v>
      </c>
      <c r="Q43" s="12" t="s">
        <v>272</v>
      </c>
      <c r="R43" s="12" t="s">
        <v>272</v>
      </c>
      <c r="S43" s="12" t="s">
        <v>272</v>
      </c>
      <c r="T43" s="12" t="s">
        <v>272</v>
      </c>
      <c r="U43" s="14" t="s">
        <v>287</v>
      </c>
      <c r="V43" s="18"/>
      <c r="W43" s="12" t="s">
        <v>272</v>
      </c>
      <c r="X43" s="25" t="str">
        <f>_xlfn.IFS(AND(COUNTIF(V43,"SCB*")=1, 'PCH100'!I60&gt;=2), "See the Notice *2", TRUE, "")</f>
        <v/>
      </c>
      <c r="Y43" s="13"/>
      <c r="Z43" s="90" t="s">
        <v>271</v>
      </c>
      <c r="AA43" s="90" t="s">
        <v>255</v>
      </c>
      <c r="AB43" s="13"/>
      <c r="AC43" s="13"/>
    </row>
    <row r="44" spans="2:29" x14ac:dyDescent="0.2">
      <c r="B44" s="14" t="s">
        <v>120</v>
      </c>
      <c r="C44" s="14">
        <v>35</v>
      </c>
      <c r="D44" s="15" t="s">
        <v>120</v>
      </c>
      <c r="E44" s="14" t="s">
        <v>765</v>
      </c>
      <c r="F44" s="14" t="s">
        <v>571</v>
      </c>
      <c r="G44" s="14" t="s">
        <v>766</v>
      </c>
      <c r="H44" s="14" t="s">
        <v>573</v>
      </c>
      <c r="I44" s="12" t="s">
        <v>272</v>
      </c>
      <c r="J44" s="12" t="s">
        <v>272</v>
      </c>
      <c r="K44" s="12" t="s">
        <v>272</v>
      </c>
      <c r="L44" s="12" t="s">
        <v>272</v>
      </c>
      <c r="M44" s="14" t="s">
        <v>86</v>
      </c>
      <c r="N44" s="14" t="s">
        <v>40</v>
      </c>
      <c r="O44" s="12" t="s">
        <v>272</v>
      </c>
      <c r="P44" s="12" t="s">
        <v>272</v>
      </c>
      <c r="Q44" s="12" t="s">
        <v>272</v>
      </c>
      <c r="R44" s="12" t="s">
        <v>272</v>
      </c>
      <c r="S44" s="12" t="s">
        <v>272</v>
      </c>
      <c r="T44" s="12" t="s">
        <v>272</v>
      </c>
      <c r="U44" s="12" t="s">
        <v>272</v>
      </c>
      <c r="V44" s="18"/>
      <c r="W44" s="12" t="s">
        <v>272</v>
      </c>
      <c r="X44" s="25"/>
      <c r="Y44" s="13"/>
      <c r="Z44" s="90" t="s">
        <v>271</v>
      </c>
      <c r="AA44" s="90" t="s">
        <v>255</v>
      </c>
      <c r="AB44" s="13"/>
      <c r="AC44" s="13"/>
    </row>
    <row r="45" spans="2:29" x14ac:dyDescent="0.2">
      <c r="B45" s="14" t="s">
        <v>121</v>
      </c>
      <c r="C45" s="14">
        <v>36</v>
      </c>
      <c r="D45" s="15" t="s">
        <v>121</v>
      </c>
      <c r="E45" s="14" t="s">
        <v>767</v>
      </c>
      <c r="F45" s="14" t="s">
        <v>768</v>
      </c>
      <c r="G45" s="14" t="s">
        <v>769</v>
      </c>
      <c r="H45" s="14" t="s">
        <v>770</v>
      </c>
      <c r="I45" s="12" t="s">
        <v>272</v>
      </c>
      <c r="J45" s="12" t="s">
        <v>272</v>
      </c>
      <c r="K45" s="12" t="s">
        <v>272</v>
      </c>
      <c r="L45" s="12" t="s">
        <v>272</v>
      </c>
      <c r="M45" s="14" t="s">
        <v>88</v>
      </c>
      <c r="N45" s="14" t="s">
        <v>44</v>
      </c>
      <c r="O45" s="12" t="s">
        <v>272</v>
      </c>
      <c r="P45" s="14" t="s">
        <v>122</v>
      </c>
      <c r="Q45" s="12" t="s">
        <v>272</v>
      </c>
      <c r="R45" s="12" t="s">
        <v>272</v>
      </c>
      <c r="S45" s="12" t="s">
        <v>272</v>
      </c>
      <c r="T45" s="12" t="s">
        <v>272</v>
      </c>
      <c r="U45" s="14" t="s">
        <v>290</v>
      </c>
      <c r="V45" s="18"/>
      <c r="W45" s="12" t="s">
        <v>272</v>
      </c>
      <c r="X45" s="25"/>
      <c r="Y45" s="13"/>
      <c r="Z45" s="90" t="s">
        <v>271</v>
      </c>
      <c r="AA45" s="90" t="s">
        <v>255</v>
      </c>
      <c r="AB45" s="13"/>
      <c r="AC45" s="13"/>
    </row>
    <row r="46" spans="2:29" x14ac:dyDescent="0.2">
      <c r="B46" s="14" t="s">
        <v>123</v>
      </c>
      <c r="C46" s="14">
        <v>37</v>
      </c>
      <c r="D46" s="15" t="s">
        <v>123</v>
      </c>
      <c r="E46" s="14" t="s">
        <v>771</v>
      </c>
      <c r="F46" s="14" t="s">
        <v>772</v>
      </c>
      <c r="G46" s="14" t="s">
        <v>773</v>
      </c>
      <c r="H46" s="14" t="s">
        <v>774</v>
      </c>
      <c r="I46" s="12" t="s">
        <v>272</v>
      </c>
      <c r="J46" s="12" t="s">
        <v>272</v>
      </c>
      <c r="K46" s="12" t="s">
        <v>272</v>
      </c>
      <c r="L46" s="12" t="s">
        <v>272</v>
      </c>
      <c r="M46" s="14" t="s">
        <v>90</v>
      </c>
      <c r="N46" s="12" t="s">
        <v>272</v>
      </c>
      <c r="O46" s="12" t="s">
        <v>272</v>
      </c>
      <c r="P46" s="14" t="s">
        <v>124</v>
      </c>
      <c r="Q46" s="12" t="s">
        <v>272</v>
      </c>
      <c r="R46" s="12" t="s">
        <v>272</v>
      </c>
      <c r="S46" s="12" t="s">
        <v>272</v>
      </c>
      <c r="T46" s="12" t="s">
        <v>272</v>
      </c>
      <c r="U46" s="14" t="s">
        <v>291</v>
      </c>
      <c r="V46" s="18"/>
      <c r="W46" s="12" t="s">
        <v>272</v>
      </c>
      <c r="X46" s="25"/>
      <c r="Y46" s="13"/>
      <c r="Z46" s="90" t="s">
        <v>271</v>
      </c>
      <c r="AA46" s="90" t="s">
        <v>255</v>
      </c>
      <c r="AB46" s="13"/>
      <c r="AC46" s="13"/>
    </row>
    <row r="47" spans="2:29" x14ac:dyDescent="0.2">
      <c r="B47" s="14" t="s">
        <v>548</v>
      </c>
      <c r="C47" s="14">
        <v>38</v>
      </c>
      <c r="D47" s="19" t="s">
        <v>546</v>
      </c>
      <c r="E47" s="12" t="s">
        <v>272</v>
      </c>
      <c r="F47" s="12" t="s">
        <v>272</v>
      </c>
      <c r="G47" s="12" t="s">
        <v>272</v>
      </c>
      <c r="H47" s="12" t="s">
        <v>272</v>
      </c>
      <c r="I47" s="12" t="s">
        <v>272</v>
      </c>
      <c r="J47" s="12" t="s">
        <v>272</v>
      </c>
      <c r="K47" s="12" t="s">
        <v>272</v>
      </c>
      <c r="L47" s="12" t="s">
        <v>272</v>
      </c>
      <c r="M47" s="12" t="s">
        <v>272</v>
      </c>
      <c r="N47" s="12" t="s">
        <v>272</v>
      </c>
      <c r="O47" s="12" t="s">
        <v>272</v>
      </c>
      <c r="P47" s="12" t="s">
        <v>272</v>
      </c>
      <c r="Q47" s="12" t="s">
        <v>272</v>
      </c>
      <c r="R47" s="12" t="s">
        <v>272</v>
      </c>
      <c r="S47" s="12" t="s">
        <v>272</v>
      </c>
      <c r="T47" s="12" t="s">
        <v>272</v>
      </c>
      <c r="U47" s="14" t="s">
        <v>302</v>
      </c>
      <c r="V47" s="15"/>
      <c r="W47" s="12" t="s">
        <v>272</v>
      </c>
      <c r="X47" s="25"/>
      <c r="Y47" s="13"/>
      <c r="Z47" s="90" t="s">
        <v>271</v>
      </c>
      <c r="AA47" s="90" t="s">
        <v>354</v>
      </c>
      <c r="AB47" s="13"/>
      <c r="AC47" s="13"/>
    </row>
    <row r="48" spans="2:29" x14ac:dyDescent="0.2">
      <c r="B48" s="14" t="s">
        <v>549</v>
      </c>
      <c r="C48" s="14">
        <v>39</v>
      </c>
      <c r="D48" s="19" t="s">
        <v>1160</v>
      </c>
      <c r="E48" s="12" t="s">
        <v>272</v>
      </c>
      <c r="F48" s="12" t="s">
        <v>272</v>
      </c>
      <c r="G48" s="12" t="s">
        <v>272</v>
      </c>
      <c r="H48" s="12" t="s">
        <v>272</v>
      </c>
      <c r="I48" s="12" t="s">
        <v>272</v>
      </c>
      <c r="J48" s="12" t="s">
        <v>272</v>
      </c>
      <c r="K48" s="12" t="s">
        <v>272</v>
      </c>
      <c r="L48" s="12" t="s">
        <v>272</v>
      </c>
      <c r="M48" s="12" t="s">
        <v>272</v>
      </c>
      <c r="N48" s="12" t="s">
        <v>272</v>
      </c>
      <c r="O48" s="12" t="s">
        <v>272</v>
      </c>
      <c r="P48" s="12" t="s">
        <v>272</v>
      </c>
      <c r="Q48" s="12" t="s">
        <v>272</v>
      </c>
      <c r="R48" s="12" t="s">
        <v>272</v>
      </c>
      <c r="S48" s="12" t="s">
        <v>272</v>
      </c>
      <c r="T48" s="12" t="s">
        <v>272</v>
      </c>
      <c r="U48" s="14" t="s">
        <v>303</v>
      </c>
      <c r="V48" s="15"/>
      <c r="W48" s="12" t="s">
        <v>272</v>
      </c>
      <c r="X48" s="25"/>
      <c r="Y48" s="13"/>
      <c r="Z48" s="90" t="s">
        <v>271</v>
      </c>
      <c r="AA48" s="90" t="s">
        <v>354</v>
      </c>
      <c r="AB48" s="13"/>
      <c r="AC48" s="13"/>
    </row>
    <row r="49" spans="2:29" x14ac:dyDescent="0.2">
      <c r="B49" s="14" t="s">
        <v>550</v>
      </c>
      <c r="C49" s="14">
        <v>40</v>
      </c>
      <c r="D49" s="19" t="s">
        <v>1161</v>
      </c>
      <c r="E49" s="12" t="s">
        <v>272</v>
      </c>
      <c r="F49" s="12" t="s">
        <v>272</v>
      </c>
      <c r="G49" s="12" t="s">
        <v>272</v>
      </c>
      <c r="H49" s="12" t="s">
        <v>272</v>
      </c>
      <c r="I49" s="12" t="s">
        <v>272</v>
      </c>
      <c r="J49" s="12" t="s">
        <v>272</v>
      </c>
      <c r="K49" s="12" t="s">
        <v>272</v>
      </c>
      <c r="L49" s="12" t="s">
        <v>272</v>
      </c>
      <c r="M49" s="12" t="s">
        <v>272</v>
      </c>
      <c r="N49" s="12" t="s">
        <v>272</v>
      </c>
      <c r="O49" s="12" t="s">
        <v>272</v>
      </c>
      <c r="P49" s="12" t="s">
        <v>272</v>
      </c>
      <c r="Q49" s="12" t="s">
        <v>272</v>
      </c>
      <c r="R49" s="12" t="s">
        <v>272</v>
      </c>
      <c r="S49" s="12" t="s">
        <v>272</v>
      </c>
      <c r="T49" s="12" t="s">
        <v>272</v>
      </c>
      <c r="U49" s="14" t="s">
        <v>304</v>
      </c>
      <c r="V49" s="15"/>
      <c r="W49" s="12" t="s">
        <v>272</v>
      </c>
      <c r="X49" s="25"/>
      <c r="Y49" s="13"/>
      <c r="Z49" s="90" t="s">
        <v>271</v>
      </c>
      <c r="AA49" s="90" t="s">
        <v>354</v>
      </c>
      <c r="AB49" s="13"/>
      <c r="AC49" s="13"/>
    </row>
    <row r="50" spans="2:29" x14ac:dyDescent="0.2">
      <c r="B50" s="20" t="s">
        <v>257</v>
      </c>
      <c r="C50" s="92">
        <v>41</v>
      </c>
      <c r="D50" s="12" t="s">
        <v>272</v>
      </c>
      <c r="E50" s="12" t="s">
        <v>272</v>
      </c>
      <c r="F50" s="12" t="s">
        <v>272</v>
      </c>
      <c r="G50" s="12" t="s">
        <v>272</v>
      </c>
      <c r="H50" s="12" t="s">
        <v>272</v>
      </c>
      <c r="I50" s="12" t="s">
        <v>272</v>
      </c>
      <c r="J50" s="12" t="s">
        <v>272</v>
      </c>
      <c r="K50" s="12" t="s">
        <v>272</v>
      </c>
      <c r="L50" s="12" t="s">
        <v>272</v>
      </c>
      <c r="M50" s="12" t="s">
        <v>272</v>
      </c>
      <c r="N50" s="12" t="s">
        <v>272</v>
      </c>
      <c r="O50" s="12" t="s">
        <v>272</v>
      </c>
      <c r="P50" s="12" t="s">
        <v>272</v>
      </c>
      <c r="Q50" s="12" t="s">
        <v>272</v>
      </c>
      <c r="R50" s="12" t="s">
        <v>272</v>
      </c>
      <c r="S50" s="12" t="s">
        <v>272</v>
      </c>
      <c r="T50" s="12" t="s">
        <v>272</v>
      </c>
      <c r="U50" s="12" t="s">
        <v>272</v>
      </c>
      <c r="V50" s="20" t="s">
        <v>257</v>
      </c>
      <c r="W50" s="12" t="s">
        <v>272</v>
      </c>
      <c r="X50" s="25"/>
      <c r="Y50" s="13" t="s">
        <v>534</v>
      </c>
      <c r="Z50" s="90" t="s">
        <v>543</v>
      </c>
      <c r="AA50" s="90" t="s">
        <v>543</v>
      </c>
      <c r="AB50" s="13"/>
      <c r="AC50" s="13"/>
    </row>
    <row r="51" spans="2:29" x14ac:dyDescent="0.2">
      <c r="B51" s="10" t="s">
        <v>258</v>
      </c>
      <c r="C51" s="92">
        <v>42</v>
      </c>
      <c r="D51" s="12" t="s">
        <v>272</v>
      </c>
      <c r="E51" s="12" t="s">
        <v>272</v>
      </c>
      <c r="F51" s="12" t="s">
        <v>272</v>
      </c>
      <c r="G51" s="12" t="s">
        <v>272</v>
      </c>
      <c r="H51" s="12" t="s">
        <v>272</v>
      </c>
      <c r="I51" s="12" t="s">
        <v>272</v>
      </c>
      <c r="J51" s="12" t="s">
        <v>272</v>
      </c>
      <c r="K51" s="12" t="s">
        <v>272</v>
      </c>
      <c r="L51" s="12" t="s">
        <v>272</v>
      </c>
      <c r="M51" s="12" t="s">
        <v>272</v>
      </c>
      <c r="N51" s="12" t="s">
        <v>272</v>
      </c>
      <c r="O51" s="12" t="s">
        <v>272</v>
      </c>
      <c r="P51" s="12" t="s">
        <v>272</v>
      </c>
      <c r="Q51" s="12" t="s">
        <v>272</v>
      </c>
      <c r="R51" s="12" t="s">
        <v>272</v>
      </c>
      <c r="S51" s="12" t="s">
        <v>272</v>
      </c>
      <c r="T51" s="12" t="s">
        <v>272</v>
      </c>
      <c r="U51" s="12" t="s">
        <v>272</v>
      </c>
      <c r="V51" s="10" t="s">
        <v>258</v>
      </c>
      <c r="W51" s="12" t="s">
        <v>272</v>
      </c>
      <c r="X51" s="25"/>
      <c r="Y51" s="13" t="s">
        <v>536</v>
      </c>
      <c r="Z51" s="90" t="s">
        <v>543</v>
      </c>
      <c r="AA51" s="90" t="s">
        <v>543</v>
      </c>
      <c r="AB51" s="13"/>
      <c r="AC51" s="13"/>
    </row>
    <row r="52" spans="2:29" x14ac:dyDescent="0.2">
      <c r="B52" s="17" t="s">
        <v>259</v>
      </c>
      <c r="C52" s="92">
        <v>43</v>
      </c>
      <c r="D52" s="12" t="s">
        <v>272</v>
      </c>
      <c r="E52" s="12" t="s">
        <v>272</v>
      </c>
      <c r="F52" s="12" t="s">
        <v>272</v>
      </c>
      <c r="G52" s="12" t="s">
        <v>272</v>
      </c>
      <c r="H52" s="12" t="s">
        <v>272</v>
      </c>
      <c r="I52" s="12" t="s">
        <v>272</v>
      </c>
      <c r="J52" s="12" t="s">
        <v>272</v>
      </c>
      <c r="K52" s="12" t="s">
        <v>272</v>
      </c>
      <c r="L52" s="12" t="s">
        <v>272</v>
      </c>
      <c r="M52" s="12" t="s">
        <v>272</v>
      </c>
      <c r="N52" s="12" t="s">
        <v>272</v>
      </c>
      <c r="O52" s="12" t="s">
        <v>272</v>
      </c>
      <c r="P52" s="12" t="s">
        <v>272</v>
      </c>
      <c r="Q52" s="12" t="s">
        <v>272</v>
      </c>
      <c r="R52" s="12" t="s">
        <v>272</v>
      </c>
      <c r="S52" s="12" t="s">
        <v>272</v>
      </c>
      <c r="T52" s="12" t="s">
        <v>272</v>
      </c>
      <c r="U52" s="12" t="s">
        <v>272</v>
      </c>
      <c r="V52" s="17" t="s">
        <v>259</v>
      </c>
      <c r="W52" s="12" t="s">
        <v>272</v>
      </c>
      <c r="X52" s="25"/>
      <c r="Y52" s="13" t="s">
        <v>537</v>
      </c>
      <c r="Z52" s="90" t="s">
        <v>543</v>
      </c>
      <c r="AA52" s="90" t="s">
        <v>543</v>
      </c>
      <c r="AB52" s="13"/>
      <c r="AC52" s="13"/>
    </row>
    <row r="53" spans="2:29" x14ac:dyDescent="0.2">
      <c r="B53" s="20" t="s">
        <v>260</v>
      </c>
      <c r="C53" s="92">
        <v>44</v>
      </c>
      <c r="D53" s="12" t="s">
        <v>272</v>
      </c>
      <c r="E53" s="12" t="s">
        <v>272</v>
      </c>
      <c r="F53" s="12" t="s">
        <v>272</v>
      </c>
      <c r="G53" s="12" t="s">
        <v>272</v>
      </c>
      <c r="H53" s="12" t="s">
        <v>272</v>
      </c>
      <c r="I53" s="12" t="s">
        <v>272</v>
      </c>
      <c r="J53" s="12" t="s">
        <v>272</v>
      </c>
      <c r="K53" s="12" t="s">
        <v>272</v>
      </c>
      <c r="L53" s="12" t="s">
        <v>272</v>
      </c>
      <c r="M53" s="12" t="s">
        <v>272</v>
      </c>
      <c r="N53" s="12" t="s">
        <v>272</v>
      </c>
      <c r="O53" s="12" t="s">
        <v>272</v>
      </c>
      <c r="P53" s="12" t="s">
        <v>272</v>
      </c>
      <c r="Q53" s="12" t="s">
        <v>272</v>
      </c>
      <c r="R53" s="12" t="s">
        <v>272</v>
      </c>
      <c r="S53" s="12" t="s">
        <v>272</v>
      </c>
      <c r="T53" s="12" t="s">
        <v>272</v>
      </c>
      <c r="U53" s="12" t="s">
        <v>272</v>
      </c>
      <c r="V53" s="20" t="s">
        <v>260</v>
      </c>
      <c r="W53" s="12" t="s">
        <v>272</v>
      </c>
      <c r="X53" s="25"/>
      <c r="Y53" s="13" t="s">
        <v>535</v>
      </c>
      <c r="Z53" s="90" t="s">
        <v>543</v>
      </c>
      <c r="AA53" s="90" t="s">
        <v>543</v>
      </c>
      <c r="AB53" s="13"/>
      <c r="AC53" s="13"/>
    </row>
    <row r="54" spans="2:29" x14ac:dyDescent="0.2">
      <c r="B54" s="14" t="s">
        <v>141</v>
      </c>
      <c r="C54" s="14">
        <v>45</v>
      </c>
      <c r="D54" s="15" t="s">
        <v>141</v>
      </c>
      <c r="E54" s="14" t="s">
        <v>844</v>
      </c>
      <c r="F54" s="14" t="s">
        <v>845</v>
      </c>
      <c r="G54" s="14" t="s">
        <v>846</v>
      </c>
      <c r="H54" s="14" t="s">
        <v>847</v>
      </c>
      <c r="I54" s="12" t="s">
        <v>272</v>
      </c>
      <c r="J54" s="12" t="s">
        <v>272</v>
      </c>
      <c r="K54" s="12" t="s">
        <v>272</v>
      </c>
      <c r="L54" s="12" t="s">
        <v>272</v>
      </c>
      <c r="M54" s="12" t="s">
        <v>272</v>
      </c>
      <c r="N54" s="14" t="s">
        <v>97</v>
      </c>
      <c r="O54" s="12" t="s">
        <v>272</v>
      </c>
      <c r="P54" s="14" t="s">
        <v>142</v>
      </c>
      <c r="Q54" s="12" t="s">
        <v>272</v>
      </c>
      <c r="R54" s="12" t="s">
        <v>272</v>
      </c>
      <c r="S54" s="12" t="s">
        <v>272</v>
      </c>
      <c r="T54" s="12" t="s">
        <v>272</v>
      </c>
      <c r="U54" s="14" t="s">
        <v>305</v>
      </c>
      <c r="V54" s="18"/>
      <c r="W54" s="93"/>
      <c r="X54" s="25"/>
      <c r="Y54" s="13"/>
      <c r="Z54" s="90" t="s">
        <v>271</v>
      </c>
      <c r="AA54" s="90" t="s">
        <v>354</v>
      </c>
      <c r="AB54" s="13"/>
      <c r="AC54" s="13"/>
    </row>
    <row r="55" spans="2:29" x14ac:dyDescent="0.2">
      <c r="B55" s="14" t="s">
        <v>143</v>
      </c>
      <c r="C55" s="14">
        <v>46</v>
      </c>
      <c r="D55" s="15" t="s">
        <v>143</v>
      </c>
      <c r="E55" s="14" t="s">
        <v>848</v>
      </c>
      <c r="F55" s="14" t="s">
        <v>849</v>
      </c>
      <c r="G55" s="14" t="s">
        <v>850</v>
      </c>
      <c r="H55" s="14" t="s">
        <v>851</v>
      </c>
      <c r="I55" s="12" t="s">
        <v>272</v>
      </c>
      <c r="J55" s="12" t="s">
        <v>272</v>
      </c>
      <c r="K55" s="12" t="s">
        <v>272</v>
      </c>
      <c r="L55" s="12" t="s">
        <v>272</v>
      </c>
      <c r="M55" s="14" t="s">
        <v>144</v>
      </c>
      <c r="N55" s="14" t="s">
        <v>100</v>
      </c>
      <c r="O55" s="12" t="s">
        <v>272</v>
      </c>
      <c r="P55" s="14" t="s">
        <v>145</v>
      </c>
      <c r="Q55" s="12" t="s">
        <v>272</v>
      </c>
      <c r="R55" s="12" t="s">
        <v>272</v>
      </c>
      <c r="S55" s="12" t="s">
        <v>272</v>
      </c>
      <c r="T55" s="12" t="s">
        <v>272</v>
      </c>
      <c r="U55" s="14" t="s">
        <v>306</v>
      </c>
      <c r="V55" s="18"/>
      <c r="W55" s="93"/>
      <c r="X55" s="25"/>
      <c r="Y55" s="13"/>
      <c r="Z55" s="90" t="s">
        <v>271</v>
      </c>
      <c r="AA55" s="90" t="s">
        <v>354</v>
      </c>
      <c r="AB55" s="13"/>
      <c r="AC55" s="13"/>
    </row>
    <row r="56" spans="2:29" x14ac:dyDescent="0.2">
      <c r="B56" s="14" t="s">
        <v>146</v>
      </c>
      <c r="C56" s="14">
        <v>47</v>
      </c>
      <c r="D56" s="15" t="s">
        <v>146</v>
      </c>
      <c r="E56" s="14" t="s">
        <v>852</v>
      </c>
      <c r="F56" s="14" t="s">
        <v>853</v>
      </c>
      <c r="G56" s="14" t="s">
        <v>854</v>
      </c>
      <c r="H56" s="14" t="s">
        <v>855</v>
      </c>
      <c r="I56" s="14" t="s">
        <v>147</v>
      </c>
      <c r="J56" s="12" t="s">
        <v>272</v>
      </c>
      <c r="K56" s="12" t="s">
        <v>272</v>
      </c>
      <c r="L56" s="12" t="s">
        <v>272</v>
      </c>
      <c r="M56" s="14" t="s">
        <v>148</v>
      </c>
      <c r="N56" s="12" t="s">
        <v>272</v>
      </c>
      <c r="O56" s="12" t="s">
        <v>272</v>
      </c>
      <c r="P56" s="12" t="s">
        <v>272</v>
      </c>
      <c r="Q56" s="12" t="s">
        <v>272</v>
      </c>
      <c r="R56" s="12" t="s">
        <v>272</v>
      </c>
      <c r="S56" s="12" t="s">
        <v>272</v>
      </c>
      <c r="T56" s="12" t="s">
        <v>272</v>
      </c>
      <c r="U56" s="14" t="s">
        <v>307</v>
      </c>
      <c r="V56" s="18"/>
      <c r="W56" s="93"/>
      <c r="X56" s="25"/>
      <c r="Y56" s="13"/>
      <c r="Z56" s="90" t="s">
        <v>271</v>
      </c>
      <c r="AA56" s="90" t="s">
        <v>354</v>
      </c>
      <c r="AB56" s="13"/>
      <c r="AC56" s="13"/>
    </row>
    <row r="57" spans="2:29" x14ac:dyDescent="0.2">
      <c r="B57" s="14" t="s">
        <v>149</v>
      </c>
      <c r="C57" s="14">
        <v>48</v>
      </c>
      <c r="D57" s="15" t="s">
        <v>149</v>
      </c>
      <c r="E57" s="14" t="s">
        <v>856</v>
      </c>
      <c r="F57" s="14" t="s">
        <v>857</v>
      </c>
      <c r="G57" s="14" t="s">
        <v>858</v>
      </c>
      <c r="H57" s="14" t="s">
        <v>859</v>
      </c>
      <c r="I57" s="14" t="s">
        <v>150</v>
      </c>
      <c r="J57" s="12" t="s">
        <v>272</v>
      </c>
      <c r="K57" s="12" t="s">
        <v>272</v>
      </c>
      <c r="L57" s="12" t="s">
        <v>272</v>
      </c>
      <c r="M57" s="14" t="s">
        <v>151</v>
      </c>
      <c r="N57" s="12" t="s">
        <v>272</v>
      </c>
      <c r="O57" s="12" t="s">
        <v>272</v>
      </c>
      <c r="P57" s="12" t="s">
        <v>272</v>
      </c>
      <c r="Q57" s="12" t="s">
        <v>272</v>
      </c>
      <c r="R57" s="12" t="s">
        <v>272</v>
      </c>
      <c r="S57" s="12" t="s">
        <v>272</v>
      </c>
      <c r="T57" s="12" t="s">
        <v>272</v>
      </c>
      <c r="U57" s="14" t="s">
        <v>308</v>
      </c>
      <c r="V57" s="18"/>
      <c r="W57" s="93"/>
      <c r="X57" s="25"/>
      <c r="Y57" s="13"/>
      <c r="Z57" s="90" t="s">
        <v>271</v>
      </c>
      <c r="AA57" s="90" t="s">
        <v>354</v>
      </c>
      <c r="AB57" s="13"/>
      <c r="AC57" s="13"/>
    </row>
    <row r="58" spans="2:29" x14ac:dyDescent="0.2">
      <c r="B58" s="14" t="s">
        <v>152</v>
      </c>
      <c r="C58" s="14">
        <v>49</v>
      </c>
      <c r="D58" s="15" t="s">
        <v>152</v>
      </c>
      <c r="E58" s="14" t="s">
        <v>860</v>
      </c>
      <c r="F58" s="14" t="s">
        <v>861</v>
      </c>
      <c r="G58" s="14" t="s">
        <v>862</v>
      </c>
      <c r="H58" s="14" t="s">
        <v>863</v>
      </c>
      <c r="I58" s="14" t="s">
        <v>153</v>
      </c>
      <c r="J58" s="12" t="s">
        <v>272</v>
      </c>
      <c r="K58" s="12" t="s">
        <v>272</v>
      </c>
      <c r="L58" s="12" t="s">
        <v>272</v>
      </c>
      <c r="M58" s="12" t="s">
        <v>272</v>
      </c>
      <c r="N58" s="12" t="s">
        <v>272</v>
      </c>
      <c r="O58" s="12" t="s">
        <v>272</v>
      </c>
      <c r="P58" s="12" t="s">
        <v>272</v>
      </c>
      <c r="Q58" s="12" t="s">
        <v>272</v>
      </c>
      <c r="R58" s="12" t="s">
        <v>272</v>
      </c>
      <c r="S58" s="12" t="s">
        <v>272</v>
      </c>
      <c r="T58" s="12" t="s">
        <v>272</v>
      </c>
      <c r="U58" s="14" t="s">
        <v>309</v>
      </c>
      <c r="V58" s="18"/>
      <c r="W58" s="93"/>
      <c r="X58" s="25"/>
      <c r="Y58" s="13"/>
      <c r="Z58" s="90" t="s">
        <v>271</v>
      </c>
      <c r="AA58" s="90" t="s">
        <v>354</v>
      </c>
      <c r="AB58" s="13"/>
      <c r="AC58" s="13"/>
    </row>
    <row r="59" spans="2:29" x14ac:dyDescent="0.2">
      <c r="B59" s="17" t="s">
        <v>354</v>
      </c>
      <c r="C59" s="92">
        <v>50</v>
      </c>
      <c r="D59" s="12" t="s">
        <v>272</v>
      </c>
      <c r="E59" s="12" t="s">
        <v>272</v>
      </c>
      <c r="F59" s="12" t="s">
        <v>272</v>
      </c>
      <c r="G59" s="12" t="s">
        <v>272</v>
      </c>
      <c r="H59" s="12" t="s">
        <v>272</v>
      </c>
      <c r="I59" s="12" t="s">
        <v>272</v>
      </c>
      <c r="J59" s="12" t="s">
        <v>272</v>
      </c>
      <c r="K59" s="12" t="s">
        <v>272</v>
      </c>
      <c r="L59" s="12" t="s">
        <v>272</v>
      </c>
      <c r="M59" s="12" t="s">
        <v>272</v>
      </c>
      <c r="N59" s="12" t="s">
        <v>272</v>
      </c>
      <c r="O59" s="12" t="s">
        <v>272</v>
      </c>
      <c r="P59" s="12" t="s">
        <v>272</v>
      </c>
      <c r="Q59" s="12" t="s">
        <v>272</v>
      </c>
      <c r="R59" s="12" t="s">
        <v>272</v>
      </c>
      <c r="S59" s="12" t="s">
        <v>272</v>
      </c>
      <c r="T59" s="12" t="s">
        <v>272</v>
      </c>
      <c r="U59" s="12" t="s">
        <v>272</v>
      </c>
      <c r="V59" s="17" t="s">
        <v>354</v>
      </c>
      <c r="W59" s="12" t="s">
        <v>272</v>
      </c>
      <c r="X59" s="25"/>
      <c r="Y59" s="13" t="s">
        <v>532</v>
      </c>
      <c r="Z59" s="90" t="s">
        <v>543</v>
      </c>
      <c r="AA59" s="90" t="s">
        <v>543</v>
      </c>
      <c r="AB59" s="13"/>
      <c r="AC59" s="13"/>
    </row>
    <row r="60" spans="2:29" x14ac:dyDescent="0.2">
      <c r="B60" s="10" t="s">
        <v>253</v>
      </c>
      <c r="C60" s="92">
        <v>51</v>
      </c>
      <c r="D60" s="12" t="s">
        <v>272</v>
      </c>
      <c r="E60" s="12" t="s">
        <v>272</v>
      </c>
      <c r="F60" s="12" t="s">
        <v>272</v>
      </c>
      <c r="G60" s="12" t="s">
        <v>272</v>
      </c>
      <c r="H60" s="12" t="s">
        <v>272</v>
      </c>
      <c r="I60" s="12" t="s">
        <v>272</v>
      </c>
      <c r="J60" s="12" t="s">
        <v>272</v>
      </c>
      <c r="K60" s="12" t="s">
        <v>272</v>
      </c>
      <c r="L60" s="12" t="s">
        <v>272</v>
      </c>
      <c r="M60" s="12" t="s">
        <v>272</v>
      </c>
      <c r="N60" s="12" t="s">
        <v>272</v>
      </c>
      <c r="O60" s="12" t="s">
        <v>272</v>
      </c>
      <c r="P60" s="12" t="s">
        <v>272</v>
      </c>
      <c r="Q60" s="12" t="s">
        <v>272</v>
      </c>
      <c r="R60" s="12" t="s">
        <v>272</v>
      </c>
      <c r="S60" s="12" t="s">
        <v>272</v>
      </c>
      <c r="T60" s="12" t="s">
        <v>272</v>
      </c>
      <c r="U60" s="12" t="s">
        <v>272</v>
      </c>
      <c r="V60" s="10" t="s">
        <v>253</v>
      </c>
      <c r="W60" s="12" t="s">
        <v>272</v>
      </c>
      <c r="X60" s="25"/>
      <c r="Y60" s="13" t="s">
        <v>531</v>
      </c>
      <c r="Z60" s="90" t="s">
        <v>543</v>
      </c>
      <c r="AA60" s="90" t="s">
        <v>543</v>
      </c>
      <c r="AB60" s="13"/>
      <c r="AC60" s="13"/>
    </row>
    <row r="61" spans="2:29" x14ac:dyDescent="0.2">
      <c r="B61" s="14" t="s">
        <v>158</v>
      </c>
      <c r="C61" s="14">
        <v>52</v>
      </c>
      <c r="D61" s="15" t="s">
        <v>158</v>
      </c>
      <c r="E61" s="14" t="s">
        <v>876</v>
      </c>
      <c r="F61" s="14" t="s">
        <v>877</v>
      </c>
      <c r="G61" s="14" t="s">
        <v>878</v>
      </c>
      <c r="H61" s="14" t="s">
        <v>879</v>
      </c>
      <c r="I61" s="14" t="s">
        <v>159</v>
      </c>
      <c r="J61" s="14" t="s">
        <v>880</v>
      </c>
      <c r="K61" s="12" t="s">
        <v>272</v>
      </c>
      <c r="L61" s="14" t="s">
        <v>881</v>
      </c>
      <c r="M61" s="14" t="s">
        <v>92</v>
      </c>
      <c r="N61" s="12" t="s">
        <v>272</v>
      </c>
      <c r="O61" s="14" t="s">
        <v>882</v>
      </c>
      <c r="P61" s="12" t="s">
        <v>272</v>
      </c>
      <c r="Q61" s="12" t="s">
        <v>272</v>
      </c>
      <c r="R61" s="12" t="s">
        <v>272</v>
      </c>
      <c r="S61" s="12" t="s">
        <v>272</v>
      </c>
      <c r="T61" s="12" t="s">
        <v>272</v>
      </c>
      <c r="U61" s="14" t="s">
        <v>313</v>
      </c>
      <c r="V61" s="18"/>
      <c r="W61" s="93"/>
      <c r="X61" s="25" t="str">
        <f>_xlfn.IFS(AND(COUNTIF(V61,"SCB*")=1, 'PCH100'!G60&gt;=2), "See the Notice *2", TRUE, "")</f>
        <v/>
      </c>
      <c r="Y61" s="13"/>
      <c r="Z61" s="90" t="s">
        <v>271</v>
      </c>
      <c r="AA61" s="90" t="s">
        <v>354</v>
      </c>
      <c r="AB61" s="13"/>
      <c r="AC61" s="13"/>
    </row>
    <row r="62" spans="2:29" x14ac:dyDescent="0.2">
      <c r="B62" s="14" t="s">
        <v>160</v>
      </c>
      <c r="C62" s="14">
        <v>53</v>
      </c>
      <c r="D62" s="15" t="s">
        <v>160</v>
      </c>
      <c r="E62" s="14" t="s">
        <v>883</v>
      </c>
      <c r="F62" s="14" t="s">
        <v>884</v>
      </c>
      <c r="G62" s="14" t="s">
        <v>885</v>
      </c>
      <c r="H62" s="14" t="s">
        <v>886</v>
      </c>
      <c r="I62" s="14" t="s">
        <v>161</v>
      </c>
      <c r="J62" s="14" t="s">
        <v>887</v>
      </c>
      <c r="K62" s="14" t="s">
        <v>888</v>
      </c>
      <c r="L62" s="14" t="s">
        <v>889</v>
      </c>
      <c r="M62" s="14" t="s">
        <v>94</v>
      </c>
      <c r="N62" s="12" t="s">
        <v>272</v>
      </c>
      <c r="O62" s="14" t="s">
        <v>890</v>
      </c>
      <c r="P62" s="12" t="s">
        <v>272</v>
      </c>
      <c r="Q62" s="12" t="s">
        <v>272</v>
      </c>
      <c r="R62" s="12" t="s">
        <v>272</v>
      </c>
      <c r="S62" s="12" t="s">
        <v>272</v>
      </c>
      <c r="T62" s="12" t="s">
        <v>272</v>
      </c>
      <c r="U62" s="14" t="s">
        <v>314</v>
      </c>
      <c r="V62" s="18"/>
      <c r="W62" s="93"/>
      <c r="X62" s="25" t="str">
        <f>_xlfn.IFS(AND(COUNTIF(V62,"SCB*")=1, 'PCH100'!G60&gt;=2), "See the Notice *2", TRUE, "")</f>
        <v/>
      </c>
      <c r="Y62" s="13"/>
      <c r="Z62" s="90" t="s">
        <v>271</v>
      </c>
      <c r="AA62" s="90" t="s">
        <v>354</v>
      </c>
      <c r="AB62" s="13"/>
      <c r="AC62" s="13"/>
    </row>
    <row r="63" spans="2:29" x14ac:dyDescent="0.2">
      <c r="B63" s="14" t="s">
        <v>162</v>
      </c>
      <c r="C63" s="14">
        <v>54</v>
      </c>
      <c r="D63" s="15" t="s">
        <v>162</v>
      </c>
      <c r="E63" s="14" t="s">
        <v>891</v>
      </c>
      <c r="F63" s="14" t="s">
        <v>892</v>
      </c>
      <c r="G63" s="14" t="s">
        <v>893</v>
      </c>
      <c r="H63" s="14" t="s">
        <v>894</v>
      </c>
      <c r="I63" s="14" t="s">
        <v>163</v>
      </c>
      <c r="J63" s="14" t="s">
        <v>895</v>
      </c>
      <c r="K63" s="14" t="s">
        <v>896</v>
      </c>
      <c r="L63" s="14" t="s">
        <v>897</v>
      </c>
      <c r="M63" s="14" t="s">
        <v>96</v>
      </c>
      <c r="N63" s="12" t="s">
        <v>272</v>
      </c>
      <c r="O63" s="14" t="s">
        <v>898</v>
      </c>
      <c r="P63" s="12" t="s">
        <v>272</v>
      </c>
      <c r="Q63" s="12" t="s">
        <v>272</v>
      </c>
      <c r="R63" s="12" t="s">
        <v>272</v>
      </c>
      <c r="S63" s="12" t="s">
        <v>272</v>
      </c>
      <c r="T63" s="12" t="s">
        <v>272</v>
      </c>
      <c r="U63" s="14" t="s">
        <v>315</v>
      </c>
      <c r="V63" s="18"/>
      <c r="W63" s="93"/>
      <c r="X63" s="25" t="str">
        <f>_xlfn.IFS(AND(COUNTIF(V63,"SCB*")=1, 'PCH100'!G60&gt;=2), "See the Notice *2", TRUE, "")</f>
        <v/>
      </c>
      <c r="Y63" s="13"/>
      <c r="Z63" s="90" t="s">
        <v>271</v>
      </c>
      <c r="AA63" s="90" t="s">
        <v>354</v>
      </c>
      <c r="AB63" s="13"/>
      <c r="AC63" s="13"/>
    </row>
    <row r="64" spans="2:29" x14ac:dyDescent="0.2">
      <c r="B64" s="14" t="s">
        <v>164</v>
      </c>
      <c r="C64" s="14">
        <v>55</v>
      </c>
      <c r="D64" s="15" t="s">
        <v>164</v>
      </c>
      <c r="E64" s="14" t="s">
        <v>899</v>
      </c>
      <c r="F64" s="14" t="s">
        <v>900</v>
      </c>
      <c r="G64" s="14" t="s">
        <v>901</v>
      </c>
      <c r="H64" s="14" t="s">
        <v>902</v>
      </c>
      <c r="I64" s="14" t="s">
        <v>165</v>
      </c>
      <c r="J64" s="14" t="s">
        <v>903</v>
      </c>
      <c r="K64" s="12" t="s">
        <v>272</v>
      </c>
      <c r="L64" s="14" t="s">
        <v>904</v>
      </c>
      <c r="M64" s="12" t="s">
        <v>272</v>
      </c>
      <c r="N64" s="12" t="s">
        <v>272</v>
      </c>
      <c r="O64" s="12" t="s">
        <v>272</v>
      </c>
      <c r="P64" s="12" t="s">
        <v>272</v>
      </c>
      <c r="Q64" s="12" t="s">
        <v>272</v>
      </c>
      <c r="R64" s="12" t="s">
        <v>272</v>
      </c>
      <c r="S64" s="12" t="s">
        <v>272</v>
      </c>
      <c r="T64" s="12" t="s">
        <v>272</v>
      </c>
      <c r="U64" s="14" t="s">
        <v>316</v>
      </c>
      <c r="V64" s="18"/>
      <c r="W64" s="93"/>
      <c r="X64" s="25" t="str">
        <f>_xlfn.IFS(AND(COUNTIF(V64,"SCB*")=1, 'PCH100'!G60&gt;=2), "See the Notice *2", TRUE, "")</f>
        <v/>
      </c>
      <c r="Y64" s="13"/>
      <c r="Z64" s="90" t="s">
        <v>271</v>
      </c>
      <c r="AA64" s="90" t="s">
        <v>354</v>
      </c>
      <c r="AB64" s="13"/>
      <c r="AC64" s="13"/>
    </row>
    <row r="65" spans="2:29" x14ac:dyDescent="0.2">
      <c r="B65" s="14" t="s">
        <v>166</v>
      </c>
      <c r="C65" s="14">
        <v>56</v>
      </c>
      <c r="D65" s="15" t="s">
        <v>166</v>
      </c>
      <c r="E65" s="14" t="s">
        <v>905</v>
      </c>
      <c r="F65" s="14" t="s">
        <v>906</v>
      </c>
      <c r="G65" s="14" t="s">
        <v>907</v>
      </c>
      <c r="H65" s="14" t="s">
        <v>908</v>
      </c>
      <c r="I65" s="14" t="s">
        <v>590</v>
      </c>
      <c r="J65" s="12" t="s">
        <v>272</v>
      </c>
      <c r="K65" s="12" t="s">
        <v>272</v>
      </c>
      <c r="L65" s="14" t="s">
        <v>909</v>
      </c>
      <c r="M65" s="14" t="s">
        <v>817</v>
      </c>
      <c r="N65" s="12" t="s">
        <v>272</v>
      </c>
      <c r="O65" s="12" t="s">
        <v>272</v>
      </c>
      <c r="P65" s="12" t="s">
        <v>272</v>
      </c>
      <c r="Q65" s="12" t="s">
        <v>272</v>
      </c>
      <c r="R65" s="12" t="s">
        <v>272</v>
      </c>
      <c r="S65" s="12" t="s">
        <v>272</v>
      </c>
      <c r="T65" s="12" t="s">
        <v>272</v>
      </c>
      <c r="U65" s="14" t="s">
        <v>317</v>
      </c>
      <c r="V65" s="18"/>
      <c r="W65" s="93"/>
      <c r="X65" s="25" t="str">
        <f>_xlfn.IFS(AND(COUNTIF(V65,"SCB*")=1, 'PCH100'!G60&gt;=2), "See the Notice *2", TRUE, "")</f>
        <v/>
      </c>
      <c r="Y65" s="13"/>
      <c r="Z65" s="90" t="s">
        <v>271</v>
      </c>
      <c r="AA65" s="90" t="s">
        <v>354</v>
      </c>
      <c r="AB65" s="13"/>
      <c r="AC65" s="13"/>
    </row>
    <row r="66" spans="2:29" x14ac:dyDescent="0.2">
      <c r="B66" s="14" t="s">
        <v>167</v>
      </c>
      <c r="C66" s="14">
        <v>57</v>
      </c>
      <c r="D66" s="15" t="s">
        <v>167</v>
      </c>
      <c r="E66" s="14" t="s">
        <v>910</v>
      </c>
      <c r="F66" s="14" t="s">
        <v>911</v>
      </c>
      <c r="G66" s="14" t="s">
        <v>912</v>
      </c>
      <c r="H66" s="14" t="s">
        <v>913</v>
      </c>
      <c r="I66" s="14" t="s">
        <v>640</v>
      </c>
      <c r="J66" s="12" t="s">
        <v>272</v>
      </c>
      <c r="K66" s="12" t="s">
        <v>272</v>
      </c>
      <c r="L66" s="14" t="s">
        <v>914</v>
      </c>
      <c r="M66" s="14" t="s">
        <v>824</v>
      </c>
      <c r="N66" s="12" t="s">
        <v>272</v>
      </c>
      <c r="O66" s="14" t="s">
        <v>915</v>
      </c>
      <c r="P66" s="12" t="s">
        <v>272</v>
      </c>
      <c r="Q66" s="12" t="s">
        <v>272</v>
      </c>
      <c r="R66" s="12" t="s">
        <v>272</v>
      </c>
      <c r="S66" s="12" t="s">
        <v>272</v>
      </c>
      <c r="T66" s="12" t="s">
        <v>272</v>
      </c>
      <c r="U66" s="14" t="s">
        <v>318</v>
      </c>
      <c r="V66" s="18"/>
      <c r="W66" s="93"/>
      <c r="X66" s="25" t="str">
        <f>_xlfn.IFS(AND(COUNTIF(V66,"SCB*")=1, 'PCH100'!G60&gt;=2), "See the Notice *2", TRUE, "")</f>
        <v/>
      </c>
      <c r="Y66" s="13"/>
      <c r="Z66" s="90" t="s">
        <v>271</v>
      </c>
      <c r="AA66" s="90" t="s">
        <v>354</v>
      </c>
      <c r="AB66" s="13"/>
      <c r="AC66" s="13"/>
    </row>
    <row r="67" spans="2:29" x14ac:dyDescent="0.2">
      <c r="B67" s="14" t="s">
        <v>168</v>
      </c>
      <c r="C67" s="14">
        <v>58</v>
      </c>
      <c r="D67" s="15" t="s">
        <v>168</v>
      </c>
      <c r="E67" s="14" t="s">
        <v>916</v>
      </c>
      <c r="F67" s="14" t="s">
        <v>917</v>
      </c>
      <c r="G67" s="14" t="s">
        <v>918</v>
      </c>
      <c r="H67" s="14" t="s">
        <v>919</v>
      </c>
      <c r="I67" s="14" t="s">
        <v>595</v>
      </c>
      <c r="J67" s="12" t="s">
        <v>272</v>
      </c>
      <c r="K67" s="12" t="s">
        <v>272</v>
      </c>
      <c r="L67" s="14" t="s">
        <v>920</v>
      </c>
      <c r="M67" s="14" t="s">
        <v>830</v>
      </c>
      <c r="N67" s="12" t="s">
        <v>272</v>
      </c>
      <c r="O67" s="14" t="s">
        <v>921</v>
      </c>
      <c r="P67" s="14" t="s">
        <v>169</v>
      </c>
      <c r="Q67" s="12" t="s">
        <v>272</v>
      </c>
      <c r="R67" s="12" t="s">
        <v>272</v>
      </c>
      <c r="S67" s="12" t="s">
        <v>272</v>
      </c>
      <c r="T67" s="12" t="s">
        <v>272</v>
      </c>
      <c r="U67" s="14" t="s">
        <v>319</v>
      </c>
      <c r="V67" s="18"/>
      <c r="W67" s="93"/>
      <c r="X67" s="25" t="str">
        <f>_xlfn.IFS(AND(COUNTIF(V67,"SCB*")=1, 'PCH100'!G60&gt;=2), "See the Notice *2", TRUE, "")</f>
        <v/>
      </c>
      <c r="Y67" s="13"/>
      <c r="Z67" s="90" t="s">
        <v>271</v>
      </c>
      <c r="AA67" s="90" t="s">
        <v>354</v>
      </c>
      <c r="AB67" s="13"/>
      <c r="AC67" s="13"/>
    </row>
    <row r="68" spans="2:29" x14ac:dyDescent="0.2">
      <c r="B68" s="14" t="s">
        <v>170</v>
      </c>
      <c r="C68" s="14">
        <v>59</v>
      </c>
      <c r="D68" s="15" t="s">
        <v>170</v>
      </c>
      <c r="E68" s="14" t="s">
        <v>922</v>
      </c>
      <c r="F68" s="14" t="s">
        <v>923</v>
      </c>
      <c r="G68" s="14" t="s">
        <v>924</v>
      </c>
      <c r="H68" s="14" t="s">
        <v>925</v>
      </c>
      <c r="I68" s="14" t="s">
        <v>646</v>
      </c>
      <c r="J68" s="12" t="s">
        <v>272</v>
      </c>
      <c r="K68" s="12" t="s">
        <v>272</v>
      </c>
      <c r="L68" s="12" t="s">
        <v>272</v>
      </c>
      <c r="M68" s="12" t="s">
        <v>272</v>
      </c>
      <c r="N68" s="12" t="s">
        <v>272</v>
      </c>
      <c r="O68" s="14" t="s">
        <v>926</v>
      </c>
      <c r="P68" s="14" t="s">
        <v>171</v>
      </c>
      <c r="Q68" s="12" t="s">
        <v>272</v>
      </c>
      <c r="R68" s="12" t="s">
        <v>272</v>
      </c>
      <c r="S68" s="12" t="s">
        <v>272</v>
      </c>
      <c r="T68" s="12" t="s">
        <v>272</v>
      </c>
      <c r="U68" s="14" t="s">
        <v>320</v>
      </c>
      <c r="V68" s="18"/>
      <c r="W68" s="93"/>
      <c r="X68" s="25"/>
      <c r="Y68" s="13"/>
      <c r="Z68" s="90" t="s">
        <v>271</v>
      </c>
      <c r="AA68" s="90" t="s">
        <v>354</v>
      </c>
      <c r="AB68" s="13"/>
      <c r="AC68" s="13"/>
    </row>
    <row r="69" spans="2:29" x14ac:dyDescent="0.2">
      <c r="B69" s="14" t="s">
        <v>172</v>
      </c>
      <c r="C69" s="14">
        <v>60</v>
      </c>
      <c r="D69" s="15" t="s">
        <v>172</v>
      </c>
      <c r="E69" s="14" t="s">
        <v>927</v>
      </c>
      <c r="F69" s="14" t="s">
        <v>928</v>
      </c>
      <c r="G69" s="14" t="s">
        <v>929</v>
      </c>
      <c r="H69" s="14" t="s">
        <v>930</v>
      </c>
      <c r="I69" s="14" t="s">
        <v>600</v>
      </c>
      <c r="J69" s="14" t="s">
        <v>931</v>
      </c>
      <c r="K69" s="12" t="s">
        <v>272</v>
      </c>
      <c r="L69" s="14" t="s">
        <v>932</v>
      </c>
      <c r="M69" s="12" t="s">
        <v>272</v>
      </c>
      <c r="N69" s="14" t="s">
        <v>173</v>
      </c>
      <c r="O69" s="12" t="s">
        <v>272</v>
      </c>
      <c r="P69" s="12" t="s">
        <v>272</v>
      </c>
      <c r="Q69" s="12" t="s">
        <v>272</v>
      </c>
      <c r="R69" s="12" t="s">
        <v>272</v>
      </c>
      <c r="S69" s="12" t="s">
        <v>272</v>
      </c>
      <c r="T69" s="12" t="s">
        <v>272</v>
      </c>
      <c r="U69" s="14" t="s">
        <v>321</v>
      </c>
      <c r="V69" s="18"/>
      <c r="W69" s="93"/>
      <c r="X69" s="25" t="str">
        <f>_xlfn.IFS(AND(COUNTIF(V69,"SCB*")=1, 'PCH100'!F60&gt;=2), "See the Notice *2", TRUE, "")</f>
        <v/>
      </c>
      <c r="Y69" s="13"/>
      <c r="Z69" s="90" t="s">
        <v>271</v>
      </c>
      <c r="AA69" s="90" t="s">
        <v>354</v>
      </c>
      <c r="AB69" s="13"/>
      <c r="AC69" s="13"/>
    </row>
    <row r="70" spans="2:29" x14ac:dyDescent="0.2">
      <c r="B70" s="14" t="s">
        <v>174</v>
      </c>
      <c r="C70" s="14">
        <v>61</v>
      </c>
      <c r="D70" s="15" t="s">
        <v>174</v>
      </c>
      <c r="E70" s="14" t="s">
        <v>933</v>
      </c>
      <c r="F70" s="14" t="s">
        <v>934</v>
      </c>
      <c r="G70" s="14" t="s">
        <v>935</v>
      </c>
      <c r="H70" s="14" t="s">
        <v>936</v>
      </c>
      <c r="I70" s="14" t="s">
        <v>652</v>
      </c>
      <c r="J70" s="14" t="s">
        <v>937</v>
      </c>
      <c r="K70" s="14" t="s">
        <v>938</v>
      </c>
      <c r="L70" s="14" t="s">
        <v>939</v>
      </c>
      <c r="M70" s="12" t="s">
        <v>272</v>
      </c>
      <c r="N70" s="14" t="s">
        <v>175</v>
      </c>
      <c r="O70" s="12" t="s">
        <v>272</v>
      </c>
      <c r="P70" s="12" t="s">
        <v>272</v>
      </c>
      <c r="Q70" s="12" t="s">
        <v>272</v>
      </c>
      <c r="R70" s="12" t="s">
        <v>272</v>
      </c>
      <c r="S70" s="12" t="s">
        <v>272</v>
      </c>
      <c r="T70" s="12" t="s">
        <v>272</v>
      </c>
      <c r="U70" s="14" t="s">
        <v>322</v>
      </c>
      <c r="V70" s="18"/>
      <c r="W70" s="93"/>
      <c r="X70" s="25" t="str">
        <f>_xlfn.IFS(AND(COUNTIF(V70,"SCB*")=1, 'PCH100'!F60&gt;=2), "See the Notice *2", TRUE, "")</f>
        <v/>
      </c>
      <c r="Y70" s="13"/>
      <c r="Z70" s="90" t="s">
        <v>271</v>
      </c>
      <c r="AA70" s="90" t="s">
        <v>354</v>
      </c>
      <c r="AB70" s="13"/>
      <c r="AC70" s="13"/>
    </row>
    <row r="71" spans="2:29" x14ac:dyDescent="0.2">
      <c r="B71" s="14" t="s">
        <v>176</v>
      </c>
      <c r="C71" s="14">
        <v>62</v>
      </c>
      <c r="D71" s="15" t="s">
        <v>176</v>
      </c>
      <c r="E71" s="14" t="s">
        <v>940</v>
      </c>
      <c r="F71" s="14" t="s">
        <v>941</v>
      </c>
      <c r="G71" s="14" t="s">
        <v>942</v>
      </c>
      <c r="H71" s="14" t="s">
        <v>943</v>
      </c>
      <c r="I71" s="14" t="s">
        <v>605</v>
      </c>
      <c r="J71" s="14" t="s">
        <v>944</v>
      </c>
      <c r="K71" s="14" t="s">
        <v>945</v>
      </c>
      <c r="L71" s="14" t="s">
        <v>946</v>
      </c>
      <c r="M71" s="14" t="s">
        <v>148</v>
      </c>
      <c r="N71" s="12" t="s">
        <v>272</v>
      </c>
      <c r="O71" s="12" t="s">
        <v>272</v>
      </c>
      <c r="P71" s="12" t="s">
        <v>272</v>
      </c>
      <c r="Q71" s="12" t="s">
        <v>272</v>
      </c>
      <c r="R71" s="12" t="s">
        <v>272</v>
      </c>
      <c r="S71" s="12" t="s">
        <v>272</v>
      </c>
      <c r="T71" s="12" t="s">
        <v>272</v>
      </c>
      <c r="U71" s="14" t="s">
        <v>323</v>
      </c>
      <c r="V71" s="18"/>
      <c r="W71" s="93"/>
      <c r="X71" s="25" t="str">
        <f>_xlfn.IFS(AND(COUNTIF(V71,"SCB*")=1, 'PCH100'!F60&gt;=2), "See the Notice *2", TRUE, "")</f>
        <v/>
      </c>
      <c r="Y71" s="13"/>
      <c r="Z71" s="90" t="s">
        <v>271</v>
      </c>
      <c r="AA71" s="90" t="s">
        <v>354</v>
      </c>
      <c r="AB71" s="13"/>
      <c r="AC71" s="13"/>
    </row>
    <row r="72" spans="2:29" x14ac:dyDescent="0.2">
      <c r="B72" s="14" t="s">
        <v>177</v>
      </c>
      <c r="C72" s="14">
        <v>63</v>
      </c>
      <c r="D72" s="15" t="s">
        <v>177</v>
      </c>
      <c r="E72" s="14" t="s">
        <v>947</v>
      </c>
      <c r="F72" s="14" t="s">
        <v>948</v>
      </c>
      <c r="G72" s="14" t="s">
        <v>949</v>
      </c>
      <c r="H72" s="14" t="s">
        <v>950</v>
      </c>
      <c r="I72" s="14" t="s">
        <v>660</v>
      </c>
      <c r="J72" s="14" t="s">
        <v>951</v>
      </c>
      <c r="K72" s="12" t="s">
        <v>272</v>
      </c>
      <c r="L72" s="14" t="s">
        <v>952</v>
      </c>
      <c r="M72" s="14" t="s">
        <v>151</v>
      </c>
      <c r="N72" s="12" t="s">
        <v>272</v>
      </c>
      <c r="O72" s="12" t="s">
        <v>272</v>
      </c>
      <c r="P72" s="12" t="s">
        <v>272</v>
      </c>
      <c r="Q72" s="12" t="s">
        <v>272</v>
      </c>
      <c r="R72" s="12" t="s">
        <v>272</v>
      </c>
      <c r="S72" s="12" t="s">
        <v>272</v>
      </c>
      <c r="T72" s="12" t="s">
        <v>272</v>
      </c>
      <c r="U72" s="14" t="s">
        <v>324</v>
      </c>
      <c r="V72" s="18"/>
      <c r="W72" s="93"/>
      <c r="X72" s="25" t="str">
        <f>_xlfn.IFS(AND(COUNTIF(V72,"SCB*")=1, 'PCH100'!F60&gt;=2), "See the Notice *2", TRUE, "")</f>
        <v/>
      </c>
      <c r="Y72" s="13"/>
      <c r="Z72" s="90" t="s">
        <v>271</v>
      </c>
      <c r="AA72" s="90" t="s">
        <v>354</v>
      </c>
      <c r="AB72" s="13"/>
      <c r="AC72" s="13"/>
    </row>
    <row r="73" spans="2:29" x14ac:dyDescent="0.2">
      <c r="B73" s="14" t="s">
        <v>192</v>
      </c>
      <c r="C73" s="14">
        <v>64</v>
      </c>
      <c r="D73" s="15" t="s">
        <v>192</v>
      </c>
      <c r="E73" s="14" t="s">
        <v>995</v>
      </c>
      <c r="F73" s="14" t="s">
        <v>1007</v>
      </c>
      <c r="G73" s="14" t="s">
        <v>997</v>
      </c>
      <c r="H73" s="14" t="s">
        <v>1008</v>
      </c>
      <c r="I73" s="12" t="s">
        <v>272</v>
      </c>
      <c r="J73" s="12" t="s">
        <v>272</v>
      </c>
      <c r="K73" s="12" t="s">
        <v>272</v>
      </c>
      <c r="L73" s="12" t="s">
        <v>272</v>
      </c>
      <c r="M73" s="12" t="s">
        <v>272</v>
      </c>
      <c r="N73" s="14" t="s">
        <v>193</v>
      </c>
      <c r="O73" s="12" t="s">
        <v>272</v>
      </c>
      <c r="P73" s="12" t="s">
        <v>272</v>
      </c>
      <c r="Q73" s="12" t="s">
        <v>272</v>
      </c>
      <c r="R73" s="12" t="s">
        <v>272</v>
      </c>
      <c r="S73" s="12" t="s">
        <v>272</v>
      </c>
      <c r="T73" s="12" t="s">
        <v>272</v>
      </c>
      <c r="U73" s="12" t="s">
        <v>272</v>
      </c>
      <c r="V73" s="18"/>
      <c r="W73" s="93"/>
      <c r="X73" s="25"/>
      <c r="Y73" s="13"/>
      <c r="Z73" s="90" t="s">
        <v>271</v>
      </c>
      <c r="AA73" s="13" t="s">
        <v>254</v>
      </c>
      <c r="AB73" s="13"/>
      <c r="AC73" s="13"/>
    </row>
    <row r="74" spans="2:29" x14ac:dyDescent="0.2">
      <c r="B74" s="14" t="s">
        <v>194</v>
      </c>
      <c r="C74" s="14">
        <v>65</v>
      </c>
      <c r="D74" s="15" t="s">
        <v>194</v>
      </c>
      <c r="E74" s="14" t="s">
        <v>989</v>
      </c>
      <c r="F74" s="14" t="s">
        <v>1002</v>
      </c>
      <c r="G74" s="14" t="s">
        <v>991</v>
      </c>
      <c r="H74" s="14" t="s">
        <v>1004</v>
      </c>
      <c r="I74" s="14" t="s">
        <v>1010</v>
      </c>
      <c r="J74" s="14" t="s">
        <v>1011</v>
      </c>
      <c r="K74" s="12" t="s">
        <v>272</v>
      </c>
      <c r="L74" s="14" t="s">
        <v>1012</v>
      </c>
      <c r="M74" s="12" t="s">
        <v>272</v>
      </c>
      <c r="N74" s="14" t="s">
        <v>195</v>
      </c>
      <c r="O74" s="12" t="s">
        <v>272</v>
      </c>
      <c r="P74" s="12" t="s">
        <v>272</v>
      </c>
      <c r="Q74" s="12" t="s">
        <v>272</v>
      </c>
      <c r="R74" s="12" t="s">
        <v>272</v>
      </c>
      <c r="S74" s="12" t="s">
        <v>272</v>
      </c>
      <c r="T74" s="12" t="s">
        <v>272</v>
      </c>
      <c r="U74" s="12" t="s">
        <v>272</v>
      </c>
      <c r="V74" s="18"/>
      <c r="W74" s="93"/>
      <c r="X74" s="25" t="str">
        <f>_xlfn.IFS(AND(COUNTIF(V74,"SCB*")=1, 'PCH100'!G60&gt;=2), "See the Notice *2", TRUE, "")</f>
        <v/>
      </c>
      <c r="Y74" s="13"/>
      <c r="Z74" s="90" t="s">
        <v>271</v>
      </c>
      <c r="AA74" s="13" t="s">
        <v>254</v>
      </c>
      <c r="AB74" s="13"/>
      <c r="AC74" s="13"/>
    </row>
    <row r="75" spans="2:29" x14ac:dyDescent="0.2">
      <c r="B75" s="14" t="s">
        <v>196</v>
      </c>
      <c r="C75" s="14">
        <v>66</v>
      </c>
      <c r="D75" s="15" t="s">
        <v>196</v>
      </c>
      <c r="E75" s="14" t="s">
        <v>985</v>
      </c>
      <c r="F75" s="14" t="s">
        <v>996</v>
      </c>
      <c r="G75" s="14" t="s">
        <v>987</v>
      </c>
      <c r="H75" s="14" t="s">
        <v>998</v>
      </c>
      <c r="I75" s="14" t="s">
        <v>1013</v>
      </c>
      <c r="J75" s="14" t="s">
        <v>1014</v>
      </c>
      <c r="K75" s="14" t="s">
        <v>1015</v>
      </c>
      <c r="L75" s="14" t="s">
        <v>1016</v>
      </c>
      <c r="M75" s="12" t="s">
        <v>272</v>
      </c>
      <c r="N75" s="12" t="s">
        <v>272</v>
      </c>
      <c r="O75" s="12" t="s">
        <v>272</v>
      </c>
      <c r="P75" s="12" t="s">
        <v>272</v>
      </c>
      <c r="Q75" s="12" t="s">
        <v>272</v>
      </c>
      <c r="R75" s="12" t="s">
        <v>272</v>
      </c>
      <c r="S75" s="12" t="s">
        <v>272</v>
      </c>
      <c r="T75" s="12" t="s">
        <v>272</v>
      </c>
      <c r="U75" s="12" t="s">
        <v>272</v>
      </c>
      <c r="V75" s="18"/>
      <c r="W75" s="93"/>
      <c r="X75" s="25" t="str">
        <f>_xlfn.IFS(AND(COUNTIF(V75,"SCB*")=1, 'PCH100'!G60&gt;=2), "See the Notice *2", TRUE, "")</f>
        <v/>
      </c>
      <c r="Y75" s="13"/>
      <c r="Z75" s="90" t="s">
        <v>271</v>
      </c>
      <c r="AA75" s="13" t="s">
        <v>254</v>
      </c>
      <c r="AB75" s="13"/>
      <c r="AC75" s="13"/>
    </row>
    <row r="76" spans="2:29" x14ac:dyDescent="0.2">
      <c r="B76" s="14" t="s">
        <v>204</v>
      </c>
      <c r="C76" s="14">
        <v>67</v>
      </c>
      <c r="D76" s="15" t="s">
        <v>204</v>
      </c>
      <c r="E76" s="14" t="s">
        <v>750</v>
      </c>
      <c r="F76" s="14" t="s">
        <v>745</v>
      </c>
      <c r="G76" s="14" t="s">
        <v>752</v>
      </c>
      <c r="H76" s="14" t="s">
        <v>747</v>
      </c>
      <c r="I76" s="14" t="s">
        <v>993</v>
      </c>
      <c r="J76" s="14" t="s">
        <v>1026</v>
      </c>
      <c r="K76" s="12" t="s">
        <v>272</v>
      </c>
      <c r="L76" s="14" t="s">
        <v>1027</v>
      </c>
      <c r="M76" s="12" t="s">
        <v>272</v>
      </c>
      <c r="N76" s="12" t="s">
        <v>272</v>
      </c>
      <c r="O76" s="12" t="s">
        <v>272</v>
      </c>
      <c r="P76" s="12" t="s">
        <v>272</v>
      </c>
      <c r="Q76" s="14" t="s">
        <v>205</v>
      </c>
      <c r="R76" s="12" t="s">
        <v>272</v>
      </c>
      <c r="S76" s="12" t="s">
        <v>272</v>
      </c>
      <c r="T76" s="12" t="s">
        <v>272</v>
      </c>
      <c r="U76" s="14" t="s">
        <v>333</v>
      </c>
      <c r="V76" s="18"/>
      <c r="W76" s="12" t="s">
        <v>272</v>
      </c>
      <c r="X76" s="25" t="str">
        <f>_xlfn.IFS(AND(COUNTIF(V76,"SCB*")=1, 'PCH100'!E60&gt;=2), "See the Notice *2", TRUE, "")</f>
        <v/>
      </c>
      <c r="Y76" s="13"/>
      <c r="Z76" s="90" t="s">
        <v>271</v>
      </c>
      <c r="AA76" s="13" t="s">
        <v>254</v>
      </c>
      <c r="AB76" s="13"/>
      <c r="AC76" s="13"/>
    </row>
    <row r="77" spans="2:29" x14ac:dyDescent="0.2">
      <c r="B77" s="14" t="s">
        <v>206</v>
      </c>
      <c r="C77" s="14">
        <v>68</v>
      </c>
      <c r="D77" s="15" t="s">
        <v>206</v>
      </c>
      <c r="E77" s="14" t="s">
        <v>759</v>
      </c>
      <c r="F77" s="14" t="s">
        <v>755</v>
      </c>
      <c r="G77" s="14" t="s">
        <v>760</v>
      </c>
      <c r="H77" s="14" t="s">
        <v>756</v>
      </c>
      <c r="I77" s="14" t="s">
        <v>999</v>
      </c>
      <c r="J77" s="14" t="s">
        <v>1028</v>
      </c>
      <c r="K77" s="14" t="s">
        <v>1029</v>
      </c>
      <c r="L77" s="14" t="s">
        <v>1030</v>
      </c>
      <c r="M77" s="12" t="s">
        <v>272</v>
      </c>
      <c r="N77" s="12" t="s">
        <v>272</v>
      </c>
      <c r="O77" s="12" t="s">
        <v>272</v>
      </c>
      <c r="P77" s="12" t="s">
        <v>272</v>
      </c>
      <c r="Q77" s="14" t="s">
        <v>207</v>
      </c>
      <c r="R77" s="12" t="s">
        <v>272</v>
      </c>
      <c r="S77" s="12" t="s">
        <v>272</v>
      </c>
      <c r="T77" s="12" t="s">
        <v>272</v>
      </c>
      <c r="U77" s="14" t="s">
        <v>334</v>
      </c>
      <c r="V77" s="18"/>
      <c r="W77" s="12" t="s">
        <v>272</v>
      </c>
      <c r="X77" s="25" t="str">
        <f>_xlfn.IFS(AND(COUNTIF(V77,"SCB*")=1, 'PCH100'!E60&gt;=2), "See the Notice *2", TRUE, "")</f>
        <v/>
      </c>
      <c r="Y77" s="13"/>
      <c r="Z77" s="90" t="s">
        <v>271</v>
      </c>
      <c r="AA77" s="13" t="s">
        <v>254</v>
      </c>
      <c r="AB77" s="13"/>
      <c r="AC77" s="13"/>
    </row>
    <row r="78" spans="2:29" x14ac:dyDescent="0.2">
      <c r="B78" s="14" t="s">
        <v>208</v>
      </c>
      <c r="C78" s="14">
        <v>69</v>
      </c>
      <c r="D78" s="15" t="s">
        <v>208</v>
      </c>
      <c r="E78" s="14" t="s">
        <v>967</v>
      </c>
      <c r="F78" s="14" t="s">
        <v>762</v>
      </c>
      <c r="G78" s="14" t="s">
        <v>969</v>
      </c>
      <c r="H78" s="14" t="s">
        <v>763</v>
      </c>
      <c r="I78" s="14" t="s">
        <v>1005</v>
      </c>
      <c r="J78" s="14" t="s">
        <v>1031</v>
      </c>
      <c r="K78" s="14" t="s">
        <v>1032</v>
      </c>
      <c r="L78" s="14" t="s">
        <v>1033</v>
      </c>
      <c r="M78" s="12" t="s">
        <v>272</v>
      </c>
      <c r="N78" s="12" t="s">
        <v>272</v>
      </c>
      <c r="O78" s="12" t="s">
        <v>272</v>
      </c>
      <c r="P78" s="12" t="s">
        <v>272</v>
      </c>
      <c r="Q78" s="12" t="s">
        <v>272</v>
      </c>
      <c r="R78" s="12" t="s">
        <v>272</v>
      </c>
      <c r="S78" s="12" t="s">
        <v>272</v>
      </c>
      <c r="T78" s="12" t="s">
        <v>272</v>
      </c>
      <c r="U78" s="14" t="s">
        <v>335</v>
      </c>
      <c r="V78" s="18"/>
      <c r="W78" s="12" t="s">
        <v>272</v>
      </c>
      <c r="X78" s="25" t="str">
        <f>_xlfn.IFS(AND(COUNTIF(V78,"SCB*")=1, 'PCH100'!E60&gt;=2), "See the Notice *2", TRUE, "")</f>
        <v/>
      </c>
      <c r="Y78" s="13"/>
      <c r="Z78" s="90" t="s">
        <v>271</v>
      </c>
      <c r="AA78" s="13" t="s">
        <v>254</v>
      </c>
      <c r="AB78" s="13"/>
      <c r="AC78" s="13"/>
    </row>
    <row r="79" spans="2:29" x14ac:dyDescent="0.2">
      <c r="B79" s="14" t="s">
        <v>209</v>
      </c>
      <c r="C79" s="14">
        <v>70</v>
      </c>
      <c r="D79" s="15" t="s">
        <v>209</v>
      </c>
      <c r="E79" s="14" t="s">
        <v>963</v>
      </c>
      <c r="F79" s="14" t="s">
        <v>972</v>
      </c>
      <c r="G79" s="14" t="s">
        <v>965</v>
      </c>
      <c r="H79" s="14" t="s">
        <v>974</v>
      </c>
      <c r="I79" s="14" t="s">
        <v>1009</v>
      </c>
      <c r="J79" s="14" t="s">
        <v>1034</v>
      </c>
      <c r="K79" s="12" t="s">
        <v>272</v>
      </c>
      <c r="L79" s="14" t="s">
        <v>1035</v>
      </c>
      <c r="M79" s="12" t="s">
        <v>272</v>
      </c>
      <c r="N79" s="12" t="s">
        <v>272</v>
      </c>
      <c r="O79" s="12" t="s">
        <v>272</v>
      </c>
      <c r="P79" s="12" t="s">
        <v>272</v>
      </c>
      <c r="Q79" s="14" t="s">
        <v>1036</v>
      </c>
      <c r="R79" s="12" t="s">
        <v>272</v>
      </c>
      <c r="S79" s="12" t="s">
        <v>272</v>
      </c>
      <c r="T79" s="12" t="s">
        <v>272</v>
      </c>
      <c r="U79" s="14" t="s">
        <v>336</v>
      </c>
      <c r="V79" s="18"/>
      <c r="W79" s="12" t="s">
        <v>272</v>
      </c>
      <c r="X79" s="25" t="str">
        <f>_xlfn.IFS(AND(COUNTIF(V79,"SCB*")=1, 'PCH100'!E60&gt;=2), "See the Notice *2", TRUE, "")</f>
        <v/>
      </c>
      <c r="Y79" s="13"/>
      <c r="Z79" s="90" t="s">
        <v>271</v>
      </c>
      <c r="AA79" s="13" t="s">
        <v>254</v>
      </c>
      <c r="AB79" s="13"/>
      <c r="AC79" s="13"/>
    </row>
    <row r="80" spans="2:29" x14ac:dyDescent="0.2">
      <c r="B80" s="14" t="s">
        <v>210</v>
      </c>
      <c r="C80" s="14">
        <v>71</v>
      </c>
      <c r="D80" s="15" t="s">
        <v>210</v>
      </c>
      <c r="E80" s="14" t="s">
        <v>958</v>
      </c>
      <c r="F80" s="14" t="s">
        <v>968</v>
      </c>
      <c r="G80" s="14" t="s">
        <v>960</v>
      </c>
      <c r="H80" s="14" t="s">
        <v>970</v>
      </c>
      <c r="I80" s="14" t="s">
        <v>1010</v>
      </c>
      <c r="J80" s="12" t="s">
        <v>272</v>
      </c>
      <c r="K80" s="12" t="s">
        <v>272</v>
      </c>
      <c r="L80" s="14" t="s">
        <v>1037</v>
      </c>
      <c r="M80" s="12" t="s">
        <v>272</v>
      </c>
      <c r="N80" s="12" t="s">
        <v>272</v>
      </c>
      <c r="O80" s="12" t="s">
        <v>272</v>
      </c>
      <c r="P80" s="12" t="s">
        <v>272</v>
      </c>
      <c r="Q80" s="14" t="s">
        <v>1038</v>
      </c>
      <c r="R80" s="12" t="s">
        <v>272</v>
      </c>
      <c r="S80" s="12" t="s">
        <v>272</v>
      </c>
      <c r="T80" s="12" t="s">
        <v>272</v>
      </c>
      <c r="U80" s="14" t="s">
        <v>337</v>
      </c>
      <c r="V80" s="18"/>
      <c r="W80" s="12" t="s">
        <v>272</v>
      </c>
      <c r="X80" s="25" t="str">
        <f>_xlfn.IFS(AND(COUNTIF(V80,"SCB*")=1, 'PCH100'!E60&gt;=2), "See the Notice *2", TRUE, "")</f>
        <v/>
      </c>
      <c r="Y80" s="13"/>
      <c r="Z80" s="90" t="s">
        <v>271</v>
      </c>
      <c r="AA80" s="13" t="s">
        <v>254</v>
      </c>
      <c r="AB80" s="13"/>
      <c r="AC80" s="13"/>
    </row>
    <row r="81" spans="2:29" x14ac:dyDescent="0.2">
      <c r="B81" s="14" t="s">
        <v>211</v>
      </c>
      <c r="C81" s="14">
        <v>72</v>
      </c>
      <c r="D81" s="15" t="s">
        <v>211</v>
      </c>
      <c r="E81" s="14" t="s">
        <v>953</v>
      </c>
      <c r="F81" s="14" t="s">
        <v>964</v>
      </c>
      <c r="G81" s="14" t="s">
        <v>955</v>
      </c>
      <c r="H81" s="14" t="s">
        <v>966</v>
      </c>
      <c r="I81" s="14" t="s">
        <v>1013</v>
      </c>
      <c r="J81" s="12" t="s">
        <v>272</v>
      </c>
      <c r="K81" s="12" t="s">
        <v>272</v>
      </c>
      <c r="L81" s="14" t="s">
        <v>1039</v>
      </c>
      <c r="M81" s="12" t="s">
        <v>272</v>
      </c>
      <c r="N81" s="12" t="s">
        <v>272</v>
      </c>
      <c r="O81" s="12" t="s">
        <v>272</v>
      </c>
      <c r="P81" s="12" t="s">
        <v>272</v>
      </c>
      <c r="Q81" s="14" t="s">
        <v>1040</v>
      </c>
      <c r="R81" s="12" t="s">
        <v>272</v>
      </c>
      <c r="S81" s="12" t="s">
        <v>272</v>
      </c>
      <c r="T81" s="12" t="s">
        <v>272</v>
      </c>
      <c r="U81" s="14" t="s">
        <v>338</v>
      </c>
      <c r="V81" s="18"/>
      <c r="W81" s="12" t="s">
        <v>272</v>
      </c>
      <c r="X81" s="25" t="str">
        <f>_xlfn.IFS(AND(COUNTIF(V81,"SCB*")=1, 'PCH100'!E60&gt;=2), "See the Notice *2", TRUE, "")</f>
        <v/>
      </c>
      <c r="Y81" s="13"/>
      <c r="Z81" s="90" t="s">
        <v>271</v>
      </c>
      <c r="AA81" s="13" t="s">
        <v>254</v>
      </c>
      <c r="AB81" s="13"/>
      <c r="AC81" s="13"/>
    </row>
    <row r="82" spans="2:29" x14ac:dyDescent="0.2">
      <c r="B82" s="14" t="s">
        <v>212</v>
      </c>
      <c r="C82" s="14">
        <v>73</v>
      </c>
      <c r="D82" s="15" t="s">
        <v>212</v>
      </c>
      <c r="E82" s="14" t="s">
        <v>947</v>
      </c>
      <c r="F82" s="14" t="s">
        <v>959</v>
      </c>
      <c r="G82" s="14" t="s">
        <v>949</v>
      </c>
      <c r="H82" s="14" t="s">
        <v>961</v>
      </c>
      <c r="I82" s="14" t="s">
        <v>1017</v>
      </c>
      <c r="J82" s="12" t="s">
        <v>272</v>
      </c>
      <c r="K82" s="12" t="s">
        <v>272</v>
      </c>
      <c r="L82" s="14" t="s">
        <v>1041</v>
      </c>
      <c r="M82" s="12" t="s">
        <v>272</v>
      </c>
      <c r="N82" s="14" t="s">
        <v>213</v>
      </c>
      <c r="O82" s="12" t="s">
        <v>272</v>
      </c>
      <c r="P82" s="12" t="s">
        <v>272</v>
      </c>
      <c r="Q82" s="14" t="s">
        <v>1042</v>
      </c>
      <c r="R82" s="12" t="s">
        <v>272</v>
      </c>
      <c r="S82" s="12" t="s">
        <v>272</v>
      </c>
      <c r="T82" s="12" t="s">
        <v>272</v>
      </c>
      <c r="U82" s="14" t="s">
        <v>339</v>
      </c>
      <c r="V82" s="18"/>
      <c r="W82" s="12" t="s">
        <v>272</v>
      </c>
      <c r="X82" s="25" t="str">
        <f>_xlfn.IFS(AND(COUNTIF(V82,"SCB*")=1, 'PCH100'!E60&gt;=2), "See the Notice *2", TRUE, "")</f>
        <v/>
      </c>
      <c r="Y82" s="13"/>
      <c r="Z82" s="90" t="s">
        <v>271</v>
      </c>
      <c r="AA82" s="13" t="s">
        <v>254</v>
      </c>
      <c r="AB82" s="13"/>
      <c r="AC82" s="13"/>
    </row>
    <row r="83" spans="2:29" x14ac:dyDescent="0.2">
      <c r="B83" s="14" t="s">
        <v>214</v>
      </c>
      <c r="C83" s="14">
        <v>74</v>
      </c>
      <c r="D83" s="15" t="s">
        <v>214</v>
      </c>
      <c r="E83" s="14" t="s">
        <v>940</v>
      </c>
      <c r="F83" s="14" t="s">
        <v>954</v>
      </c>
      <c r="G83" s="14" t="s">
        <v>942</v>
      </c>
      <c r="H83" s="14" t="s">
        <v>956</v>
      </c>
      <c r="I83" s="14" t="s">
        <v>1021</v>
      </c>
      <c r="J83" s="12" t="s">
        <v>272</v>
      </c>
      <c r="K83" s="12" t="s">
        <v>272</v>
      </c>
      <c r="L83" s="12" t="s">
        <v>272</v>
      </c>
      <c r="M83" s="12" t="s">
        <v>272</v>
      </c>
      <c r="N83" s="14" t="s">
        <v>215</v>
      </c>
      <c r="O83" s="12" t="s">
        <v>272</v>
      </c>
      <c r="P83" s="12" t="s">
        <v>272</v>
      </c>
      <c r="Q83" s="14" t="s">
        <v>1043</v>
      </c>
      <c r="R83" s="12" t="s">
        <v>272</v>
      </c>
      <c r="S83" s="12" t="s">
        <v>272</v>
      </c>
      <c r="T83" s="12" t="s">
        <v>272</v>
      </c>
      <c r="U83" s="14" t="s">
        <v>340</v>
      </c>
      <c r="V83" s="18"/>
      <c r="W83" s="12" t="s">
        <v>272</v>
      </c>
      <c r="X83" s="25"/>
      <c r="Y83" s="13"/>
      <c r="Z83" s="90" t="s">
        <v>271</v>
      </c>
      <c r="AA83" s="13" t="s">
        <v>254</v>
      </c>
      <c r="AB83" s="13"/>
      <c r="AC83" s="13"/>
    </row>
    <row r="84" spans="2:29" x14ac:dyDescent="0.2">
      <c r="B84" s="17" t="s">
        <v>254</v>
      </c>
      <c r="C84" s="92">
        <v>75</v>
      </c>
      <c r="D84" s="12" t="s">
        <v>272</v>
      </c>
      <c r="E84" s="12" t="s">
        <v>272</v>
      </c>
      <c r="F84" s="12" t="s">
        <v>272</v>
      </c>
      <c r="G84" s="12" t="s">
        <v>272</v>
      </c>
      <c r="H84" s="12" t="s">
        <v>272</v>
      </c>
      <c r="I84" s="12" t="s">
        <v>272</v>
      </c>
      <c r="J84" s="12" t="s">
        <v>272</v>
      </c>
      <c r="K84" s="12" t="s">
        <v>272</v>
      </c>
      <c r="L84" s="12" t="s">
        <v>272</v>
      </c>
      <c r="M84" s="12" t="s">
        <v>272</v>
      </c>
      <c r="N84" s="12" t="s">
        <v>272</v>
      </c>
      <c r="O84" s="12" t="s">
        <v>272</v>
      </c>
      <c r="P84" s="12" t="s">
        <v>272</v>
      </c>
      <c r="Q84" s="12" t="s">
        <v>272</v>
      </c>
      <c r="R84" s="12" t="s">
        <v>272</v>
      </c>
      <c r="S84" s="12" t="s">
        <v>272</v>
      </c>
      <c r="T84" s="12" t="s">
        <v>272</v>
      </c>
      <c r="U84" s="12" t="s">
        <v>272</v>
      </c>
      <c r="V84" s="17" t="s">
        <v>254</v>
      </c>
      <c r="W84" s="12" t="s">
        <v>272</v>
      </c>
      <c r="X84" s="25"/>
      <c r="Y84" s="13" t="s">
        <v>530</v>
      </c>
      <c r="Z84" s="90" t="s">
        <v>543</v>
      </c>
      <c r="AA84" s="90" t="s">
        <v>543</v>
      </c>
      <c r="AB84" s="13"/>
      <c r="AC84" s="13"/>
    </row>
    <row r="85" spans="2:29" x14ac:dyDescent="0.2">
      <c r="B85" s="10" t="s">
        <v>253</v>
      </c>
      <c r="C85" s="92">
        <v>76</v>
      </c>
      <c r="D85" s="12" t="s">
        <v>272</v>
      </c>
      <c r="E85" s="12" t="s">
        <v>272</v>
      </c>
      <c r="F85" s="12" t="s">
        <v>272</v>
      </c>
      <c r="G85" s="12" t="s">
        <v>272</v>
      </c>
      <c r="H85" s="12" t="s">
        <v>272</v>
      </c>
      <c r="I85" s="12" t="s">
        <v>272</v>
      </c>
      <c r="J85" s="12" t="s">
        <v>272</v>
      </c>
      <c r="K85" s="12" t="s">
        <v>272</v>
      </c>
      <c r="L85" s="12" t="s">
        <v>272</v>
      </c>
      <c r="M85" s="12" t="s">
        <v>272</v>
      </c>
      <c r="N85" s="12" t="s">
        <v>272</v>
      </c>
      <c r="O85" s="12" t="s">
        <v>272</v>
      </c>
      <c r="P85" s="12" t="s">
        <v>272</v>
      </c>
      <c r="Q85" s="12" t="s">
        <v>272</v>
      </c>
      <c r="R85" s="12" t="s">
        <v>272</v>
      </c>
      <c r="S85" s="12" t="s">
        <v>272</v>
      </c>
      <c r="T85" s="12" t="s">
        <v>272</v>
      </c>
      <c r="U85" s="12" t="s">
        <v>272</v>
      </c>
      <c r="V85" s="10" t="s">
        <v>253</v>
      </c>
      <c r="W85" s="12" t="s">
        <v>272</v>
      </c>
      <c r="X85" s="25"/>
      <c r="Y85" s="13" t="s">
        <v>531</v>
      </c>
      <c r="Z85" s="90" t="s">
        <v>543</v>
      </c>
      <c r="AA85" s="90" t="s">
        <v>543</v>
      </c>
      <c r="AB85" s="13"/>
      <c r="AC85" s="13"/>
    </row>
    <row r="86" spans="2:29" x14ac:dyDescent="0.2">
      <c r="B86" s="14" t="s">
        <v>216</v>
      </c>
      <c r="C86" s="14">
        <v>77</v>
      </c>
      <c r="D86" s="15" t="s">
        <v>216</v>
      </c>
      <c r="E86" s="14" t="s">
        <v>665</v>
      </c>
      <c r="F86" s="14" t="s">
        <v>948</v>
      </c>
      <c r="G86" s="14" t="s">
        <v>667</v>
      </c>
      <c r="H86" s="14" t="s">
        <v>950</v>
      </c>
      <c r="I86" s="14" t="s">
        <v>1044</v>
      </c>
      <c r="J86" s="14" t="s">
        <v>1045</v>
      </c>
      <c r="K86" s="12" t="s">
        <v>272</v>
      </c>
      <c r="L86" s="14" t="s">
        <v>1046</v>
      </c>
      <c r="M86" s="12" t="s">
        <v>272</v>
      </c>
      <c r="N86" s="14" t="s">
        <v>975</v>
      </c>
      <c r="O86" s="12" t="s">
        <v>272</v>
      </c>
      <c r="P86" s="12" t="s">
        <v>272</v>
      </c>
      <c r="Q86" s="14" t="s">
        <v>217</v>
      </c>
      <c r="R86" s="12" t="s">
        <v>272</v>
      </c>
      <c r="S86" s="12" t="s">
        <v>272</v>
      </c>
      <c r="T86" s="12" t="s">
        <v>272</v>
      </c>
      <c r="U86" s="12" t="s">
        <v>272</v>
      </c>
      <c r="V86" s="94"/>
      <c r="W86" s="12" t="s">
        <v>272</v>
      </c>
      <c r="X86" s="25" t="str">
        <f>_xlfn.IFS(AND(COUNTIF(V86,"SCB*")=1, 'PCH100'!F60&gt;=2), "See the Notice *2", TRUE, "")</f>
        <v/>
      </c>
      <c r="Y86" s="13"/>
      <c r="Z86" s="90" t="s">
        <v>271</v>
      </c>
      <c r="AA86" s="13" t="s">
        <v>254</v>
      </c>
      <c r="AB86" s="13"/>
      <c r="AC86" s="13"/>
    </row>
    <row r="87" spans="2:29" x14ac:dyDescent="0.2">
      <c r="B87" s="14" t="s">
        <v>218</v>
      </c>
      <c r="C87" s="14">
        <v>78</v>
      </c>
      <c r="D87" s="15" t="s">
        <v>218</v>
      </c>
      <c r="E87" s="14" t="s">
        <v>789</v>
      </c>
      <c r="F87" s="14" t="s">
        <v>674</v>
      </c>
      <c r="G87" s="14" t="s">
        <v>791</v>
      </c>
      <c r="H87" s="14" t="s">
        <v>676</v>
      </c>
      <c r="I87" s="14" t="s">
        <v>1047</v>
      </c>
      <c r="J87" s="14" t="s">
        <v>1048</v>
      </c>
      <c r="K87" s="14" t="s">
        <v>1049</v>
      </c>
      <c r="L87" s="14" t="s">
        <v>1050</v>
      </c>
      <c r="M87" s="12" t="s">
        <v>272</v>
      </c>
      <c r="N87" s="14" t="s">
        <v>980</v>
      </c>
      <c r="O87" s="14" t="s">
        <v>1051</v>
      </c>
      <c r="P87" s="12" t="s">
        <v>272</v>
      </c>
      <c r="Q87" s="14" t="s">
        <v>219</v>
      </c>
      <c r="R87" s="12" t="s">
        <v>272</v>
      </c>
      <c r="S87" s="12" t="s">
        <v>272</v>
      </c>
      <c r="T87" s="12" t="s">
        <v>272</v>
      </c>
      <c r="U87" s="12" t="s">
        <v>272</v>
      </c>
      <c r="V87" s="94"/>
      <c r="W87" s="12" t="s">
        <v>272</v>
      </c>
      <c r="X87" s="25" t="str">
        <f>_xlfn.IFS(AND(COUNTIF(V87,"SCB*")=1, 'PCH100'!F60&gt;=2), "See the Notice *2", TRUE, "")</f>
        <v/>
      </c>
      <c r="Y87" s="13"/>
      <c r="Z87" s="90" t="s">
        <v>271</v>
      </c>
      <c r="AA87" s="13" t="s">
        <v>254</v>
      </c>
      <c r="AB87" s="13"/>
      <c r="AC87" s="13"/>
    </row>
    <row r="88" spans="2:29" x14ac:dyDescent="0.2">
      <c r="B88" s="14" t="s">
        <v>220</v>
      </c>
      <c r="C88" s="14">
        <v>79</v>
      </c>
      <c r="D88" s="15" t="s">
        <v>220</v>
      </c>
      <c r="E88" s="14" t="s">
        <v>793</v>
      </c>
      <c r="F88" s="14" t="s">
        <v>794</v>
      </c>
      <c r="G88" s="14" t="s">
        <v>795</v>
      </c>
      <c r="H88" s="14" t="s">
        <v>796</v>
      </c>
      <c r="I88" s="14" t="s">
        <v>1052</v>
      </c>
      <c r="J88" s="14" t="s">
        <v>1053</v>
      </c>
      <c r="K88" s="14" t="s">
        <v>1054</v>
      </c>
      <c r="L88" s="14" t="s">
        <v>1055</v>
      </c>
      <c r="M88" s="12" t="s">
        <v>272</v>
      </c>
      <c r="N88" s="12" t="s">
        <v>272</v>
      </c>
      <c r="O88" s="14" t="s">
        <v>1056</v>
      </c>
      <c r="P88" s="14" t="s">
        <v>221</v>
      </c>
      <c r="Q88" s="12" t="s">
        <v>272</v>
      </c>
      <c r="R88" s="12" t="s">
        <v>272</v>
      </c>
      <c r="S88" s="12" t="s">
        <v>272</v>
      </c>
      <c r="T88" s="12" t="s">
        <v>272</v>
      </c>
      <c r="U88" s="12" t="s">
        <v>1226</v>
      </c>
      <c r="V88" s="94"/>
      <c r="W88" s="12" t="s">
        <v>272</v>
      </c>
      <c r="X88" s="25" t="str">
        <f>_xlfn.IFS(AND(COUNTIF(V88,"SCB*")=1, 'PCH100'!F60&gt;=2), "See the Notice *2", TRUE, "")</f>
        <v/>
      </c>
      <c r="Y88" s="13"/>
      <c r="Z88" s="90" t="s">
        <v>271</v>
      </c>
      <c r="AA88" s="13" t="s">
        <v>254</v>
      </c>
      <c r="AB88" s="13"/>
      <c r="AC88" s="13"/>
    </row>
    <row r="89" spans="2:29" x14ac:dyDescent="0.2">
      <c r="B89" s="14" t="s">
        <v>222</v>
      </c>
      <c r="C89" s="14">
        <v>80</v>
      </c>
      <c r="D89" s="15" t="s">
        <v>222</v>
      </c>
      <c r="E89" s="14" t="s">
        <v>797</v>
      </c>
      <c r="F89" s="14" t="s">
        <v>798</v>
      </c>
      <c r="G89" s="14" t="s">
        <v>799</v>
      </c>
      <c r="H89" s="14" t="s">
        <v>800</v>
      </c>
      <c r="I89" s="14" t="s">
        <v>1057</v>
      </c>
      <c r="J89" s="14" t="s">
        <v>1058</v>
      </c>
      <c r="K89" s="12" t="s">
        <v>272</v>
      </c>
      <c r="L89" s="14" t="s">
        <v>1059</v>
      </c>
      <c r="M89" s="12" t="s">
        <v>272</v>
      </c>
      <c r="N89" s="12" t="s">
        <v>272</v>
      </c>
      <c r="O89" s="14" t="s">
        <v>1060</v>
      </c>
      <c r="P89" s="14" t="s">
        <v>223</v>
      </c>
      <c r="Q89" s="12" t="s">
        <v>272</v>
      </c>
      <c r="R89" s="12" t="s">
        <v>272</v>
      </c>
      <c r="S89" s="12" t="s">
        <v>272</v>
      </c>
      <c r="T89" s="12" t="s">
        <v>272</v>
      </c>
      <c r="U89" s="12" t="s">
        <v>272</v>
      </c>
      <c r="V89" s="94"/>
      <c r="W89" s="12" t="s">
        <v>272</v>
      </c>
      <c r="X89" s="25" t="str">
        <f>_xlfn.IFS(AND(COUNTIF(V89,"SCB*")=1, 'PCH100'!F60&gt;=2), "See the Notice *2", TRUE, "")</f>
        <v/>
      </c>
      <c r="Y89" s="13"/>
      <c r="Z89" s="90" t="s">
        <v>271</v>
      </c>
      <c r="AA89" s="13" t="s">
        <v>254</v>
      </c>
      <c r="AB89" s="13"/>
      <c r="AC89" s="13"/>
    </row>
    <row r="90" spans="2:29" x14ac:dyDescent="0.2">
      <c r="B90" s="14" t="s">
        <v>551</v>
      </c>
      <c r="C90" s="14">
        <v>81</v>
      </c>
      <c r="D90" s="15" t="s">
        <v>1169</v>
      </c>
      <c r="E90" s="14" t="s">
        <v>868</v>
      </c>
      <c r="F90" s="14" t="s">
        <v>877</v>
      </c>
      <c r="G90" s="14" t="s">
        <v>870</v>
      </c>
      <c r="H90" s="14" t="s">
        <v>879</v>
      </c>
      <c r="I90" s="12" t="s">
        <v>272</v>
      </c>
      <c r="J90" s="12" t="s">
        <v>272</v>
      </c>
      <c r="K90" s="12" t="s">
        <v>272</v>
      </c>
      <c r="L90" s="14" t="s">
        <v>1078</v>
      </c>
      <c r="M90" s="12" t="s">
        <v>272</v>
      </c>
      <c r="N90" s="12" t="s">
        <v>272</v>
      </c>
      <c r="O90" s="12" t="s">
        <v>272</v>
      </c>
      <c r="P90" s="12" t="s">
        <v>272</v>
      </c>
      <c r="Q90" s="12" t="s">
        <v>272</v>
      </c>
      <c r="R90" s="12" t="s">
        <v>272</v>
      </c>
      <c r="S90" s="12" t="s">
        <v>272</v>
      </c>
      <c r="T90" s="12" t="s">
        <v>272</v>
      </c>
      <c r="U90" s="14" t="s">
        <v>350</v>
      </c>
      <c r="V90" s="18"/>
      <c r="W90" s="12" t="s">
        <v>272</v>
      </c>
      <c r="X90" s="25" t="str">
        <f>_xlfn.IFS(AND(COUNTIF(V90,"SCB*")=1, 'PCH100'!E60&gt;=2), "See the Notice *2", TRUE, "")</f>
        <v/>
      </c>
      <c r="Y90" s="13"/>
      <c r="Z90" s="90" t="s">
        <v>271</v>
      </c>
      <c r="AA90" s="13" t="s">
        <v>254</v>
      </c>
      <c r="AB90" s="13"/>
      <c r="AC90" s="13"/>
    </row>
    <row r="91" spans="2:29" x14ac:dyDescent="0.2">
      <c r="B91" s="14" t="s">
        <v>552</v>
      </c>
      <c r="C91" s="14">
        <v>82</v>
      </c>
      <c r="D91" s="15" t="s">
        <v>1168</v>
      </c>
      <c r="E91" s="14" t="s">
        <v>864</v>
      </c>
      <c r="F91" s="14" t="s">
        <v>873</v>
      </c>
      <c r="G91" s="14" t="s">
        <v>866</v>
      </c>
      <c r="H91" s="14" t="s">
        <v>875</v>
      </c>
      <c r="I91" s="12" t="s">
        <v>272</v>
      </c>
      <c r="J91" s="12" t="s">
        <v>272</v>
      </c>
      <c r="K91" s="12" t="s">
        <v>272</v>
      </c>
      <c r="L91" s="12" t="s">
        <v>272</v>
      </c>
      <c r="M91" s="12" t="s">
        <v>272</v>
      </c>
      <c r="N91" s="12" t="s">
        <v>272</v>
      </c>
      <c r="O91" s="12" t="s">
        <v>272</v>
      </c>
      <c r="P91" s="12" t="s">
        <v>272</v>
      </c>
      <c r="Q91" s="12" t="s">
        <v>272</v>
      </c>
      <c r="R91" s="12" t="s">
        <v>272</v>
      </c>
      <c r="S91" s="12" t="s">
        <v>272</v>
      </c>
      <c r="T91" s="12" t="s">
        <v>272</v>
      </c>
      <c r="U91" s="14" t="s">
        <v>351</v>
      </c>
      <c r="V91" s="18"/>
      <c r="W91" s="12" t="s">
        <v>1226</v>
      </c>
      <c r="X91" s="25"/>
      <c r="Y91" s="13"/>
      <c r="Z91" s="90" t="s">
        <v>271</v>
      </c>
      <c r="AA91" s="13" t="s">
        <v>254</v>
      </c>
      <c r="AB91" s="13"/>
      <c r="AC91" s="13"/>
    </row>
    <row r="92" spans="2:29" x14ac:dyDescent="0.2">
      <c r="B92" s="14" t="s">
        <v>553</v>
      </c>
      <c r="C92" s="14">
        <v>83</v>
      </c>
      <c r="D92" s="15" t="s">
        <v>1167</v>
      </c>
      <c r="E92" s="14" t="s">
        <v>860</v>
      </c>
      <c r="F92" s="14" t="s">
        <v>869</v>
      </c>
      <c r="G92" s="14" t="s">
        <v>862</v>
      </c>
      <c r="H92" s="14" t="s">
        <v>871</v>
      </c>
      <c r="I92" s="12" t="s">
        <v>272</v>
      </c>
      <c r="J92" s="12" t="s">
        <v>272</v>
      </c>
      <c r="K92" s="12" t="s">
        <v>272</v>
      </c>
      <c r="L92" s="12" t="s">
        <v>272</v>
      </c>
      <c r="M92" s="12" t="s">
        <v>272</v>
      </c>
      <c r="N92" s="12" t="s">
        <v>272</v>
      </c>
      <c r="O92" s="12" t="s">
        <v>272</v>
      </c>
      <c r="P92" s="14" t="s">
        <v>233</v>
      </c>
      <c r="Q92" s="14" t="s">
        <v>61</v>
      </c>
      <c r="R92" s="12" t="s">
        <v>272</v>
      </c>
      <c r="S92" s="12" t="s">
        <v>272</v>
      </c>
      <c r="T92" s="12" t="s">
        <v>272</v>
      </c>
      <c r="U92" s="14" t="s">
        <v>352</v>
      </c>
      <c r="V92" s="18"/>
      <c r="W92" s="12" t="s">
        <v>272</v>
      </c>
      <c r="X92" s="25"/>
      <c r="Y92" s="13"/>
      <c r="Z92" s="90" t="s">
        <v>271</v>
      </c>
      <c r="AA92" s="13" t="s">
        <v>254</v>
      </c>
      <c r="AB92" s="13"/>
      <c r="AC92" s="13"/>
    </row>
    <row r="93" spans="2:29" x14ac:dyDescent="0.2">
      <c r="B93" s="14" t="s">
        <v>554</v>
      </c>
      <c r="C93" s="14">
        <v>84</v>
      </c>
      <c r="D93" s="15" t="s">
        <v>1166</v>
      </c>
      <c r="E93" s="14" t="s">
        <v>856</v>
      </c>
      <c r="F93" s="14" t="s">
        <v>865</v>
      </c>
      <c r="G93" s="14" t="s">
        <v>858</v>
      </c>
      <c r="H93" s="14" t="s">
        <v>867</v>
      </c>
      <c r="I93" s="12" t="s">
        <v>272</v>
      </c>
      <c r="J93" s="12" t="s">
        <v>272</v>
      </c>
      <c r="K93" s="12" t="s">
        <v>272</v>
      </c>
      <c r="L93" s="12" t="s">
        <v>272</v>
      </c>
      <c r="M93" s="12" t="s">
        <v>272</v>
      </c>
      <c r="N93" s="12" t="s">
        <v>272</v>
      </c>
      <c r="O93" s="12" t="s">
        <v>272</v>
      </c>
      <c r="P93" s="12" t="s">
        <v>272</v>
      </c>
      <c r="Q93" s="12" t="s">
        <v>272</v>
      </c>
      <c r="R93" s="12" t="s">
        <v>272</v>
      </c>
      <c r="S93" s="12" t="s">
        <v>272</v>
      </c>
      <c r="T93" s="12" t="s">
        <v>272</v>
      </c>
      <c r="U93" s="14" t="s">
        <v>353</v>
      </c>
      <c r="V93" s="18"/>
      <c r="W93" s="12" t="s">
        <v>272</v>
      </c>
      <c r="X93" s="25"/>
      <c r="Y93" s="13"/>
      <c r="Z93" s="90" t="s">
        <v>271</v>
      </c>
      <c r="AA93" s="13" t="s">
        <v>254</v>
      </c>
      <c r="AB93" s="13"/>
      <c r="AC93" s="13"/>
    </row>
    <row r="94" spans="2:29" x14ac:dyDescent="0.2">
      <c r="B94" s="22" t="s">
        <v>261</v>
      </c>
      <c r="C94" s="92">
        <v>85</v>
      </c>
      <c r="D94" s="22" t="s">
        <v>261</v>
      </c>
      <c r="E94" s="12" t="s">
        <v>272</v>
      </c>
      <c r="F94" s="12" t="s">
        <v>272</v>
      </c>
      <c r="G94" s="12" t="s">
        <v>272</v>
      </c>
      <c r="H94" s="12" t="s">
        <v>272</v>
      </c>
      <c r="I94" s="12" t="s">
        <v>272</v>
      </c>
      <c r="J94" s="12" t="s">
        <v>272</v>
      </c>
      <c r="K94" s="12" t="s">
        <v>272</v>
      </c>
      <c r="L94" s="12" t="s">
        <v>272</v>
      </c>
      <c r="M94" s="12" t="s">
        <v>272</v>
      </c>
      <c r="N94" s="12" t="s">
        <v>272</v>
      </c>
      <c r="O94" s="12" t="s">
        <v>272</v>
      </c>
      <c r="P94" s="12" t="s">
        <v>272</v>
      </c>
      <c r="Q94" s="12" t="s">
        <v>272</v>
      </c>
      <c r="R94" s="12" t="s">
        <v>272</v>
      </c>
      <c r="S94" s="12" t="s">
        <v>272</v>
      </c>
      <c r="T94" s="12" t="s">
        <v>272</v>
      </c>
      <c r="U94" s="12" t="s">
        <v>272</v>
      </c>
      <c r="V94" s="22" t="s">
        <v>261</v>
      </c>
      <c r="W94" s="12" t="s">
        <v>272</v>
      </c>
      <c r="X94" s="25"/>
      <c r="Y94" s="13" t="s">
        <v>538</v>
      </c>
      <c r="Z94" s="90" t="s">
        <v>543</v>
      </c>
      <c r="AA94" s="90" t="s">
        <v>543</v>
      </c>
      <c r="AB94" s="13"/>
      <c r="AC94" s="13"/>
    </row>
    <row r="95" spans="2:29" x14ac:dyDescent="0.2">
      <c r="B95" s="17" t="s">
        <v>254</v>
      </c>
      <c r="C95" s="92">
        <v>86</v>
      </c>
      <c r="D95" s="12" t="s">
        <v>272</v>
      </c>
      <c r="E95" s="12" t="s">
        <v>272</v>
      </c>
      <c r="F95" s="12" t="s">
        <v>272</v>
      </c>
      <c r="G95" s="12" t="s">
        <v>272</v>
      </c>
      <c r="H95" s="12" t="s">
        <v>272</v>
      </c>
      <c r="I95" s="12" t="s">
        <v>272</v>
      </c>
      <c r="J95" s="12" t="s">
        <v>272</v>
      </c>
      <c r="K95" s="12" t="s">
        <v>272</v>
      </c>
      <c r="L95" s="12" t="s">
        <v>272</v>
      </c>
      <c r="M95" s="12" t="s">
        <v>272</v>
      </c>
      <c r="N95" s="12" t="s">
        <v>272</v>
      </c>
      <c r="O95" s="12" t="s">
        <v>272</v>
      </c>
      <c r="P95" s="12" t="s">
        <v>272</v>
      </c>
      <c r="Q95" s="12" t="s">
        <v>272</v>
      </c>
      <c r="R95" s="12" t="s">
        <v>272</v>
      </c>
      <c r="S95" s="12" t="s">
        <v>272</v>
      </c>
      <c r="T95" s="12" t="s">
        <v>272</v>
      </c>
      <c r="U95" s="12" t="s">
        <v>272</v>
      </c>
      <c r="V95" s="17" t="s">
        <v>254</v>
      </c>
      <c r="W95" s="12" t="s">
        <v>272</v>
      </c>
      <c r="X95" s="25"/>
      <c r="Y95" s="13" t="s">
        <v>530</v>
      </c>
      <c r="Z95" s="90" t="s">
        <v>543</v>
      </c>
      <c r="AA95" s="90" t="s">
        <v>543</v>
      </c>
      <c r="AB95" s="13"/>
      <c r="AC95" s="13"/>
    </row>
    <row r="96" spans="2:29" x14ac:dyDescent="0.2">
      <c r="B96" s="10" t="s">
        <v>253</v>
      </c>
      <c r="C96" s="92">
        <v>87</v>
      </c>
      <c r="D96" s="12" t="s">
        <v>272</v>
      </c>
      <c r="E96" s="12" t="s">
        <v>272</v>
      </c>
      <c r="F96" s="12" t="s">
        <v>272</v>
      </c>
      <c r="G96" s="12" t="s">
        <v>272</v>
      </c>
      <c r="H96" s="12" t="s">
        <v>272</v>
      </c>
      <c r="I96" s="12" t="s">
        <v>272</v>
      </c>
      <c r="J96" s="12" t="s">
        <v>272</v>
      </c>
      <c r="K96" s="12" t="s">
        <v>272</v>
      </c>
      <c r="L96" s="12" t="s">
        <v>272</v>
      </c>
      <c r="M96" s="12" t="s">
        <v>272</v>
      </c>
      <c r="N96" s="12" t="s">
        <v>272</v>
      </c>
      <c r="O96" s="12" t="s">
        <v>272</v>
      </c>
      <c r="P96" s="12" t="s">
        <v>272</v>
      </c>
      <c r="Q96" s="12" t="s">
        <v>272</v>
      </c>
      <c r="R96" s="12" t="s">
        <v>272</v>
      </c>
      <c r="S96" s="12" t="s">
        <v>272</v>
      </c>
      <c r="T96" s="12" t="s">
        <v>272</v>
      </c>
      <c r="U96" s="12" t="s">
        <v>272</v>
      </c>
      <c r="V96" s="10" t="s">
        <v>253</v>
      </c>
      <c r="W96" s="12" t="s">
        <v>272</v>
      </c>
      <c r="X96" s="25"/>
      <c r="Y96" s="13" t="s">
        <v>531</v>
      </c>
      <c r="Z96" s="90" t="s">
        <v>543</v>
      </c>
      <c r="AA96" s="90" t="s">
        <v>543</v>
      </c>
      <c r="AB96" s="13"/>
      <c r="AC96" s="13"/>
    </row>
    <row r="97" spans="2:29" x14ac:dyDescent="0.2">
      <c r="B97" s="10" t="s">
        <v>253</v>
      </c>
      <c r="C97" s="92">
        <v>88</v>
      </c>
      <c r="D97" s="12" t="s">
        <v>272</v>
      </c>
      <c r="E97" s="12" t="s">
        <v>272</v>
      </c>
      <c r="F97" s="12" t="s">
        <v>272</v>
      </c>
      <c r="G97" s="12" t="s">
        <v>272</v>
      </c>
      <c r="H97" s="12" t="s">
        <v>272</v>
      </c>
      <c r="I97" s="12" t="s">
        <v>272</v>
      </c>
      <c r="J97" s="12" t="s">
        <v>272</v>
      </c>
      <c r="K97" s="12" t="s">
        <v>272</v>
      </c>
      <c r="L97" s="12" t="s">
        <v>272</v>
      </c>
      <c r="M97" s="12" t="s">
        <v>272</v>
      </c>
      <c r="N97" s="12" t="s">
        <v>272</v>
      </c>
      <c r="O97" s="12" t="s">
        <v>272</v>
      </c>
      <c r="P97" s="12" t="s">
        <v>272</v>
      </c>
      <c r="Q97" s="12" t="s">
        <v>272</v>
      </c>
      <c r="R97" s="12" t="s">
        <v>272</v>
      </c>
      <c r="S97" s="12" t="s">
        <v>272</v>
      </c>
      <c r="T97" s="12" t="s">
        <v>272</v>
      </c>
      <c r="U97" s="12" t="s">
        <v>272</v>
      </c>
      <c r="V97" s="10" t="s">
        <v>253</v>
      </c>
      <c r="W97" s="12" t="s">
        <v>272</v>
      </c>
      <c r="X97" s="25"/>
      <c r="Y97" s="13" t="s">
        <v>531</v>
      </c>
      <c r="Z97" s="90" t="s">
        <v>543</v>
      </c>
      <c r="AA97" s="90" t="s">
        <v>543</v>
      </c>
      <c r="AB97" s="13"/>
      <c r="AC97" s="13"/>
    </row>
    <row r="98" spans="2:29" x14ac:dyDescent="0.2">
      <c r="B98" s="17" t="s">
        <v>256</v>
      </c>
      <c r="C98" s="92">
        <v>89</v>
      </c>
      <c r="D98" s="12" t="s">
        <v>272</v>
      </c>
      <c r="E98" s="12" t="s">
        <v>272</v>
      </c>
      <c r="F98" s="12" t="s">
        <v>272</v>
      </c>
      <c r="G98" s="12" t="s">
        <v>272</v>
      </c>
      <c r="H98" s="12" t="s">
        <v>272</v>
      </c>
      <c r="I98" s="12" t="s">
        <v>272</v>
      </c>
      <c r="J98" s="12" t="s">
        <v>272</v>
      </c>
      <c r="K98" s="12" t="s">
        <v>272</v>
      </c>
      <c r="L98" s="12" t="s">
        <v>272</v>
      </c>
      <c r="M98" s="12" t="s">
        <v>272</v>
      </c>
      <c r="N98" s="12" t="s">
        <v>272</v>
      </c>
      <c r="O98" s="12" t="s">
        <v>272</v>
      </c>
      <c r="P98" s="12" t="s">
        <v>272</v>
      </c>
      <c r="Q98" s="12" t="s">
        <v>272</v>
      </c>
      <c r="R98" s="12" t="s">
        <v>272</v>
      </c>
      <c r="S98" s="12" t="s">
        <v>272</v>
      </c>
      <c r="T98" s="12" t="s">
        <v>272</v>
      </c>
      <c r="U98" s="12" t="s">
        <v>272</v>
      </c>
      <c r="V98" s="17" t="s">
        <v>256</v>
      </c>
      <c r="W98" s="12" t="s">
        <v>272</v>
      </c>
      <c r="X98" s="25"/>
      <c r="Y98" s="13" t="s">
        <v>533</v>
      </c>
      <c r="Z98" s="90" t="s">
        <v>543</v>
      </c>
      <c r="AA98" s="90" t="s">
        <v>543</v>
      </c>
      <c r="AB98" s="13"/>
      <c r="AC98" s="13"/>
    </row>
    <row r="99" spans="2:29" x14ac:dyDescent="0.2">
      <c r="B99" s="14" t="s">
        <v>556</v>
      </c>
      <c r="C99" s="14">
        <v>90</v>
      </c>
      <c r="D99" s="15" t="s">
        <v>1162</v>
      </c>
      <c r="E99" s="14" t="s">
        <v>848</v>
      </c>
      <c r="F99" s="14" t="s">
        <v>857</v>
      </c>
      <c r="G99" s="14" t="s">
        <v>850</v>
      </c>
      <c r="H99" s="14" t="s">
        <v>859</v>
      </c>
      <c r="I99" s="12" t="s">
        <v>272</v>
      </c>
      <c r="J99" s="12" t="s">
        <v>272</v>
      </c>
      <c r="K99" s="12" t="s">
        <v>272</v>
      </c>
      <c r="L99" s="12" t="s">
        <v>272</v>
      </c>
      <c r="M99" s="14" t="s">
        <v>39</v>
      </c>
      <c r="N99" s="12" t="s">
        <v>272</v>
      </c>
      <c r="O99" s="12" t="s">
        <v>272</v>
      </c>
      <c r="P99" s="12" t="s">
        <v>272</v>
      </c>
      <c r="Q99" s="12" t="s">
        <v>272</v>
      </c>
      <c r="R99" s="12" t="s">
        <v>272</v>
      </c>
      <c r="S99" s="12" t="s">
        <v>272</v>
      </c>
      <c r="T99" s="12" t="s">
        <v>272</v>
      </c>
      <c r="U99" s="12" t="s">
        <v>272</v>
      </c>
      <c r="V99" s="18"/>
      <c r="W99" s="12" t="s">
        <v>272</v>
      </c>
      <c r="X99" s="25"/>
      <c r="Y99" s="13"/>
      <c r="Z99" s="90" t="s">
        <v>271</v>
      </c>
      <c r="AA99" s="13" t="s">
        <v>254</v>
      </c>
      <c r="AB99" s="13"/>
      <c r="AC99" s="13"/>
    </row>
    <row r="100" spans="2:29" x14ac:dyDescent="0.2">
      <c r="B100" s="14" t="s">
        <v>234</v>
      </c>
      <c r="C100" s="14">
        <v>91</v>
      </c>
      <c r="D100" s="15" t="s">
        <v>234</v>
      </c>
      <c r="E100" s="14" t="s">
        <v>836</v>
      </c>
      <c r="F100" s="14" t="s">
        <v>845</v>
      </c>
      <c r="G100" s="14" t="s">
        <v>838</v>
      </c>
      <c r="H100" s="14" t="s">
        <v>847</v>
      </c>
      <c r="I100" s="12" t="s">
        <v>272</v>
      </c>
      <c r="J100" s="14" t="s">
        <v>1079</v>
      </c>
      <c r="K100" s="12" t="s">
        <v>272</v>
      </c>
      <c r="L100" s="14" t="s">
        <v>1080</v>
      </c>
      <c r="M100" s="12" t="s">
        <v>272</v>
      </c>
      <c r="N100" s="14" t="s">
        <v>193</v>
      </c>
      <c r="O100" s="12" t="s">
        <v>272</v>
      </c>
      <c r="P100" s="12" t="s">
        <v>272</v>
      </c>
      <c r="Q100" s="14" t="s">
        <v>1081</v>
      </c>
      <c r="R100" s="12" t="s">
        <v>272</v>
      </c>
      <c r="S100" s="12" t="s">
        <v>272</v>
      </c>
      <c r="T100" s="12" t="s">
        <v>272</v>
      </c>
      <c r="U100" s="12" t="s">
        <v>272</v>
      </c>
      <c r="V100" s="18"/>
      <c r="W100" s="12" t="s">
        <v>272</v>
      </c>
      <c r="X100" s="25" t="str">
        <f>_xlfn.IFS(AND(COUNTIF(V100,"SCB*")=1, 'PCH100'!J60&gt;=2), "See the Notice *2", TRUE, "")</f>
        <v/>
      </c>
      <c r="Y100" s="13"/>
      <c r="Z100" s="90" t="s">
        <v>271</v>
      </c>
      <c r="AA100" s="13" t="s">
        <v>254</v>
      </c>
      <c r="AB100" s="13"/>
      <c r="AC100" s="13"/>
    </row>
    <row r="101" spans="2:29" x14ac:dyDescent="0.2">
      <c r="B101" s="14" t="s">
        <v>235</v>
      </c>
      <c r="C101" s="14">
        <v>92</v>
      </c>
      <c r="D101" s="15" t="s">
        <v>235</v>
      </c>
      <c r="E101" s="14" t="s">
        <v>831</v>
      </c>
      <c r="F101" s="14" t="s">
        <v>841</v>
      </c>
      <c r="G101" s="14" t="s">
        <v>833</v>
      </c>
      <c r="H101" s="14" t="s">
        <v>843</v>
      </c>
      <c r="I101" s="12" t="s">
        <v>272</v>
      </c>
      <c r="J101" s="14" t="s">
        <v>1082</v>
      </c>
      <c r="K101" s="14" t="s">
        <v>1083</v>
      </c>
      <c r="L101" s="14" t="s">
        <v>1084</v>
      </c>
      <c r="M101" s="12" t="s">
        <v>272</v>
      </c>
      <c r="N101" s="14" t="s">
        <v>195</v>
      </c>
      <c r="O101" s="12" t="s">
        <v>272</v>
      </c>
      <c r="P101" s="12" t="s">
        <v>272</v>
      </c>
      <c r="Q101" s="14" t="s">
        <v>1085</v>
      </c>
      <c r="R101" s="12" t="s">
        <v>272</v>
      </c>
      <c r="S101" s="12" t="s">
        <v>272</v>
      </c>
      <c r="T101" s="12" t="s">
        <v>272</v>
      </c>
      <c r="U101" s="12" t="s">
        <v>272</v>
      </c>
      <c r="V101" s="18"/>
      <c r="W101" s="12" t="s">
        <v>272</v>
      </c>
      <c r="X101" s="25" t="str">
        <f>_xlfn.IFS(AND(COUNTIF(V101,"SCB*")=1, 'PCH100'!J60&gt;=2), "See the Notice *2", TRUE, "")</f>
        <v/>
      </c>
      <c r="Y101" s="13"/>
      <c r="Z101" s="90" t="s">
        <v>271</v>
      </c>
      <c r="AA101" s="13" t="s">
        <v>254</v>
      </c>
      <c r="AB101" s="13"/>
      <c r="AC101" s="13"/>
    </row>
    <row r="102" spans="2:29" x14ac:dyDescent="0.2">
      <c r="B102" s="14" t="s">
        <v>236</v>
      </c>
      <c r="C102" s="14">
        <v>93</v>
      </c>
      <c r="D102" s="15" t="s">
        <v>236</v>
      </c>
      <c r="E102" s="14" t="s">
        <v>825</v>
      </c>
      <c r="F102" s="14" t="s">
        <v>837</v>
      </c>
      <c r="G102" s="14" t="s">
        <v>827</v>
      </c>
      <c r="H102" s="14" t="s">
        <v>839</v>
      </c>
      <c r="I102" s="12" t="s">
        <v>272</v>
      </c>
      <c r="J102" s="14" t="s">
        <v>1086</v>
      </c>
      <c r="K102" s="14" t="s">
        <v>1087</v>
      </c>
      <c r="L102" s="14" t="s">
        <v>1088</v>
      </c>
      <c r="M102" s="12" t="s">
        <v>272</v>
      </c>
      <c r="N102" s="12" t="s">
        <v>272</v>
      </c>
      <c r="O102" s="12" t="s">
        <v>272</v>
      </c>
      <c r="P102" s="12" t="s">
        <v>272</v>
      </c>
      <c r="Q102" s="14" t="s">
        <v>1089</v>
      </c>
      <c r="R102" s="12" t="s">
        <v>272</v>
      </c>
      <c r="S102" s="12" t="s">
        <v>272</v>
      </c>
      <c r="T102" s="12" t="s">
        <v>272</v>
      </c>
      <c r="U102" s="12" t="s">
        <v>272</v>
      </c>
      <c r="V102" s="18"/>
      <c r="W102" s="12" t="s">
        <v>272</v>
      </c>
      <c r="X102" s="25" t="str">
        <f>_xlfn.IFS(AND(COUNTIF(V102,"SCB*")=1, 'PCH100'!J60&gt;=2), "See the Notice *2", TRUE, "")</f>
        <v/>
      </c>
      <c r="Y102" s="13"/>
      <c r="Z102" s="90" t="s">
        <v>271</v>
      </c>
      <c r="AA102" s="13" t="s">
        <v>254</v>
      </c>
      <c r="AB102" s="13"/>
      <c r="AC102" s="13"/>
    </row>
    <row r="103" spans="2:29" x14ac:dyDescent="0.2">
      <c r="B103" s="14" t="s">
        <v>237</v>
      </c>
      <c r="C103" s="14">
        <v>94</v>
      </c>
      <c r="D103" s="15" t="s">
        <v>237</v>
      </c>
      <c r="E103" s="14" t="s">
        <v>818</v>
      </c>
      <c r="F103" s="14" t="s">
        <v>832</v>
      </c>
      <c r="G103" s="14" t="s">
        <v>820</v>
      </c>
      <c r="H103" s="14" t="s">
        <v>834</v>
      </c>
      <c r="I103" s="12" t="s">
        <v>272</v>
      </c>
      <c r="J103" s="14" t="s">
        <v>1090</v>
      </c>
      <c r="K103" s="12" t="s">
        <v>272</v>
      </c>
      <c r="L103" s="14" t="s">
        <v>1091</v>
      </c>
      <c r="M103" s="12" t="s">
        <v>272</v>
      </c>
      <c r="N103" s="12" t="s">
        <v>272</v>
      </c>
      <c r="O103" s="12" t="s">
        <v>272</v>
      </c>
      <c r="P103" s="12" t="s">
        <v>272</v>
      </c>
      <c r="Q103" s="14" t="s">
        <v>1092</v>
      </c>
      <c r="R103" s="12" t="s">
        <v>272</v>
      </c>
      <c r="S103" s="12" t="s">
        <v>272</v>
      </c>
      <c r="T103" s="12" t="s">
        <v>272</v>
      </c>
      <c r="U103" s="12" t="s">
        <v>272</v>
      </c>
      <c r="V103" s="18"/>
      <c r="W103" s="12" t="s">
        <v>272</v>
      </c>
      <c r="X103" s="25" t="str">
        <f>_xlfn.IFS(AND(COUNTIF(V103,"SCB*")=1, 'PCH100'!J60&gt;=2), "See the Notice *2", TRUE, "")</f>
        <v/>
      </c>
      <c r="Y103" s="13"/>
      <c r="Z103" s="90" t="s">
        <v>271</v>
      </c>
      <c r="AA103" s="13" t="s">
        <v>254</v>
      </c>
      <c r="AB103" s="13"/>
      <c r="AC103" s="13"/>
    </row>
    <row r="104" spans="2:29" x14ac:dyDescent="0.2">
      <c r="B104" s="14" t="s">
        <v>245</v>
      </c>
      <c r="C104" s="14">
        <v>95</v>
      </c>
      <c r="D104" s="15" t="s">
        <v>245</v>
      </c>
      <c r="E104" s="14" t="s">
        <v>916</v>
      </c>
      <c r="F104" s="14" t="s">
        <v>911</v>
      </c>
      <c r="G104" s="14" t="s">
        <v>918</v>
      </c>
      <c r="H104" s="14" t="s">
        <v>913</v>
      </c>
      <c r="I104" s="12" t="s">
        <v>272</v>
      </c>
      <c r="J104" s="14" t="s">
        <v>1104</v>
      </c>
      <c r="K104" s="12" t="s">
        <v>272</v>
      </c>
      <c r="L104" s="14" t="s">
        <v>1105</v>
      </c>
      <c r="M104" s="12" t="s">
        <v>272</v>
      </c>
      <c r="N104" s="12" t="s">
        <v>272</v>
      </c>
      <c r="O104" s="12" t="s">
        <v>272</v>
      </c>
      <c r="P104" s="14" t="s">
        <v>246</v>
      </c>
      <c r="Q104" s="14" t="s">
        <v>219</v>
      </c>
      <c r="R104" s="12" t="s">
        <v>272</v>
      </c>
      <c r="S104" s="12" t="s">
        <v>272</v>
      </c>
      <c r="T104" s="12" t="s">
        <v>272</v>
      </c>
      <c r="U104" s="12" t="s">
        <v>272</v>
      </c>
      <c r="V104" s="18"/>
      <c r="W104" s="12" t="s">
        <v>272</v>
      </c>
      <c r="X104" s="25" t="str">
        <f>_xlfn.IFS(AND(COUNTIF(V104,"SCB*")=1, 'PCH100'!K60&gt;=2), "See the Notice *2", TRUE, "")</f>
        <v/>
      </c>
      <c r="Y104" s="13"/>
      <c r="Z104" s="90" t="s">
        <v>271</v>
      </c>
      <c r="AA104" s="13" t="s">
        <v>254</v>
      </c>
      <c r="AB104" s="13"/>
      <c r="AC104" s="13"/>
    </row>
    <row r="105" spans="2:29" x14ac:dyDescent="0.2">
      <c r="B105" s="14" t="s">
        <v>247</v>
      </c>
      <c r="C105" s="14">
        <v>96</v>
      </c>
      <c r="D105" s="15" t="s">
        <v>247</v>
      </c>
      <c r="E105" s="14" t="s">
        <v>785</v>
      </c>
      <c r="F105" s="14" t="s">
        <v>923</v>
      </c>
      <c r="G105" s="14" t="s">
        <v>787</v>
      </c>
      <c r="H105" s="14" t="s">
        <v>925</v>
      </c>
      <c r="I105" s="12" t="s">
        <v>272</v>
      </c>
      <c r="J105" s="12" t="s">
        <v>272</v>
      </c>
      <c r="K105" s="12" t="s">
        <v>272</v>
      </c>
      <c r="L105" s="14" t="s">
        <v>1106</v>
      </c>
      <c r="M105" s="12" t="s">
        <v>272</v>
      </c>
      <c r="N105" s="12" t="s">
        <v>272</v>
      </c>
      <c r="O105" s="12" t="s">
        <v>272</v>
      </c>
      <c r="P105" s="14" t="s">
        <v>248</v>
      </c>
      <c r="Q105" s="14" t="s">
        <v>59</v>
      </c>
      <c r="R105" s="12" t="s">
        <v>272</v>
      </c>
      <c r="S105" s="14" t="s">
        <v>342</v>
      </c>
      <c r="T105" s="12" t="s">
        <v>272</v>
      </c>
      <c r="U105" s="12" t="s">
        <v>272</v>
      </c>
      <c r="V105" s="18"/>
      <c r="W105" s="12" t="s">
        <v>272</v>
      </c>
      <c r="X105" s="25" t="str">
        <f>_xlfn.IFS(AND(COUNTIF(V105,"SCB*")=1, 'PCH100'!K60&gt;=2), "See the Notice *2", TRUE, "")</f>
        <v/>
      </c>
      <c r="Y105" s="13"/>
      <c r="Z105" s="90" t="s">
        <v>271</v>
      </c>
      <c r="AA105" s="13" t="s">
        <v>254</v>
      </c>
      <c r="AB105" s="13"/>
      <c r="AC105" s="13"/>
    </row>
    <row r="106" spans="2:29" x14ac:dyDescent="0.2">
      <c r="B106" s="14" t="s">
        <v>249</v>
      </c>
      <c r="C106" s="14">
        <v>97</v>
      </c>
      <c r="D106" s="15" t="s">
        <v>249</v>
      </c>
      <c r="E106" s="14" t="s">
        <v>781</v>
      </c>
      <c r="F106" s="14" t="s">
        <v>790</v>
      </c>
      <c r="G106" s="14" t="s">
        <v>783</v>
      </c>
      <c r="H106" s="14" t="s">
        <v>792</v>
      </c>
      <c r="I106" s="12" t="s">
        <v>272</v>
      </c>
      <c r="J106" s="12" t="s">
        <v>272</v>
      </c>
      <c r="K106" s="12" t="s">
        <v>272</v>
      </c>
      <c r="L106" s="14" t="s">
        <v>1107</v>
      </c>
      <c r="M106" s="14" t="s">
        <v>1108</v>
      </c>
      <c r="N106" s="12" t="s">
        <v>272</v>
      </c>
      <c r="O106" s="12" t="s">
        <v>272</v>
      </c>
      <c r="P106" s="12" t="s">
        <v>272</v>
      </c>
      <c r="Q106" s="12" t="s">
        <v>272</v>
      </c>
      <c r="R106" s="12" t="s">
        <v>272</v>
      </c>
      <c r="S106" s="14" t="s">
        <v>343</v>
      </c>
      <c r="T106" s="12" t="s">
        <v>272</v>
      </c>
      <c r="U106" s="12" t="s">
        <v>272</v>
      </c>
      <c r="V106" s="18"/>
      <c r="W106" s="12" t="s">
        <v>272</v>
      </c>
      <c r="X106" s="25" t="str">
        <f>_xlfn.IFS(AND(COUNTIF(V106,"SCB*")=1, 'PCH100'!K60&gt;=2), "See the Notice *2", TRUE, "")</f>
        <v/>
      </c>
      <c r="Y106" s="13"/>
      <c r="Z106" s="90" t="s">
        <v>271</v>
      </c>
      <c r="AA106" s="13" t="s">
        <v>254</v>
      </c>
      <c r="AB106" s="13"/>
      <c r="AC106" s="13"/>
    </row>
    <row r="107" spans="2:29" x14ac:dyDescent="0.2">
      <c r="B107" s="14" t="s">
        <v>250</v>
      </c>
      <c r="C107" s="14">
        <v>98</v>
      </c>
      <c r="D107" s="15" t="s">
        <v>250</v>
      </c>
      <c r="E107" s="14" t="s">
        <v>779</v>
      </c>
      <c r="F107" s="14" t="s">
        <v>786</v>
      </c>
      <c r="G107" s="14" t="s">
        <v>780</v>
      </c>
      <c r="H107" s="14" t="s">
        <v>788</v>
      </c>
      <c r="I107" s="12" t="s">
        <v>272</v>
      </c>
      <c r="J107" s="12" t="s">
        <v>272</v>
      </c>
      <c r="K107" s="12" t="s">
        <v>272</v>
      </c>
      <c r="L107" s="12" t="s">
        <v>272</v>
      </c>
      <c r="M107" s="14" t="s">
        <v>1109</v>
      </c>
      <c r="N107" s="12" t="s">
        <v>272</v>
      </c>
      <c r="O107" s="12" t="s">
        <v>272</v>
      </c>
      <c r="P107" s="12" t="s">
        <v>272</v>
      </c>
      <c r="Q107" s="12" t="s">
        <v>272</v>
      </c>
      <c r="R107" s="12" t="s">
        <v>272</v>
      </c>
      <c r="S107" s="14" t="s">
        <v>344</v>
      </c>
      <c r="T107" s="12" t="s">
        <v>272</v>
      </c>
      <c r="U107" s="12" t="s">
        <v>272</v>
      </c>
      <c r="V107" s="18"/>
      <c r="W107" s="12" t="s">
        <v>272</v>
      </c>
      <c r="X107" s="25"/>
      <c r="Y107" s="13"/>
      <c r="Z107" s="90" t="s">
        <v>271</v>
      </c>
      <c r="AA107" s="13" t="s">
        <v>254</v>
      </c>
      <c r="AB107" s="13"/>
      <c r="AC107" s="13"/>
    </row>
    <row r="108" spans="2:29" x14ac:dyDescent="0.2">
      <c r="B108" s="14" t="s">
        <v>251</v>
      </c>
      <c r="C108" s="14">
        <v>99</v>
      </c>
      <c r="D108" s="15" t="s">
        <v>251</v>
      </c>
      <c r="E108" s="14" t="s">
        <v>775</v>
      </c>
      <c r="F108" s="14" t="s">
        <v>782</v>
      </c>
      <c r="G108" s="14" t="s">
        <v>777</v>
      </c>
      <c r="H108" s="14" t="s">
        <v>784</v>
      </c>
      <c r="I108" s="12" t="s">
        <v>272</v>
      </c>
      <c r="J108" s="12" t="s">
        <v>272</v>
      </c>
      <c r="K108" s="12" t="s">
        <v>272</v>
      </c>
      <c r="L108" s="12" t="s">
        <v>272</v>
      </c>
      <c r="M108" s="14" t="s">
        <v>1110</v>
      </c>
      <c r="N108" s="12" t="s">
        <v>272</v>
      </c>
      <c r="O108" s="12" t="s">
        <v>272</v>
      </c>
      <c r="P108" s="14" t="s">
        <v>233</v>
      </c>
      <c r="Q108" s="14" t="s">
        <v>101</v>
      </c>
      <c r="R108" s="12" t="s">
        <v>272</v>
      </c>
      <c r="S108" s="14" t="s">
        <v>345</v>
      </c>
      <c r="T108" s="12" t="s">
        <v>272</v>
      </c>
      <c r="U108" s="14" t="s">
        <v>539</v>
      </c>
      <c r="V108" s="18"/>
      <c r="W108" s="12" t="s">
        <v>272</v>
      </c>
      <c r="X108" s="25"/>
      <c r="Y108" s="13"/>
      <c r="Z108" s="90" t="s">
        <v>271</v>
      </c>
      <c r="AA108" s="13" t="s">
        <v>254</v>
      </c>
      <c r="AB108" s="13"/>
      <c r="AC108" s="13"/>
    </row>
    <row r="109" spans="2:29" x14ac:dyDescent="0.2">
      <c r="B109" s="17" t="s">
        <v>254</v>
      </c>
      <c r="C109" s="11">
        <v>100</v>
      </c>
      <c r="D109" s="12" t="s">
        <v>272</v>
      </c>
      <c r="E109" s="12" t="s">
        <v>272</v>
      </c>
      <c r="F109" s="12" t="s">
        <v>272</v>
      </c>
      <c r="G109" s="12" t="s">
        <v>272</v>
      </c>
      <c r="H109" s="12" t="s">
        <v>272</v>
      </c>
      <c r="I109" s="12" t="s">
        <v>272</v>
      </c>
      <c r="J109" s="12" t="s">
        <v>272</v>
      </c>
      <c r="K109" s="12" t="s">
        <v>272</v>
      </c>
      <c r="L109" s="12" t="s">
        <v>272</v>
      </c>
      <c r="M109" s="12" t="s">
        <v>272</v>
      </c>
      <c r="N109" s="12" t="s">
        <v>272</v>
      </c>
      <c r="O109" s="12" t="s">
        <v>272</v>
      </c>
      <c r="P109" s="12" t="s">
        <v>272</v>
      </c>
      <c r="Q109" s="12" t="s">
        <v>272</v>
      </c>
      <c r="R109" s="12" t="s">
        <v>272</v>
      </c>
      <c r="S109" s="12" t="s">
        <v>272</v>
      </c>
      <c r="T109" s="12" t="s">
        <v>272</v>
      </c>
      <c r="U109" s="12" t="s">
        <v>272</v>
      </c>
      <c r="V109" s="17" t="s">
        <v>254</v>
      </c>
      <c r="W109" s="12" t="s">
        <v>272</v>
      </c>
      <c r="X109" s="25"/>
      <c r="Y109" s="13" t="s">
        <v>530</v>
      </c>
      <c r="Z109" s="90" t="s">
        <v>543</v>
      </c>
      <c r="AA109" s="90" t="s">
        <v>543</v>
      </c>
      <c r="AB109" s="13"/>
      <c r="AC109" s="13"/>
    </row>
    <row r="110" spans="2:29" x14ac:dyDescent="0.55000000000000004">
      <c r="X110" s="95"/>
      <c r="Y110" s="95"/>
      <c r="Z110" s="95"/>
      <c r="AA110" s="95"/>
      <c r="AB110" s="95"/>
      <c r="AC110" s="95"/>
    </row>
    <row r="111" spans="2:29" x14ac:dyDescent="0.55000000000000004">
      <c r="X111" s="95"/>
      <c r="Y111" s="95"/>
      <c r="Z111" s="95"/>
      <c r="AA111" s="95"/>
      <c r="AB111" s="95"/>
      <c r="AC111" s="95"/>
    </row>
    <row r="112" spans="2:29" x14ac:dyDescent="0.55000000000000004">
      <c r="B112" s="4" t="s">
        <v>1196</v>
      </c>
      <c r="X112" s="95"/>
      <c r="Y112" s="95"/>
      <c r="Z112" s="95"/>
      <c r="AA112" s="95"/>
      <c r="AB112" s="95"/>
      <c r="AC112" s="95"/>
    </row>
    <row r="113" spans="2:29" x14ac:dyDescent="0.55000000000000004">
      <c r="B113" s="4" t="s">
        <v>559</v>
      </c>
      <c r="X113" s="95"/>
      <c r="Y113" s="95"/>
      <c r="Z113" s="95"/>
      <c r="AA113" s="95"/>
      <c r="AB113" s="95"/>
      <c r="AC113" s="95"/>
    </row>
    <row r="114" spans="2:29" x14ac:dyDescent="0.55000000000000004">
      <c r="B114" s="4" t="s">
        <v>1197</v>
      </c>
      <c r="X114" s="95"/>
      <c r="Y114" s="95"/>
      <c r="Z114" s="95"/>
      <c r="AA114" s="95"/>
      <c r="AB114" s="95"/>
      <c r="AC114" s="95"/>
    </row>
    <row r="115" spans="2:29" x14ac:dyDescent="0.55000000000000004">
      <c r="B115" s="4" t="s">
        <v>1198</v>
      </c>
      <c r="X115" s="95"/>
      <c r="Y115" s="95"/>
      <c r="Z115" s="95"/>
      <c r="AA115" s="95"/>
      <c r="AB115" s="95"/>
      <c r="AC115" s="95"/>
    </row>
    <row r="116" spans="2:29" x14ac:dyDescent="0.55000000000000004">
      <c r="B116" s="4" t="s">
        <v>1199</v>
      </c>
      <c r="X116" s="95"/>
      <c r="Y116" s="95"/>
      <c r="Z116" s="95"/>
      <c r="AA116" s="95"/>
      <c r="AB116" s="95"/>
      <c r="AC116" s="95"/>
    </row>
    <row r="117" spans="2:29" x14ac:dyDescent="0.55000000000000004">
      <c r="X117" s="95"/>
      <c r="Y117" s="95"/>
      <c r="Z117" s="95"/>
      <c r="AA117" s="95"/>
      <c r="AB117" s="95"/>
      <c r="AC117" s="95"/>
    </row>
    <row r="118" spans="2:29" x14ac:dyDescent="0.55000000000000004">
      <c r="X118" s="95"/>
      <c r="Y118" s="95"/>
      <c r="Z118" s="95"/>
      <c r="AA118" s="95"/>
      <c r="AB118" s="95"/>
      <c r="AC118" s="95"/>
    </row>
    <row r="119" spans="2:29" x14ac:dyDescent="0.55000000000000004">
      <c r="X119" s="95"/>
      <c r="Y119" s="95"/>
      <c r="Z119" s="95"/>
      <c r="AA119" s="95"/>
      <c r="AB119" s="95"/>
      <c r="AC119" s="95"/>
    </row>
    <row r="120" spans="2:29" x14ac:dyDescent="0.55000000000000004">
      <c r="X120" s="95"/>
      <c r="Y120" s="95"/>
      <c r="Z120" s="95"/>
      <c r="AA120" s="95"/>
      <c r="AB120" s="95"/>
      <c r="AC120" s="95"/>
    </row>
    <row r="121" spans="2:29" x14ac:dyDescent="0.55000000000000004">
      <c r="X121" s="95"/>
      <c r="Y121" s="95"/>
      <c r="Z121" s="95"/>
      <c r="AA121" s="95"/>
      <c r="AB121" s="95"/>
      <c r="AC121" s="95"/>
    </row>
    <row r="122" spans="2:29" x14ac:dyDescent="0.55000000000000004">
      <c r="X122" s="95"/>
      <c r="Y122" s="95"/>
      <c r="Z122" s="95"/>
      <c r="AA122" s="95"/>
      <c r="AB122" s="95"/>
      <c r="AC122" s="95"/>
    </row>
    <row r="123" spans="2:29" x14ac:dyDescent="0.55000000000000004">
      <c r="X123" s="95"/>
      <c r="Y123" s="95"/>
      <c r="Z123" s="95"/>
      <c r="AA123" s="95"/>
      <c r="AB123" s="95"/>
      <c r="AC123" s="95"/>
    </row>
    <row r="124" spans="2:29" x14ac:dyDescent="0.55000000000000004">
      <c r="X124" s="95"/>
      <c r="Y124" s="95"/>
      <c r="Z124" s="95"/>
      <c r="AA124" s="95"/>
      <c r="AB124" s="95"/>
      <c r="AC124" s="95"/>
    </row>
    <row r="125" spans="2:29" x14ac:dyDescent="0.55000000000000004">
      <c r="X125" s="95"/>
      <c r="Y125" s="95"/>
      <c r="Z125" s="95"/>
      <c r="AA125" s="95"/>
      <c r="AB125" s="95"/>
      <c r="AC125" s="95"/>
    </row>
    <row r="126" spans="2:29" x14ac:dyDescent="0.55000000000000004">
      <c r="X126" s="95"/>
      <c r="Y126" s="95"/>
      <c r="Z126" s="95"/>
      <c r="AA126" s="95"/>
      <c r="AB126" s="95"/>
      <c r="AC126" s="95"/>
    </row>
    <row r="127" spans="2:29" ht="14.5" x14ac:dyDescent="0.35">
      <c r="D127" s="118" t="s">
        <v>1216</v>
      </c>
      <c r="E127" s="118"/>
      <c r="F127" s="118"/>
      <c r="G127" s="118"/>
      <c r="H127" s="118"/>
      <c r="I127" s="118"/>
      <c r="J127" s="118"/>
      <c r="K127" s="118"/>
      <c r="L127" s="118"/>
      <c r="M127" s="118"/>
      <c r="N127" s="118"/>
      <c r="O127" s="118"/>
      <c r="P127" s="118"/>
      <c r="Q127" s="118"/>
      <c r="X127" s="95"/>
      <c r="Y127" s="95"/>
      <c r="Z127" s="95"/>
      <c r="AA127" s="95"/>
      <c r="AB127" s="95"/>
      <c r="AC127" s="95"/>
    </row>
    <row r="128" spans="2:29" ht="172" customHeight="1" x14ac:dyDescent="0.55000000000000004">
      <c r="D128" s="119" t="s">
        <v>1217</v>
      </c>
      <c r="E128" s="119"/>
      <c r="F128" s="119"/>
      <c r="G128" s="119"/>
      <c r="H128" s="119"/>
      <c r="I128" s="119"/>
      <c r="J128" s="119"/>
      <c r="K128" s="119"/>
      <c r="L128" s="119"/>
      <c r="M128" s="119"/>
      <c r="N128" s="119"/>
      <c r="O128" s="119"/>
      <c r="P128" s="119"/>
      <c r="Q128" s="119"/>
      <c r="X128" s="95"/>
      <c r="Y128" s="95"/>
      <c r="Z128" s="95"/>
      <c r="AA128" s="95"/>
      <c r="AB128" s="95"/>
      <c r="AC128" s="95"/>
    </row>
    <row r="129" spans="24:29" x14ac:dyDescent="0.55000000000000004">
      <c r="X129" s="95"/>
      <c r="Y129" s="95"/>
      <c r="Z129" s="95"/>
      <c r="AA129" s="95"/>
      <c r="AB129" s="95"/>
      <c r="AC129" s="95"/>
    </row>
    <row r="130" spans="24:29" x14ac:dyDescent="0.55000000000000004">
      <c r="X130" s="95"/>
      <c r="Y130" s="95"/>
      <c r="Z130" s="95"/>
      <c r="AA130" s="95"/>
      <c r="AB130" s="95"/>
      <c r="AC130" s="95"/>
    </row>
    <row r="131" spans="24:29" x14ac:dyDescent="0.55000000000000004">
      <c r="X131" s="95"/>
      <c r="Y131" s="95"/>
      <c r="Z131" s="95"/>
      <c r="AA131" s="95"/>
      <c r="AB131" s="95"/>
      <c r="AC131" s="95"/>
    </row>
    <row r="132" spans="24:29" x14ac:dyDescent="0.55000000000000004">
      <c r="X132" s="95"/>
      <c r="Y132" s="95"/>
      <c r="Z132" s="95"/>
      <c r="AA132" s="95"/>
      <c r="AB132" s="95"/>
      <c r="AC132" s="95"/>
    </row>
    <row r="133" spans="24:29" x14ac:dyDescent="0.55000000000000004">
      <c r="X133" s="95"/>
      <c r="Y133" s="95"/>
      <c r="Z133" s="95"/>
      <c r="AA133" s="95"/>
      <c r="AB133" s="95"/>
      <c r="AC133" s="95"/>
    </row>
    <row r="134" spans="24:29" x14ac:dyDescent="0.55000000000000004">
      <c r="X134" s="95"/>
      <c r="Y134" s="95"/>
      <c r="Z134" s="95"/>
      <c r="AA134" s="95"/>
      <c r="AB134" s="95"/>
      <c r="AC134" s="95"/>
    </row>
    <row r="135" spans="24:29" x14ac:dyDescent="0.55000000000000004">
      <c r="X135" s="95"/>
      <c r="Y135" s="95"/>
      <c r="Z135" s="95"/>
      <c r="AA135" s="95"/>
      <c r="AB135" s="95"/>
      <c r="AC135" s="95"/>
    </row>
    <row r="136" spans="24:29" x14ac:dyDescent="0.55000000000000004">
      <c r="X136" s="95"/>
      <c r="Y136" s="95"/>
      <c r="Z136" s="95"/>
      <c r="AA136" s="95"/>
      <c r="AB136" s="95"/>
      <c r="AC136" s="95"/>
    </row>
    <row r="137" spans="24:29" x14ac:dyDescent="0.55000000000000004">
      <c r="X137" s="95"/>
      <c r="Y137" s="95"/>
      <c r="Z137" s="95"/>
      <c r="AA137" s="95"/>
      <c r="AB137" s="95"/>
      <c r="AC137" s="95"/>
    </row>
    <row r="138" spans="24:29" x14ac:dyDescent="0.55000000000000004">
      <c r="X138" s="95"/>
      <c r="Y138" s="95"/>
      <c r="Z138" s="95"/>
      <c r="AA138" s="95"/>
      <c r="AB138" s="95"/>
      <c r="AC138" s="95"/>
    </row>
    <row r="139" spans="24:29" x14ac:dyDescent="0.55000000000000004">
      <c r="X139" s="95"/>
      <c r="Y139" s="95"/>
      <c r="Z139" s="95"/>
      <c r="AA139" s="95"/>
      <c r="AB139" s="95"/>
      <c r="AC139" s="95"/>
    </row>
    <row r="140" spans="24:29" x14ac:dyDescent="0.55000000000000004">
      <c r="X140" s="95"/>
      <c r="Y140" s="95"/>
      <c r="Z140" s="95"/>
      <c r="AA140" s="95"/>
      <c r="AB140" s="95"/>
      <c r="AC140" s="95"/>
    </row>
    <row r="141" spans="24:29" x14ac:dyDescent="0.55000000000000004">
      <c r="X141" s="95"/>
      <c r="Y141" s="95"/>
      <c r="Z141" s="95"/>
      <c r="AA141" s="95"/>
      <c r="AB141" s="95"/>
      <c r="AC141" s="95"/>
    </row>
    <row r="142" spans="24:29" x14ac:dyDescent="0.55000000000000004">
      <c r="X142" s="95"/>
      <c r="Y142" s="95"/>
      <c r="Z142" s="95"/>
      <c r="AA142" s="95"/>
      <c r="AB142" s="95"/>
      <c r="AC142" s="95"/>
    </row>
    <row r="143" spans="24:29" x14ac:dyDescent="0.55000000000000004">
      <c r="X143" s="95"/>
      <c r="Y143" s="95"/>
      <c r="Z143" s="95"/>
      <c r="AA143" s="95"/>
      <c r="AB143" s="95"/>
      <c r="AC143" s="95"/>
    </row>
    <row r="144" spans="24:29" x14ac:dyDescent="0.55000000000000004">
      <c r="X144" s="95"/>
      <c r="Y144" s="95"/>
      <c r="Z144" s="95"/>
      <c r="AA144" s="95"/>
      <c r="AB144" s="95"/>
      <c r="AC144" s="95"/>
    </row>
    <row r="145" spans="24:29" x14ac:dyDescent="0.55000000000000004">
      <c r="X145" s="95"/>
      <c r="Y145" s="95"/>
      <c r="Z145" s="95"/>
      <c r="AA145" s="95"/>
      <c r="AB145" s="95"/>
      <c r="AC145" s="95"/>
    </row>
    <row r="146" spans="24:29" x14ac:dyDescent="0.55000000000000004">
      <c r="X146" s="95"/>
      <c r="Y146" s="95"/>
      <c r="Z146" s="95"/>
      <c r="AA146" s="95"/>
      <c r="AB146" s="95"/>
      <c r="AC146" s="95"/>
    </row>
    <row r="147" spans="24:29" x14ac:dyDescent="0.55000000000000004">
      <c r="X147" s="95"/>
      <c r="Y147" s="95"/>
      <c r="Z147" s="95"/>
      <c r="AA147" s="95"/>
      <c r="AB147" s="95"/>
      <c r="AC147" s="95"/>
    </row>
    <row r="148" spans="24:29" x14ac:dyDescent="0.55000000000000004">
      <c r="X148" s="95"/>
      <c r="Y148" s="95"/>
      <c r="Z148" s="95"/>
      <c r="AA148" s="95"/>
      <c r="AB148" s="95"/>
      <c r="AC148" s="95"/>
    </row>
    <row r="149" spans="24:29" x14ac:dyDescent="0.55000000000000004">
      <c r="X149" s="95"/>
      <c r="Y149" s="95"/>
      <c r="Z149" s="95"/>
      <c r="AA149" s="95"/>
      <c r="AB149" s="95"/>
      <c r="AC149" s="95"/>
    </row>
    <row r="150" spans="24:29" x14ac:dyDescent="0.55000000000000004">
      <c r="X150" s="95"/>
      <c r="Y150" s="95"/>
      <c r="Z150" s="95"/>
      <c r="AA150" s="95"/>
      <c r="AB150" s="95"/>
      <c r="AC150" s="95"/>
    </row>
    <row r="151" spans="24:29" x14ac:dyDescent="0.55000000000000004">
      <c r="X151" s="95"/>
      <c r="Y151" s="95"/>
      <c r="Z151" s="95"/>
      <c r="AA151" s="95"/>
      <c r="AB151" s="95"/>
      <c r="AC151" s="95"/>
    </row>
    <row r="152" spans="24:29" x14ac:dyDescent="0.55000000000000004">
      <c r="X152" s="95"/>
      <c r="Y152" s="95"/>
      <c r="Z152" s="95"/>
      <c r="AA152" s="95"/>
      <c r="AB152" s="95"/>
      <c r="AC152" s="95"/>
    </row>
    <row r="153" spans="24:29" x14ac:dyDescent="0.55000000000000004">
      <c r="X153" s="95"/>
      <c r="Y153" s="95"/>
      <c r="Z153" s="95"/>
      <c r="AA153" s="95"/>
      <c r="AB153" s="95"/>
      <c r="AC153" s="95"/>
    </row>
    <row r="154" spans="24:29" x14ac:dyDescent="0.55000000000000004">
      <c r="X154" s="95"/>
      <c r="Y154" s="95"/>
      <c r="Z154" s="95"/>
      <c r="AA154" s="95"/>
      <c r="AB154" s="95"/>
      <c r="AC154" s="95"/>
    </row>
    <row r="155" spans="24:29" x14ac:dyDescent="0.55000000000000004">
      <c r="X155" s="95"/>
      <c r="Y155" s="95"/>
      <c r="Z155" s="95"/>
      <c r="AA155" s="95"/>
      <c r="AB155" s="95"/>
      <c r="AC155" s="95"/>
    </row>
    <row r="156" spans="24:29" x14ac:dyDescent="0.55000000000000004">
      <c r="X156" s="95"/>
      <c r="Y156" s="95"/>
      <c r="Z156" s="95"/>
      <c r="AA156" s="95"/>
      <c r="AB156" s="95"/>
      <c r="AC156" s="95"/>
    </row>
    <row r="157" spans="24:29" x14ac:dyDescent="0.55000000000000004">
      <c r="X157" s="95"/>
      <c r="Y157" s="95"/>
      <c r="Z157" s="95"/>
      <c r="AA157" s="95"/>
      <c r="AB157" s="95"/>
      <c r="AC157" s="95"/>
    </row>
    <row r="158" spans="24:29" x14ac:dyDescent="0.55000000000000004">
      <c r="X158" s="95"/>
      <c r="Y158" s="95"/>
      <c r="Z158" s="95"/>
      <c r="AA158" s="95"/>
    </row>
    <row r="159" spans="24:29" x14ac:dyDescent="0.55000000000000004">
      <c r="X159" s="95"/>
      <c r="Y159" s="95"/>
      <c r="Z159" s="95"/>
      <c r="AA159" s="95"/>
    </row>
    <row r="160" spans="24:29" x14ac:dyDescent="0.55000000000000004">
      <c r="X160" s="95"/>
      <c r="Y160" s="95"/>
      <c r="Z160" s="95"/>
      <c r="AA160" s="95"/>
    </row>
    <row r="161" spans="24:27" x14ac:dyDescent="0.55000000000000004">
      <c r="X161" s="95"/>
      <c r="Y161" s="95"/>
      <c r="Z161" s="95"/>
      <c r="AA161" s="95"/>
    </row>
    <row r="162" spans="24:27" x14ac:dyDescent="0.55000000000000004">
      <c r="X162" s="95"/>
      <c r="Y162" s="95"/>
      <c r="Z162" s="95"/>
      <c r="AA162" s="95"/>
    </row>
    <row r="163" spans="24:27" x14ac:dyDescent="0.55000000000000004">
      <c r="X163" s="95"/>
      <c r="Y163" s="95"/>
      <c r="Z163" s="95"/>
      <c r="AA163" s="95"/>
    </row>
    <row r="164" spans="24:27" x14ac:dyDescent="0.55000000000000004">
      <c r="X164" s="95"/>
      <c r="Y164" s="95"/>
      <c r="Z164" s="95"/>
      <c r="AA164" s="95"/>
    </row>
    <row r="165" spans="24:27" x14ac:dyDescent="0.55000000000000004">
      <c r="X165" s="95"/>
      <c r="Y165" s="95"/>
      <c r="Z165" s="95"/>
      <c r="AA165" s="95"/>
    </row>
    <row r="166" spans="24:27" x14ac:dyDescent="0.55000000000000004">
      <c r="X166" s="95"/>
      <c r="Y166" s="95"/>
      <c r="Z166" s="95"/>
      <c r="AA166" s="95"/>
    </row>
    <row r="167" spans="24:27" x14ac:dyDescent="0.55000000000000004">
      <c r="X167" s="95"/>
      <c r="Y167" s="95"/>
      <c r="Z167" s="95"/>
      <c r="AA167" s="95"/>
    </row>
    <row r="168" spans="24:27" x14ac:dyDescent="0.55000000000000004">
      <c r="X168" s="95"/>
      <c r="Y168" s="95"/>
      <c r="Z168" s="95"/>
      <c r="AA168" s="95"/>
    </row>
    <row r="169" spans="24:27" x14ac:dyDescent="0.55000000000000004">
      <c r="X169" s="95"/>
      <c r="Y169" s="95"/>
      <c r="Z169" s="95"/>
      <c r="AA169" s="95"/>
    </row>
    <row r="170" spans="24:27" x14ac:dyDescent="0.55000000000000004">
      <c r="X170" s="95"/>
      <c r="Y170" s="95"/>
      <c r="Z170" s="95"/>
      <c r="AA170" s="95"/>
    </row>
    <row r="171" spans="24:27" x14ac:dyDescent="0.55000000000000004">
      <c r="X171" s="95"/>
      <c r="Y171" s="95"/>
      <c r="Z171" s="95"/>
      <c r="AA171" s="95"/>
    </row>
    <row r="172" spans="24:27" x14ac:dyDescent="0.55000000000000004">
      <c r="X172" s="95"/>
      <c r="Y172" s="95"/>
      <c r="Z172" s="95"/>
      <c r="AA172" s="95"/>
    </row>
    <row r="173" spans="24:27" x14ac:dyDescent="0.55000000000000004">
      <c r="X173" s="95"/>
      <c r="Y173" s="95"/>
      <c r="Z173" s="95"/>
      <c r="AA173" s="95"/>
    </row>
    <row r="174" spans="24:27" x14ac:dyDescent="0.55000000000000004">
      <c r="X174" s="95"/>
      <c r="Y174" s="95"/>
      <c r="Z174" s="95"/>
      <c r="AA174" s="95"/>
    </row>
    <row r="175" spans="24:27" x14ac:dyDescent="0.55000000000000004">
      <c r="X175" s="95"/>
      <c r="Y175" s="95"/>
      <c r="Z175" s="95"/>
      <c r="AA175" s="95"/>
    </row>
    <row r="176" spans="24:27" x14ac:dyDescent="0.55000000000000004">
      <c r="X176" s="95"/>
      <c r="Y176" s="95"/>
      <c r="Z176" s="95"/>
      <c r="AA176" s="95"/>
    </row>
    <row r="177" spans="24:27" x14ac:dyDescent="0.55000000000000004">
      <c r="X177" s="95"/>
      <c r="Y177" s="95"/>
      <c r="Z177" s="95"/>
      <c r="AA177" s="95"/>
    </row>
    <row r="178" spans="24:27" x14ac:dyDescent="0.55000000000000004">
      <c r="X178" s="95"/>
      <c r="Y178" s="95"/>
      <c r="Z178" s="95"/>
      <c r="AA178" s="95"/>
    </row>
    <row r="179" spans="24:27" x14ac:dyDescent="0.55000000000000004">
      <c r="X179" s="95"/>
      <c r="Y179" s="95"/>
      <c r="Z179" s="95"/>
      <c r="AA179" s="95"/>
    </row>
    <row r="180" spans="24:27" x14ac:dyDescent="0.55000000000000004">
      <c r="X180" s="95"/>
      <c r="Y180" s="95"/>
      <c r="Z180" s="95"/>
      <c r="AA180" s="95"/>
    </row>
    <row r="181" spans="24:27" x14ac:dyDescent="0.55000000000000004">
      <c r="X181" s="95"/>
      <c r="Y181" s="95"/>
      <c r="Z181" s="95"/>
      <c r="AA181" s="95"/>
    </row>
    <row r="182" spans="24:27" x14ac:dyDescent="0.55000000000000004">
      <c r="X182" s="95"/>
      <c r="Y182" s="95"/>
      <c r="Z182" s="95"/>
      <c r="AA182" s="95"/>
    </row>
    <row r="183" spans="24:27" x14ac:dyDescent="0.55000000000000004">
      <c r="X183" s="95"/>
      <c r="Y183" s="95"/>
      <c r="Z183" s="95"/>
      <c r="AA183" s="95"/>
    </row>
    <row r="184" spans="24:27" x14ac:dyDescent="0.55000000000000004">
      <c r="X184" s="95"/>
      <c r="Y184" s="95"/>
      <c r="Z184" s="95"/>
      <c r="AA184" s="95"/>
    </row>
    <row r="185" spans="24:27" x14ac:dyDescent="0.55000000000000004">
      <c r="X185" s="95"/>
      <c r="Y185" s="95"/>
      <c r="Z185" s="95"/>
      <c r="AA185" s="95"/>
    </row>
    <row r="186" spans="24:27" x14ac:dyDescent="0.55000000000000004">
      <c r="X186" s="95"/>
      <c r="Y186" s="95"/>
      <c r="Z186" s="95"/>
      <c r="AA186" s="95"/>
    </row>
    <row r="187" spans="24:27" x14ac:dyDescent="0.55000000000000004">
      <c r="X187" s="95"/>
      <c r="Y187" s="95"/>
      <c r="Z187" s="95"/>
      <c r="AA187" s="95"/>
    </row>
    <row r="188" spans="24:27" x14ac:dyDescent="0.55000000000000004">
      <c r="X188" s="95"/>
      <c r="Y188" s="95"/>
      <c r="Z188" s="95"/>
      <c r="AA188" s="95"/>
    </row>
    <row r="189" spans="24:27" x14ac:dyDescent="0.55000000000000004">
      <c r="X189" s="95"/>
      <c r="Y189" s="95"/>
      <c r="Z189" s="95"/>
      <c r="AA189" s="95"/>
    </row>
    <row r="190" spans="24:27" x14ac:dyDescent="0.55000000000000004">
      <c r="X190" s="95"/>
      <c r="Y190" s="95"/>
      <c r="Z190" s="95"/>
      <c r="AA190" s="95"/>
    </row>
    <row r="191" spans="24:27" x14ac:dyDescent="0.55000000000000004">
      <c r="X191" s="95"/>
      <c r="Y191" s="95"/>
      <c r="Z191" s="95"/>
      <c r="AA191" s="95"/>
    </row>
    <row r="192" spans="24:27" x14ac:dyDescent="0.55000000000000004">
      <c r="X192" s="95"/>
      <c r="Y192" s="95"/>
      <c r="Z192" s="95"/>
      <c r="AA192" s="95"/>
    </row>
    <row r="193" spans="24:27" x14ac:dyDescent="0.55000000000000004">
      <c r="X193" s="95"/>
      <c r="Y193" s="95"/>
      <c r="Z193" s="95"/>
      <c r="AA193" s="95"/>
    </row>
    <row r="194" spans="24:27" x14ac:dyDescent="0.55000000000000004">
      <c r="X194" s="95"/>
      <c r="Y194" s="95"/>
      <c r="Z194" s="95"/>
      <c r="AA194" s="95"/>
    </row>
    <row r="195" spans="24:27" x14ac:dyDescent="0.55000000000000004">
      <c r="X195" s="95"/>
      <c r="Y195" s="95"/>
      <c r="Z195" s="95"/>
      <c r="AA195" s="95"/>
    </row>
    <row r="196" spans="24:27" x14ac:dyDescent="0.55000000000000004">
      <c r="X196" s="95"/>
      <c r="Y196" s="95"/>
      <c r="Z196" s="95"/>
      <c r="AA196" s="95"/>
    </row>
    <row r="197" spans="24:27" x14ac:dyDescent="0.55000000000000004">
      <c r="X197" s="95"/>
      <c r="Y197" s="95"/>
      <c r="Z197" s="95"/>
      <c r="AA197" s="95"/>
    </row>
    <row r="198" spans="24:27" x14ac:dyDescent="0.55000000000000004">
      <c r="X198" s="95"/>
      <c r="Y198" s="95"/>
      <c r="Z198" s="95"/>
      <c r="AA198" s="95"/>
    </row>
    <row r="199" spans="24:27" x14ac:dyDescent="0.55000000000000004">
      <c r="X199" s="95"/>
      <c r="Y199" s="95"/>
      <c r="Z199" s="95"/>
      <c r="AA199" s="95"/>
    </row>
    <row r="200" spans="24:27" x14ac:dyDescent="0.55000000000000004">
      <c r="X200" s="95"/>
      <c r="Y200" s="95"/>
      <c r="Z200" s="95"/>
      <c r="AA200" s="95"/>
    </row>
    <row r="201" spans="24:27" x14ac:dyDescent="0.55000000000000004">
      <c r="X201" s="95"/>
      <c r="Y201" s="95"/>
      <c r="Z201" s="95"/>
      <c r="AA201" s="95"/>
    </row>
    <row r="202" spans="24:27" x14ac:dyDescent="0.55000000000000004">
      <c r="X202" s="95"/>
      <c r="Y202" s="95"/>
      <c r="Z202" s="95"/>
      <c r="AA202" s="95"/>
    </row>
    <row r="203" spans="24:27" x14ac:dyDescent="0.55000000000000004">
      <c r="X203" s="95"/>
      <c r="Y203" s="95"/>
      <c r="Z203" s="95"/>
      <c r="AA203" s="95"/>
    </row>
    <row r="204" spans="24:27" x14ac:dyDescent="0.55000000000000004">
      <c r="X204" s="95"/>
      <c r="Y204" s="95"/>
      <c r="Z204" s="95"/>
      <c r="AA204" s="95"/>
    </row>
    <row r="205" spans="24:27" x14ac:dyDescent="0.55000000000000004">
      <c r="X205" s="95"/>
      <c r="Y205" s="95"/>
      <c r="Z205" s="95"/>
      <c r="AA205" s="95"/>
    </row>
    <row r="206" spans="24:27" x14ac:dyDescent="0.55000000000000004">
      <c r="X206" s="95"/>
      <c r="Y206" s="95"/>
      <c r="Z206" s="95"/>
      <c r="AA206" s="95"/>
    </row>
    <row r="207" spans="24:27" x14ac:dyDescent="0.55000000000000004">
      <c r="X207" s="95"/>
      <c r="Y207" s="95"/>
      <c r="Z207" s="95"/>
      <c r="AA207" s="95"/>
    </row>
    <row r="208" spans="24:27" x14ac:dyDescent="0.55000000000000004">
      <c r="X208" s="95"/>
      <c r="Y208" s="95"/>
      <c r="Z208" s="95"/>
      <c r="AA208" s="95"/>
    </row>
    <row r="209" spans="24:27" x14ac:dyDescent="0.55000000000000004">
      <c r="X209" s="95"/>
      <c r="Y209" s="95"/>
      <c r="Z209" s="95"/>
      <c r="AA209" s="95"/>
    </row>
    <row r="210" spans="24:27" x14ac:dyDescent="0.55000000000000004">
      <c r="X210" s="95"/>
      <c r="Y210" s="95"/>
      <c r="Z210" s="95"/>
      <c r="AA210" s="95"/>
    </row>
    <row r="211" spans="24:27" x14ac:dyDescent="0.55000000000000004">
      <c r="X211" s="95"/>
      <c r="Y211" s="95"/>
      <c r="Z211" s="95"/>
      <c r="AA211" s="95"/>
    </row>
    <row r="212" spans="24:27" x14ac:dyDescent="0.55000000000000004">
      <c r="X212" s="95"/>
      <c r="Y212" s="95"/>
      <c r="Z212" s="95"/>
      <c r="AA212" s="95"/>
    </row>
    <row r="213" spans="24:27" x14ac:dyDescent="0.55000000000000004">
      <c r="X213" s="95"/>
      <c r="Y213" s="95"/>
      <c r="Z213" s="95"/>
      <c r="AA213" s="95"/>
    </row>
    <row r="214" spans="24:27" x14ac:dyDescent="0.55000000000000004">
      <c r="X214" s="95"/>
      <c r="Y214" s="95"/>
      <c r="Z214" s="95"/>
      <c r="AA214" s="95"/>
    </row>
    <row r="215" spans="24:27" x14ac:dyDescent="0.55000000000000004">
      <c r="X215" s="95"/>
      <c r="Y215" s="95"/>
      <c r="Z215" s="95"/>
      <c r="AA215" s="95"/>
    </row>
    <row r="216" spans="24:27" x14ac:dyDescent="0.55000000000000004">
      <c r="X216" s="95"/>
      <c r="Y216" s="95"/>
      <c r="Z216" s="95"/>
      <c r="AA216" s="95"/>
    </row>
    <row r="217" spans="24:27" x14ac:dyDescent="0.55000000000000004">
      <c r="X217" s="95"/>
      <c r="Y217" s="95"/>
      <c r="Z217" s="95"/>
      <c r="AA217" s="95"/>
    </row>
    <row r="218" spans="24:27" x14ac:dyDescent="0.55000000000000004">
      <c r="X218" s="95"/>
      <c r="Y218" s="95"/>
      <c r="Z218" s="95"/>
      <c r="AA218" s="95"/>
    </row>
    <row r="219" spans="24:27" x14ac:dyDescent="0.55000000000000004">
      <c r="X219" s="95"/>
      <c r="Y219" s="95"/>
      <c r="Z219" s="95"/>
      <c r="AA219" s="95"/>
    </row>
  </sheetData>
  <sheetProtection algorithmName="SHA-512" hashValue="gbiKpDZAl1EILP2kqLJQQLt238jCBsjGbwF1gLE5NLnodJOliL7w41VBEuHVcRTjWDA1KKClXTZcgKEn9aIEXQ==" saltValue="7KslVz8bPtFDi7AXHDeWUQ==" spinCount="100000" sheet="1" objects="1" scenarios="1" formatCells="0" formatColumns="0" formatRows="0" insertColumns="0" insertRows="0" insertHyperlinks="0" deleteColumns="0" deleteRows="0" selectLockedCells="1" sort="0" autoFilter="0" pivotTables="0"/>
  <mergeCells count="19">
    <mergeCell ref="D127:Q127"/>
    <mergeCell ref="D128:Q128"/>
    <mergeCell ref="B7:B9"/>
    <mergeCell ref="I7:K7"/>
    <mergeCell ref="C7:C9"/>
    <mergeCell ref="U7:U9"/>
    <mergeCell ref="D7:D9"/>
    <mergeCell ref="R7:T7"/>
    <mergeCell ref="V8:V9"/>
    <mergeCell ref="X8:X9"/>
    <mergeCell ref="V7:X7"/>
    <mergeCell ref="AC8:AC9"/>
    <mergeCell ref="AB7:AC7"/>
    <mergeCell ref="AB8:AB9"/>
    <mergeCell ref="W8:W9"/>
    <mergeCell ref="Z7:AA7"/>
    <mergeCell ref="Z8:Z9"/>
    <mergeCell ref="AA8:AA9"/>
    <mergeCell ref="Y7:Y9"/>
  </mergeCells>
  <phoneticPr fontId="3"/>
  <conditionalFormatting sqref="V15">
    <cfRule type="colorScale" priority="11">
      <colorScale>
        <cfvo type="min"/>
        <cfvo type="max"/>
        <color rgb="FFFF7128"/>
        <color rgb="FFFFEF9C"/>
      </colorScale>
    </cfRule>
  </conditionalFormatting>
  <conditionalFormatting sqref="V11:V20">
    <cfRule type="notContainsBlanks" dxfId="226" priority="10">
      <formula>LEN(TRIM(V11))&gt;0</formula>
    </cfRule>
  </conditionalFormatting>
  <conditionalFormatting sqref="V23:V32">
    <cfRule type="notContainsBlanks" dxfId="225" priority="9">
      <formula>LEN(TRIM(V23))&gt;0</formula>
    </cfRule>
  </conditionalFormatting>
  <conditionalFormatting sqref="V38:V49">
    <cfRule type="notContainsBlanks" dxfId="224" priority="8">
      <formula>LEN(TRIM(V38))&gt;0</formula>
    </cfRule>
  </conditionalFormatting>
  <conditionalFormatting sqref="V54:V58">
    <cfRule type="notContainsBlanks" dxfId="223" priority="7">
      <formula>LEN(TRIM(V54))&gt;0</formula>
    </cfRule>
  </conditionalFormatting>
  <conditionalFormatting sqref="V61:V83">
    <cfRule type="notContainsBlanks" dxfId="222" priority="6">
      <formula>LEN(TRIM(V61))&gt;0</formula>
    </cfRule>
  </conditionalFormatting>
  <conditionalFormatting sqref="V86:V93">
    <cfRule type="notContainsBlanks" dxfId="221" priority="5">
      <formula>LEN(TRIM(V86))&gt;0</formula>
    </cfRule>
  </conditionalFormatting>
  <conditionalFormatting sqref="V99:V108">
    <cfRule type="notContainsBlanks" dxfId="220" priority="4">
      <formula>LEN(TRIM(V99))&gt;0</formula>
    </cfRule>
  </conditionalFormatting>
  <conditionalFormatting sqref="V11:V20 V23:V32 V38:V49 V54:V58 V61:V83 V86:V93 V99:V108">
    <cfRule type="duplicateValues" dxfId="219" priority="3"/>
  </conditionalFormatting>
  <conditionalFormatting sqref="W54:W58">
    <cfRule type="notContainsBlanks" dxfId="218" priority="2">
      <formula>LEN(TRIM(W54))&gt;0</formula>
    </cfRule>
  </conditionalFormatting>
  <conditionalFormatting sqref="W61:W75">
    <cfRule type="notContainsBlanks" dxfId="217" priority="1">
      <formula>LEN(TRIM(W61))&gt;0</formula>
    </cfRule>
  </conditionalFormatting>
  <dataValidations count="98">
    <dataValidation type="list" allowBlank="1" showInputMessage="1" showErrorMessage="1" sqref="V11" xr:uid="{A4F37647-8EE1-4B7B-9558-E98229D1DE3C}">
      <formula1>$D$11:$U$11</formula1>
    </dataValidation>
    <dataValidation type="list" allowBlank="1" showInputMessage="1" showErrorMessage="1" sqref="V12" xr:uid="{FD2E3BCC-AFE2-4C5E-8353-CDA58868410D}">
      <formula1>$D$12:$U$12</formula1>
    </dataValidation>
    <dataValidation type="list" allowBlank="1" showInputMessage="1" showErrorMessage="1" sqref="V13" xr:uid="{675EF0B3-0DE4-4280-8E60-6323FF94DCD2}">
      <formula1>$D$13:$U$13</formula1>
    </dataValidation>
    <dataValidation type="list" allowBlank="1" showInputMessage="1" showErrorMessage="1" sqref="V14" xr:uid="{321ECDEF-5318-430E-817B-95D8776B970E}">
      <formula1>$D$14:$U$14</formula1>
    </dataValidation>
    <dataValidation type="list" allowBlank="1" showInputMessage="1" showErrorMessage="1" sqref="V15" xr:uid="{F1E3BF0C-F6DD-4BDA-A41D-11981816B24E}">
      <formula1>$D$15:$U$15</formula1>
    </dataValidation>
    <dataValidation type="list" allowBlank="1" showInputMessage="1" showErrorMessage="1" sqref="V16" xr:uid="{39A70CB6-BBF3-4327-A978-BE166EB4150F}">
      <formula1>$D$16:$U$16</formula1>
    </dataValidation>
    <dataValidation type="list" allowBlank="1" showInputMessage="1" showErrorMessage="1" sqref="V17" xr:uid="{915A33B0-4D36-49E2-9984-CA8CFF362F2D}">
      <formula1>$D$17:$U$17</formula1>
    </dataValidation>
    <dataValidation type="list" allowBlank="1" showInputMessage="1" showErrorMessage="1" sqref="V18" xr:uid="{19B99A49-B82F-44E9-ABBC-4A42CE3C37D8}">
      <formula1>$D$18:$U$18</formula1>
    </dataValidation>
    <dataValidation type="list" allowBlank="1" showInputMessage="1" showErrorMessage="1" sqref="V19" xr:uid="{D5BDBDA9-DA36-488A-9C08-F720E5186A18}">
      <formula1>$D$19:$U$19</formula1>
    </dataValidation>
    <dataValidation type="list" allowBlank="1" showInputMessage="1" showErrorMessage="1" sqref="V20" xr:uid="{F6EBBC7D-B787-4CC6-A4C9-C9DCAA976710}">
      <formula1>$D$20:$U$20</formula1>
    </dataValidation>
    <dataValidation type="list" allowBlank="1" showInputMessage="1" showErrorMessage="1" sqref="V23" xr:uid="{02B21D0B-82A9-43AC-A13B-B40FA902197E}">
      <formula1>$D$23:$U$23</formula1>
    </dataValidation>
    <dataValidation type="list" allowBlank="1" showInputMessage="1" showErrorMessage="1" sqref="V24" xr:uid="{BC7D9581-8577-4C1D-8F4E-9F2044671C0A}">
      <formula1>$D$24:$U$24</formula1>
    </dataValidation>
    <dataValidation type="list" allowBlank="1" showInputMessage="1" showErrorMessage="1" sqref="V25" xr:uid="{4F3DC792-342F-40B4-9EF4-6CC9E0FD648A}">
      <formula1>$D$25:$U$25</formula1>
    </dataValidation>
    <dataValidation type="list" allowBlank="1" showInputMessage="1" showErrorMessage="1" sqref="V26" xr:uid="{06B38529-90B1-49A0-8E1F-E2AC2358BCD7}">
      <formula1>$D$26:$U$26</formula1>
    </dataValidation>
    <dataValidation type="list" allowBlank="1" showInputMessage="1" showErrorMessage="1" sqref="V27" xr:uid="{E9AB3A88-1AB2-4838-9769-5C207879FAE9}">
      <formula1>$D$27:$U$27</formula1>
    </dataValidation>
    <dataValidation type="list" allowBlank="1" showInputMessage="1" showErrorMessage="1" sqref="V28" xr:uid="{EF7D3F78-92E6-480F-86F8-D89AFAA22F1B}">
      <formula1>$D$28:$U$28</formula1>
    </dataValidation>
    <dataValidation type="list" allowBlank="1" showInputMessage="1" showErrorMessage="1" sqref="V29" xr:uid="{C90A3D45-42DE-42CB-9E68-354069D6D9B1}">
      <formula1>$D$29:$U$29</formula1>
    </dataValidation>
    <dataValidation type="list" allowBlank="1" showInputMessage="1" showErrorMessage="1" sqref="V30" xr:uid="{AC527A59-92F0-4DD7-A4B2-73B495D962B4}">
      <formula1>$D$30:$U$30</formula1>
    </dataValidation>
    <dataValidation type="list" allowBlank="1" showInputMessage="1" showErrorMessage="1" sqref="V32" xr:uid="{E29363EC-2367-4178-AF97-344FC3B7219C}">
      <formula1>$D$32:$U$32</formula1>
    </dataValidation>
    <dataValidation type="list" allowBlank="1" showInputMessage="1" showErrorMessage="1" sqref="V54" xr:uid="{131E9DC1-A3D5-4527-8938-F72CFD0F4E09}">
      <formula1>$D$54:$U$54</formula1>
    </dataValidation>
    <dataValidation type="list" allowBlank="1" showInputMessage="1" showErrorMessage="1" sqref="V55" xr:uid="{11B317DF-9CA0-41A8-BA80-619C97C98785}">
      <formula1>$D$55:$U$55</formula1>
    </dataValidation>
    <dataValidation type="list" allowBlank="1" showInputMessage="1" showErrorMessage="1" sqref="V56" xr:uid="{E1072582-89C8-4073-8F70-70931CA682DC}">
      <formula1>$D$56:$U$56</formula1>
    </dataValidation>
    <dataValidation type="list" allowBlank="1" showInputMessage="1" showErrorMessage="1" sqref="V57" xr:uid="{3B8FB4DB-4372-466A-B7D0-2158ACDAF0F8}">
      <formula1>$D$57:$U$57</formula1>
    </dataValidation>
    <dataValidation type="list" allowBlank="1" showInputMessage="1" showErrorMessage="1" sqref="V58" xr:uid="{1F05B773-D056-4017-98CD-772661E48143}">
      <formula1>$D$58:$U$58</formula1>
    </dataValidation>
    <dataValidation type="list" allowBlank="1" showInputMessage="1" showErrorMessage="1" sqref="V47" xr:uid="{C6DF983F-E790-4643-96ED-5B8BB65A9F45}">
      <formula1>$D$47:$U$47</formula1>
    </dataValidation>
    <dataValidation type="list" allowBlank="1" showInputMessage="1" showErrorMessage="1" sqref="V48" xr:uid="{7902F70A-CA05-4934-B62F-B03EC1B5ED17}">
      <formula1>$D$48:$U$48</formula1>
    </dataValidation>
    <dataValidation type="list" allowBlank="1" showInputMessage="1" showErrorMessage="1" sqref="V49" xr:uid="{C3F6A605-DF0B-4001-9D77-9D4BDF732719}">
      <formula1>$D$49:$U$49</formula1>
    </dataValidation>
    <dataValidation type="list" allowBlank="1" showInputMessage="1" showErrorMessage="1" sqref="V99" xr:uid="{33C58C34-CD46-48F3-86AA-8D0E3259D75D}">
      <formula1>$D$99:$U$99</formula1>
    </dataValidation>
    <dataValidation type="list" allowBlank="1" showInputMessage="1" showErrorMessage="1" sqref="V100" xr:uid="{03F6DA22-39A2-4B31-AA79-7DC6660F66B7}">
      <formula1>$D$100:$U$100</formula1>
    </dataValidation>
    <dataValidation type="list" allowBlank="1" showInputMessage="1" showErrorMessage="1" sqref="V101" xr:uid="{6B1AB1BB-99F8-4F62-974E-FDF5084196C1}">
      <formula1>$D$101:$U$101</formula1>
    </dataValidation>
    <dataValidation type="list" allowBlank="1" showInputMessage="1" showErrorMessage="1" sqref="V102" xr:uid="{2162DDCE-1965-45BB-AA23-B12EA7CDDD1D}">
      <formula1>$D$102:$U$102</formula1>
    </dataValidation>
    <dataValidation type="list" allowBlank="1" showInputMessage="1" showErrorMessage="1" sqref="V103" xr:uid="{C161EAD8-8600-43F0-B171-19E2305F0615}">
      <formula1>$D$103:$U$103</formula1>
    </dataValidation>
    <dataValidation type="list" allowBlank="1" showInputMessage="1" showErrorMessage="1" sqref="V104" xr:uid="{39ADB043-9CE6-42D9-A24D-2CF156193019}">
      <formula1>$D$104:$U$104</formula1>
    </dataValidation>
    <dataValidation type="list" allowBlank="1" showInputMessage="1" showErrorMessage="1" sqref="V105" xr:uid="{9C71F44F-64D4-4B41-9ED6-119579D24922}">
      <formula1>$D$105:$U$105</formula1>
    </dataValidation>
    <dataValidation type="list" allowBlank="1" showInputMessage="1" showErrorMessage="1" sqref="V106" xr:uid="{3F36A0D2-F3D0-42D5-9E39-80CA87B3A5E8}">
      <formula1>$D$106:$U$106</formula1>
    </dataValidation>
    <dataValidation type="list" allowBlank="1" showInputMessage="1" showErrorMessage="1" sqref="V107" xr:uid="{1DF8DBCA-3651-4D8C-AD52-5ACA5048648A}">
      <formula1>$D$107:$U$107</formula1>
    </dataValidation>
    <dataValidation type="list" allowBlank="1" showInputMessage="1" showErrorMessage="1" sqref="V108" xr:uid="{5637AF0A-4B5B-4530-AA1B-F5FDFB8129E6}">
      <formula1>$D$108:$U$108</formula1>
    </dataValidation>
    <dataValidation type="list" allowBlank="1" showInputMessage="1" showErrorMessage="1" sqref="V86" xr:uid="{63125E87-9C62-4651-83C9-7909B3751AE8}">
      <formula1>$D$86:$U$86</formula1>
    </dataValidation>
    <dataValidation type="list" allowBlank="1" showInputMessage="1" showErrorMessage="1" sqref="V87" xr:uid="{3680A0B5-5748-4D81-B3FA-A4778B0D12E1}">
      <formula1>$D$87:$U$87</formula1>
    </dataValidation>
    <dataValidation type="list" allowBlank="1" showInputMessage="1" showErrorMessage="1" sqref="V88" xr:uid="{43843D22-8D42-4A5C-B1EA-8A67B5A3D31C}">
      <formula1>$D$88:$U$88</formula1>
    </dataValidation>
    <dataValidation type="list" allowBlank="1" showInputMessage="1" showErrorMessage="1" sqref="V38" xr:uid="{E31A7C91-918F-4134-87F5-4474FBC259E4}">
      <formula1>$D$38:$U$38</formula1>
    </dataValidation>
    <dataValidation type="list" allowBlank="1" showInputMessage="1" showErrorMessage="1" sqref="V39" xr:uid="{E2D73DEF-3E57-4777-89C8-F6B211DC24B3}">
      <formula1>$D$39:$U$39</formula1>
    </dataValidation>
    <dataValidation type="list" allowBlank="1" showInputMessage="1" showErrorMessage="1" sqref="V40" xr:uid="{118387ED-E994-47A8-B441-E60F072133B0}">
      <formula1>$D$40:$U$40</formula1>
    </dataValidation>
    <dataValidation type="list" allowBlank="1" showInputMessage="1" showErrorMessage="1" sqref="V41" xr:uid="{266B539C-59D9-45C4-A7BC-7536B5C9E3D2}">
      <formula1>$D$41:$U$41</formula1>
    </dataValidation>
    <dataValidation type="list" allowBlank="1" showInputMessage="1" showErrorMessage="1" sqref="V42" xr:uid="{57F86EEE-7D31-4188-8CB1-DAFFB0C7DB2B}">
      <formula1>$D$42:$U$42</formula1>
    </dataValidation>
    <dataValidation type="list" allowBlank="1" showInputMessage="1" showErrorMessage="1" sqref="V43" xr:uid="{A28792BF-CDE6-4760-A982-46035AC4E976}">
      <formula1>$D$43:$U$43</formula1>
    </dataValidation>
    <dataValidation type="list" allowBlank="1" showInputMessage="1" showErrorMessage="1" sqref="V44" xr:uid="{EBE2A672-9850-4174-B781-A77120A1695D}">
      <formula1>$D$44:$U$44</formula1>
    </dataValidation>
    <dataValidation type="list" allowBlank="1" showInputMessage="1" showErrorMessage="1" sqref="V45" xr:uid="{413951B2-9D3A-4ABE-81E6-714C7434B440}">
      <formula1>$D$45:$U$45</formula1>
    </dataValidation>
    <dataValidation type="list" allowBlank="1" showInputMessage="1" showErrorMessage="1" sqref="V46" xr:uid="{D8C32CDE-009F-4A7C-8A6A-58A155EAB45C}">
      <formula1>$D$46:$U$46</formula1>
    </dataValidation>
    <dataValidation type="list" allowBlank="1" showInputMessage="1" showErrorMessage="1" sqref="V89" xr:uid="{D2221216-FD54-4773-83E4-15C88D440E37}">
      <formula1>$D$89:$U$89</formula1>
    </dataValidation>
    <dataValidation type="list" allowBlank="1" showInputMessage="1" showErrorMessage="1" sqref="V90" xr:uid="{65F02F8C-3583-46A9-B220-B5125394422B}">
      <formula1>$D$90:$U$90</formula1>
    </dataValidation>
    <dataValidation type="list" allowBlank="1" showInputMessage="1" showErrorMessage="1" sqref="V91" xr:uid="{7760FEDF-C01E-45B8-9F89-A3CFD1AC0C2F}">
      <formula1>$D$91:$U$91</formula1>
    </dataValidation>
    <dataValidation type="list" allowBlank="1" showInputMessage="1" showErrorMessage="1" sqref="V92" xr:uid="{58CF0792-064A-4842-925C-CD8B41F6ABC7}">
      <formula1>$D$92:$U$92</formula1>
    </dataValidation>
    <dataValidation type="list" allowBlank="1" showInputMessage="1" showErrorMessage="1" sqref="V93" xr:uid="{E528D6ED-CDF4-40EA-A6E9-50D78B83F204}">
      <formula1>$D$93:$U$93</formula1>
    </dataValidation>
    <dataValidation type="list" allowBlank="1" showInputMessage="1" showErrorMessage="1" sqref="V61" xr:uid="{CECD16DA-FAD0-4CF6-A134-8126331E72C1}">
      <formula1>$D$61:$U$61</formula1>
    </dataValidation>
    <dataValidation type="list" allowBlank="1" showInputMessage="1" showErrorMessage="1" sqref="V62" xr:uid="{FDB9F2E6-0F1C-4B29-8B83-D3C4997F230E}">
      <formula1>$D$62:$U$62</formula1>
    </dataValidation>
    <dataValidation type="list" allowBlank="1" showInputMessage="1" showErrorMessage="1" sqref="V63" xr:uid="{5791C869-FBB8-4D9A-A2BC-9CCA5DBBD379}">
      <formula1>$D$63:$U$63</formula1>
    </dataValidation>
    <dataValidation type="list" allowBlank="1" showInputMessage="1" showErrorMessage="1" sqref="V64" xr:uid="{CAC2A31D-B133-4B76-AEC3-9B6754DA177F}">
      <formula1>$D$64:$U$64</formula1>
    </dataValidation>
    <dataValidation type="list" allowBlank="1" showInputMessage="1" showErrorMessage="1" sqref="V65" xr:uid="{2970A4BD-722B-4510-A061-FF622D141733}">
      <formula1>$D$65:$U$65</formula1>
    </dataValidation>
    <dataValidation type="list" allowBlank="1" showInputMessage="1" showErrorMessage="1" sqref="V66" xr:uid="{A42D6CFA-9070-4491-AD74-ACC172180BB9}">
      <formula1>$D$66:$U$66</formula1>
    </dataValidation>
    <dataValidation type="list" allowBlank="1" showInputMessage="1" showErrorMessage="1" sqref="V67" xr:uid="{4C84A502-D0B1-4CEF-93D2-181F9AEBEFA7}">
      <formula1>$D$67:$U$67</formula1>
    </dataValidation>
    <dataValidation type="list" allowBlank="1" showInputMessage="1" showErrorMessage="1" sqref="V68" xr:uid="{EFCB205E-4212-4500-9BE1-7C7B3A9F0CAD}">
      <formula1>$D$68:$U$68</formula1>
    </dataValidation>
    <dataValidation type="list" allowBlank="1" showInputMessage="1" showErrorMessage="1" sqref="V69" xr:uid="{A36A8AF6-0CEA-4D55-8225-8C14DEB810AF}">
      <formula1>$D$69:$U$69</formula1>
    </dataValidation>
    <dataValidation type="list" allowBlank="1" showInputMessage="1" showErrorMessage="1" sqref="V70" xr:uid="{3BBE2684-67D7-46A1-B8E9-BD097CE0F183}">
      <formula1>$D$70:$U$70</formula1>
    </dataValidation>
    <dataValidation type="list" allowBlank="1" showInputMessage="1" showErrorMessage="1" sqref="V71" xr:uid="{6ECF538B-4EFF-4694-A673-A13E70AA3B6A}">
      <formula1>$D$71:$U$71</formula1>
    </dataValidation>
    <dataValidation type="list" allowBlank="1" showInputMessage="1" showErrorMessage="1" sqref="V72" xr:uid="{CAA60189-B87C-4769-BB91-58E69EC73811}">
      <formula1>$D$72:$U$72</formula1>
    </dataValidation>
    <dataValidation type="list" allowBlank="1" showInputMessage="1" showErrorMessage="1" sqref="V73" xr:uid="{A4E2DAE1-808D-48DE-A86F-83AD9C2A3E48}">
      <formula1>$D$73:$U$73</formula1>
    </dataValidation>
    <dataValidation type="list" allowBlank="1" showInputMessage="1" showErrorMessage="1" sqref="V74" xr:uid="{E434FB06-E083-4EA7-98F7-B36D87916221}">
      <formula1>$D$74:$U$74</formula1>
    </dataValidation>
    <dataValidation type="list" allowBlank="1" showInputMessage="1" showErrorMessage="1" sqref="V75" xr:uid="{CB0E86E1-4661-4850-8788-5CB85CFCF9FE}">
      <formula1>$D$75:$U$75</formula1>
    </dataValidation>
    <dataValidation type="list" allowBlank="1" showInputMessage="1" showErrorMessage="1" sqref="V76" xr:uid="{B31E5BC3-8F76-49FA-8F3A-CAE722D8BE0D}">
      <formula1>$D$76:$U$76</formula1>
    </dataValidation>
    <dataValidation type="list" allowBlank="1" showInputMessage="1" showErrorMessage="1" sqref="V77" xr:uid="{9C3E5F27-9C50-447D-8344-74EF51D60782}">
      <formula1>$D$77:$U$77</formula1>
    </dataValidation>
    <dataValidation type="list" allowBlank="1" showInputMessage="1" showErrorMessage="1" sqref="V78" xr:uid="{751B7391-F5F7-4D17-8155-59423C224728}">
      <formula1>$D$78:$U$78</formula1>
    </dataValidation>
    <dataValidation type="list" allowBlank="1" showInputMessage="1" showErrorMessage="1" sqref="V79" xr:uid="{72DA1B5F-0B7C-4573-A1B8-F6061ED164BF}">
      <formula1>$D$79:$U$79</formula1>
    </dataValidation>
    <dataValidation type="list" allowBlank="1" showInputMessage="1" showErrorMessage="1" sqref="V80" xr:uid="{FF3E6472-985C-401B-92DE-878CF6FDBDED}">
      <formula1>$D$80:$U$80</formula1>
    </dataValidation>
    <dataValidation type="list" allowBlank="1" showInputMessage="1" showErrorMessage="1" sqref="V81" xr:uid="{0DD01E04-047B-4B6C-BF39-8F7379A04CAF}">
      <formula1>$D$81:$U$81</formula1>
    </dataValidation>
    <dataValidation type="list" allowBlank="1" showInputMessage="1" showErrorMessage="1" sqref="V82" xr:uid="{8B2F6FA0-0470-4CC3-9DE9-F3D3C66E8659}">
      <formula1>$D$82:$U$82</formula1>
    </dataValidation>
    <dataValidation type="list" allowBlank="1" showInputMessage="1" showErrorMessage="1" sqref="V83" xr:uid="{D448006D-5516-4E76-9F66-F789A1924CE7}">
      <formula1>$D$83:$U$83</formula1>
    </dataValidation>
    <dataValidation type="list" allowBlank="1" showInputMessage="1" showErrorMessage="1" sqref="V31" xr:uid="{0237F8C7-80BC-456B-AD9B-760529D178FE}">
      <formula1>$D$31:$U$31</formula1>
    </dataValidation>
    <dataValidation type="list" allowBlank="1" showInputMessage="1" showErrorMessage="1" sqref="W58" xr:uid="{CD0BFD90-7A28-4737-AFB5-1FBA47C57671}">
      <formula1>"NA, SMARTIO12_4"</formula1>
    </dataValidation>
    <dataValidation type="list" allowBlank="1" showInputMessage="1" showErrorMessage="1" sqref="W57" xr:uid="{59CF312B-E1CE-42CC-8A8E-F66F54400146}">
      <formula1>"NA, SMARTIO12_3"</formula1>
    </dataValidation>
    <dataValidation type="list" allowBlank="1" showInputMessage="1" showErrorMessage="1" sqref="W56" xr:uid="{2E4242D7-A11A-4E21-A58A-BAF565CE4443}">
      <formula1>"NA, SMARTIO12_2"</formula1>
    </dataValidation>
    <dataValidation type="list" allowBlank="1" showInputMessage="1" showErrorMessage="1" sqref="W55" xr:uid="{DFA0BBC0-9D77-44BA-83E0-3306EE235283}">
      <formula1>"NA, SMARTIO12_1"</formula1>
    </dataValidation>
    <dataValidation type="list" allowBlank="1" showInputMessage="1" showErrorMessage="1" sqref="W54" xr:uid="{EAB964E0-081A-4A11-A59D-39A0FF218600}">
      <formula1>"NA, SMARTIO12_0"</formula1>
    </dataValidation>
    <dataValidation type="list" allowBlank="1" showInputMessage="1" showErrorMessage="1" sqref="W75" xr:uid="{01F339EC-303D-465A-8EB7-7A021D0797DA}">
      <formula1>"NA, SMARTIO17_2"</formula1>
    </dataValidation>
    <dataValidation type="list" allowBlank="1" showInputMessage="1" showErrorMessage="1" sqref="W74" xr:uid="{3FCADB5A-F144-4D99-B758-CD241EA56A11}">
      <formula1>"NA, SMARTIO17_1"</formula1>
    </dataValidation>
    <dataValidation type="list" allowBlank="1" showInputMessage="1" showErrorMessage="1" sqref="W73" xr:uid="{7D20B17E-B756-45CA-8820-9CBB4D38D18A}">
      <formula1>"NA, SMARTIO17_0"</formula1>
    </dataValidation>
    <dataValidation type="list" allowBlank="1" showInputMessage="1" showErrorMessage="1" sqref="W72" xr:uid="{57B30954-AFB4-4D7D-B112-8CA94E8EF363}">
      <formula1>"NA, SMARTIO14_3"</formula1>
    </dataValidation>
    <dataValidation type="list" allowBlank="1" showInputMessage="1" showErrorMessage="1" sqref="W71" xr:uid="{8AC6BCF5-27BA-4778-A1F3-9300A93EF1D8}">
      <formula1>"NA, SMARTIO14_2"</formula1>
    </dataValidation>
    <dataValidation type="list" allowBlank="1" showInputMessage="1" showErrorMessage="1" sqref="W70" xr:uid="{9A34FC9F-587D-41F5-8468-562AB4EEF99C}">
      <formula1>"NA, SMARTIO14_1"</formula1>
    </dataValidation>
    <dataValidation type="list" allowBlank="1" showInputMessage="1" showErrorMessage="1" sqref="W69" xr:uid="{0D476814-60E7-4342-81B7-D889345D6BA8}">
      <formula1>"NA, SMARTIO14_0"</formula1>
    </dataValidation>
    <dataValidation type="list" allowBlank="1" showInputMessage="1" showErrorMessage="1" sqref="W68" xr:uid="{6FE3E5F3-55AF-4608-AA93-F9819BD00226}">
      <formula1>"NA, SMARTIO13_7"</formula1>
    </dataValidation>
    <dataValidation type="list" allowBlank="1" showInputMessage="1" showErrorMessage="1" sqref="W67" xr:uid="{58361A18-3D09-4FB7-ABE6-416ABADE85DD}">
      <formula1>"NA, SMARTIO13_6"</formula1>
    </dataValidation>
    <dataValidation type="list" allowBlank="1" showInputMessage="1" showErrorMessage="1" sqref="W66" xr:uid="{E927AED3-5EB1-46B1-A083-98071BD1D942}">
      <formula1>"NA, SMARTIO13_5"</formula1>
    </dataValidation>
    <dataValidation type="list" allowBlank="1" showInputMessage="1" showErrorMessage="1" sqref="W65" xr:uid="{B9B726E4-86C2-4E74-898A-386FDF9433A8}">
      <formula1>"NA, SMARTIO13_4"</formula1>
    </dataValidation>
    <dataValidation type="list" allowBlank="1" showInputMessage="1" showErrorMessage="1" sqref="W64" xr:uid="{6486E6A3-B9A4-41EE-833D-526AD3A5F64F}">
      <formula1>"NA, SMARTIO13_3"</formula1>
    </dataValidation>
    <dataValidation type="list" allowBlank="1" showInputMessage="1" showErrorMessage="1" sqref="W63" xr:uid="{0145A0B6-B3C9-4F0A-8FEE-C205AA1D2EC7}">
      <formula1>"NA, SMARTIO13_2"</formula1>
    </dataValidation>
    <dataValidation type="list" allowBlank="1" showInputMessage="1" showErrorMessage="1" sqref="W62" xr:uid="{14DE2C47-7448-436C-987E-5F3096CB0D39}">
      <formula1>"NA, SMARTIO13_1"</formula1>
    </dataValidation>
    <dataValidation type="list" allowBlank="1" showInputMessage="1" showErrorMessage="1" sqref="W61" xr:uid="{CAA70501-2F12-4449-ACD4-94AFD4C95144}">
      <formula1>"NA, SMARTIO13_0"</formula1>
    </dataValidation>
  </dataValidations>
  <pageMargins left="0.7" right="0.7" top="0.75" bottom="0.75" header="0.3" footer="0.3"/>
  <pageSetup paperSize="9" orientation="portrait" r:id="rId1"/>
  <ignoredErrors>
    <ignoredError sqref="X11:X109" unlockedFormula="1"/>
  </ignoredError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0F0F-5A3C-435A-963C-2DDEB62D1881}">
  <dimension ref="A1:BQ132"/>
  <sheetViews>
    <sheetView zoomScale="91" zoomScaleNormal="91" workbookViewId="0">
      <selection activeCell="AT5" sqref="AT5"/>
    </sheetView>
  </sheetViews>
  <sheetFormatPr defaultRowHeight="10" x14ac:dyDescent="0.55000000000000004"/>
  <cols>
    <col min="1" max="1" width="8.6640625" style="35"/>
    <col min="2" max="2" width="14.1640625" style="35" bestFit="1" customWidth="1"/>
    <col min="3" max="3" width="12.08203125" style="35" bestFit="1" customWidth="1"/>
    <col min="4" max="66" width="6.1640625" style="35" customWidth="1"/>
    <col min="67" max="69" width="8.58203125" style="35" customWidth="1"/>
    <col min="70" max="291" width="8.6640625" style="35"/>
    <col min="292" max="292" width="14.33203125" style="35" customWidth="1"/>
    <col min="293" max="294" width="3.33203125" style="35" customWidth="1"/>
    <col min="295" max="319" width="2.4140625" style="35" customWidth="1"/>
    <col min="320" max="321" width="3.33203125" style="35" customWidth="1"/>
    <col min="322" max="322" width="14.33203125" style="35" customWidth="1"/>
    <col min="323" max="547" width="8.6640625" style="35"/>
    <col min="548" max="548" width="14.33203125" style="35" customWidth="1"/>
    <col min="549" max="550" width="3.33203125" style="35" customWidth="1"/>
    <col min="551" max="575" width="2.4140625" style="35" customWidth="1"/>
    <col min="576" max="577" width="3.33203125" style="35" customWidth="1"/>
    <col min="578" max="578" width="14.33203125" style="35" customWidth="1"/>
    <col min="579" max="803" width="8.6640625" style="35"/>
    <col min="804" max="804" width="14.33203125" style="35" customWidth="1"/>
    <col min="805" max="806" width="3.33203125" style="35" customWidth="1"/>
    <col min="807" max="831" width="2.4140625" style="35" customWidth="1"/>
    <col min="832" max="833" width="3.33203125" style="35" customWidth="1"/>
    <col min="834" max="834" width="14.33203125" style="35" customWidth="1"/>
    <col min="835" max="1059" width="8.6640625" style="35"/>
    <col min="1060" max="1060" width="14.33203125" style="35" customWidth="1"/>
    <col min="1061" max="1062" width="3.33203125" style="35" customWidth="1"/>
    <col min="1063" max="1087" width="2.4140625" style="35" customWidth="1"/>
    <col min="1088" max="1089" width="3.33203125" style="35" customWidth="1"/>
    <col min="1090" max="1090" width="14.33203125" style="35" customWidth="1"/>
    <col min="1091" max="1315" width="8.6640625" style="35"/>
    <col min="1316" max="1316" width="14.33203125" style="35" customWidth="1"/>
    <col min="1317" max="1318" width="3.33203125" style="35" customWidth="1"/>
    <col min="1319" max="1343" width="2.4140625" style="35" customWidth="1"/>
    <col min="1344" max="1345" width="3.33203125" style="35" customWidth="1"/>
    <col min="1346" max="1346" width="14.33203125" style="35" customWidth="1"/>
    <col min="1347" max="1571" width="8.6640625" style="35"/>
    <col min="1572" max="1572" width="14.33203125" style="35" customWidth="1"/>
    <col min="1573" max="1574" width="3.33203125" style="35" customWidth="1"/>
    <col min="1575" max="1599" width="2.4140625" style="35" customWidth="1"/>
    <col min="1600" max="1601" width="3.33203125" style="35" customWidth="1"/>
    <col min="1602" max="1602" width="14.33203125" style="35" customWidth="1"/>
    <col min="1603" max="1827" width="8.6640625" style="35"/>
    <col min="1828" max="1828" width="14.33203125" style="35" customWidth="1"/>
    <col min="1829" max="1830" width="3.33203125" style="35" customWidth="1"/>
    <col min="1831" max="1855" width="2.4140625" style="35" customWidth="1"/>
    <col min="1856" max="1857" width="3.33203125" style="35" customWidth="1"/>
    <col min="1858" max="1858" width="14.33203125" style="35" customWidth="1"/>
    <col min="1859" max="2083" width="8.6640625" style="35"/>
    <col min="2084" max="2084" width="14.33203125" style="35" customWidth="1"/>
    <col min="2085" max="2086" width="3.33203125" style="35" customWidth="1"/>
    <col min="2087" max="2111" width="2.4140625" style="35" customWidth="1"/>
    <col min="2112" max="2113" width="3.33203125" style="35" customWidth="1"/>
    <col min="2114" max="2114" width="14.33203125" style="35" customWidth="1"/>
    <col min="2115" max="2339" width="8.6640625" style="35"/>
    <col min="2340" max="2340" width="14.33203125" style="35" customWidth="1"/>
    <col min="2341" max="2342" width="3.33203125" style="35" customWidth="1"/>
    <col min="2343" max="2367" width="2.4140625" style="35" customWidth="1"/>
    <col min="2368" max="2369" width="3.33203125" style="35" customWidth="1"/>
    <col min="2370" max="2370" width="14.33203125" style="35" customWidth="1"/>
    <col min="2371" max="2595" width="8.6640625" style="35"/>
    <col min="2596" max="2596" width="14.33203125" style="35" customWidth="1"/>
    <col min="2597" max="2598" width="3.33203125" style="35" customWidth="1"/>
    <col min="2599" max="2623" width="2.4140625" style="35" customWidth="1"/>
    <col min="2624" max="2625" width="3.33203125" style="35" customWidth="1"/>
    <col min="2626" max="2626" width="14.33203125" style="35" customWidth="1"/>
    <col min="2627" max="2851" width="8.6640625" style="35"/>
    <col min="2852" max="2852" width="14.33203125" style="35" customWidth="1"/>
    <col min="2853" max="2854" width="3.33203125" style="35" customWidth="1"/>
    <col min="2855" max="2879" width="2.4140625" style="35" customWidth="1"/>
    <col min="2880" max="2881" width="3.33203125" style="35" customWidth="1"/>
    <col min="2882" max="2882" width="14.33203125" style="35" customWidth="1"/>
    <col min="2883" max="3107" width="8.6640625" style="35"/>
    <col min="3108" max="3108" width="14.33203125" style="35" customWidth="1"/>
    <col min="3109" max="3110" width="3.33203125" style="35" customWidth="1"/>
    <col min="3111" max="3135" width="2.4140625" style="35" customWidth="1"/>
    <col min="3136" max="3137" width="3.33203125" style="35" customWidth="1"/>
    <col min="3138" max="3138" width="14.33203125" style="35" customWidth="1"/>
    <col min="3139" max="3363" width="8.6640625" style="35"/>
    <col min="3364" max="3364" width="14.33203125" style="35" customWidth="1"/>
    <col min="3365" max="3366" width="3.33203125" style="35" customWidth="1"/>
    <col min="3367" max="3391" width="2.4140625" style="35" customWidth="1"/>
    <col min="3392" max="3393" width="3.33203125" style="35" customWidth="1"/>
    <col min="3394" max="3394" width="14.33203125" style="35" customWidth="1"/>
    <col min="3395" max="3619" width="8.6640625" style="35"/>
    <col min="3620" max="3620" width="14.33203125" style="35" customWidth="1"/>
    <col min="3621" max="3622" width="3.33203125" style="35" customWidth="1"/>
    <col min="3623" max="3647" width="2.4140625" style="35" customWidth="1"/>
    <col min="3648" max="3649" width="3.33203125" style="35" customWidth="1"/>
    <col min="3650" max="3650" width="14.33203125" style="35" customWidth="1"/>
    <col min="3651" max="3875" width="8.6640625" style="35"/>
    <col min="3876" max="3876" width="14.33203125" style="35" customWidth="1"/>
    <col min="3877" max="3878" width="3.33203125" style="35" customWidth="1"/>
    <col min="3879" max="3903" width="2.4140625" style="35" customWidth="1"/>
    <col min="3904" max="3905" width="3.33203125" style="35" customWidth="1"/>
    <col min="3906" max="3906" width="14.33203125" style="35" customWidth="1"/>
    <col min="3907" max="4131" width="8.6640625" style="35"/>
    <col min="4132" max="4132" width="14.33203125" style="35" customWidth="1"/>
    <col min="4133" max="4134" width="3.33203125" style="35" customWidth="1"/>
    <col min="4135" max="4159" width="2.4140625" style="35" customWidth="1"/>
    <col min="4160" max="4161" width="3.33203125" style="35" customWidth="1"/>
    <col min="4162" max="4162" width="14.33203125" style="35" customWidth="1"/>
    <col min="4163" max="4387" width="8.6640625" style="35"/>
    <col min="4388" max="4388" width="14.33203125" style="35" customWidth="1"/>
    <col min="4389" max="4390" width="3.33203125" style="35" customWidth="1"/>
    <col min="4391" max="4415" width="2.4140625" style="35" customWidth="1"/>
    <col min="4416" max="4417" width="3.33203125" style="35" customWidth="1"/>
    <col min="4418" max="4418" width="14.33203125" style="35" customWidth="1"/>
    <col min="4419" max="4643" width="8.6640625" style="35"/>
    <col min="4644" max="4644" width="14.33203125" style="35" customWidth="1"/>
    <col min="4645" max="4646" width="3.33203125" style="35" customWidth="1"/>
    <col min="4647" max="4671" width="2.4140625" style="35" customWidth="1"/>
    <col min="4672" max="4673" width="3.33203125" style="35" customWidth="1"/>
    <col min="4674" max="4674" width="14.33203125" style="35" customWidth="1"/>
    <col min="4675" max="4899" width="8.6640625" style="35"/>
    <col min="4900" max="4900" width="14.33203125" style="35" customWidth="1"/>
    <col min="4901" max="4902" width="3.33203125" style="35" customWidth="1"/>
    <col min="4903" max="4927" width="2.4140625" style="35" customWidth="1"/>
    <col min="4928" max="4929" width="3.33203125" style="35" customWidth="1"/>
    <col min="4930" max="4930" width="14.33203125" style="35" customWidth="1"/>
    <col min="4931" max="5155" width="8.6640625" style="35"/>
    <col min="5156" max="5156" width="14.33203125" style="35" customWidth="1"/>
    <col min="5157" max="5158" width="3.33203125" style="35" customWidth="1"/>
    <col min="5159" max="5183" width="2.4140625" style="35" customWidth="1"/>
    <col min="5184" max="5185" width="3.33203125" style="35" customWidth="1"/>
    <col min="5186" max="5186" width="14.33203125" style="35" customWidth="1"/>
    <col min="5187" max="5411" width="8.6640625" style="35"/>
    <col min="5412" max="5412" width="14.33203125" style="35" customWidth="1"/>
    <col min="5413" max="5414" width="3.33203125" style="35" customWidth="1"/>
    <col min="5415" max="5439" width="2.4140625" style="35" customWidth="1"/>
    <col min="5440" max="5441" width="3.33203125" style="35" customWidth="1"/>
    <col min="5442" max="5442" width="14.33203125" style="35" customWidth="1"/>
    <col min="5443" max="5667" width="8.6640625" style="35"/>
    <col min="5668" max="5668" width="14.33203125" style="35" customWidth="1"/>
    <col min="5669" max="5670" width="3.33203125" style="35" customWidth="1"/>
    <col min="5671" max="5695" width="2.4140625" style="35" customWidth="1"/>
    <col min="5696" max="5697" width="3.33203125" style="35" customWidth="1"/>
    <col min="5698" max="5698" width="14.33203125" style="35" customWidth="1"/>
    <col min="5699" max="5923" width="8.6640625" style="35"/>
    <col min="5924" max="5924" width="14.33203125" style="35" customWidth="1"/>
    <col min="5925" max="5926" width="3.33203125" style="35" customWidth="1"/>
    <col min="5927" max="5951" width="2.4140625" style="35" customWidth="1"/>
    <col min="5952" max="5953" width="3.33203125" style="35" customWidth="1"/>
    <col min="5954" max="5954" width="14.33203125" style="35" customWidth="1"/>
    <col min="5955" max="6179" width="8.6640625" style="35"/>
    <col min="6180" max="6180" width="14.33203125" style="35" customWidth="1"/>
    <col min="6181" max="6182" width="3.33203125" style="35" customWidth="1"/>
    <col min="6183" max="6207" width="2.4140625" style="35" customWidth="1"/>
    <col min="6208" max="6209" width="3.33203125" style="35" customWidth="1"/>
    <col min="6210" max="6210" width="14.33203125" style="35" customWidth="1"/>
    <col min="6211" max="6435" width="8.6640625" style="35"/>
    <col min="6436" max="6436" width="14.33203125" style="35" customWidth="1"/>
    <col min="6437" max="6438" width="3.33203125" style="35" customWidth="1"/>
    <col min="6439" max="6463" width="2.4140625" style="35" customWidth="1"/>
    <col min="6464" max="6465" width="3.33203125" style="35" customWidth="1"/>
    <col min="6466" max="6466" width="14.33203125" style="35" customWidth="1"/>
    <col min="6467" max="6691" width="8.6640625" style="35"/>
    <col min="6692" max="6692" width="14.33203125" style="35" customWidth="1"/>
    <col min="6693" max="6694" width="3.33203125" style="35" customWidth="1"/>
    <col min="6695" max="6719" width="2.4140625" style="35" customWidth="1"/>
    <col min="6720" max="6721" width="3.33203125" style="35" customWidth="1"/>
    <col min="6722" max="6722" width="14.33203125" style="35" customWidth="1"/>
    <col min="6723" max="6947" width="8.6640625" style="35"/>
    <col min="6948" max="6948" width="14.33203125" style="35" customWidth="1"/>
    <col min="6949" max="6950" width="3.33203125" style="35" customWidth="1"/>
    <col min="6951" max="6975" width="2.4140625" style="35" customWidth="1"/>
    <col min="6976" max="6977" width="3.33203125" style="35" customWidth="1"/>
    <col min="6978" max="6978" width="14.33203125" style="35" customWidth="1"/>
    <col min="6979" max="7203" width="8.6640625" style="35"/>
    <col min="7204" max="7204" width="14.33203125" style="35" customWidth="1"/>
    <col min="7205" max="7206" width="3.33203125" style="35" customWidth="1"/>
    <col min="7207" max="7231" width="2.4140625" style="35" customWidth="1"/>
    <col min="7232" max="7233" width="3.33203125" style="35" customWidth="1"/>
    <col min="7234" max="7234" width="14.33203125" style="35" customWidth="1"/>
    <col min="7235" max="7459" width="8.6640625" style="35"/>
    <col min="7460" max="7460" width="14.33203125" style="35" customWidth="1"/>
    <col min="7461" max="7462" width="3.33203125" style="35" customWidth="1"/>
    <col min="7463" max="7487" width="2.4140625" style="35" customWidth="1"/>
    <col min="7488" max="7489" width="3.33203125" style="35" customWidth="1"/>
    <col min="7490" max="7490" width="14.33203125" style="35" customWidth="1"/>
    <col min="7491" max="7715" width="8.6640625" style="35"/>
    <col min="7716" max="7716" width="14.33203125" style="35" customWidth="1"/>
    <col min="7717" max="7718" width="3.33203125" style="35" customWidth="1"/>
    <col min="7719" max="7743" width="2.4140625" style="35" customWidth="1"/>
    <col min="7744" max="7745" width="3.33203125" style="35" customWidth="1"/>
    <col min="7746" max="7746" width="14.33203125" style="35" customWidth="1"/>
    <col min="7747" max="7971" width="8.6640625" style="35"/>
    <col min="7972" max="7972" width="14.33203125" style="35" customWidth="1"/>
    <col min="7973" max="7974" width="3.33203125" style="35" customWidth="1"/>
    <col min="7975" max="7999" width="2.4140625" style="35" customWidth="1"/>
    <col min="8000" max="8001" width="3.33203125" style="35" customWidth="1"/>
    <col min="8002" max="8002" width="14.33203125" style="35" customWidth="1"/>
    <col min="8003" max="8227" width="8.6640625" style="35"/>
    <col min="8228" max="8228" width="14.33203125" style="35" customWidth="1"/>
    <col min="8229" max="8230" width="3.33203125" style="35" customWidth="1"/>
    <col min="8231" max="8255" width="2.4140625" style="35" customWidth="1"/>
    <col min="8256" max="8257" width="3.33203125" style="35" customWidth="1"/>
    <col min="8258" max="8258" width="14.33203125" style="35" customWidth="1"/>
    <col min="8259" max="8483" width="8.6640625" style="35"/>
    <col min="8484" max="8484" width="14.33203125" style="35" customWidth="1"/>
    <col min="8485" max="8486" width="3.33203125" style="35" customWidth="1"/>
    <col min="8487" max="8511" width="2.4140625" style="35" customWidth="1"/>
    <col min="8512" max="8513" width="3.33203125" style="35" customWidth="1"/>
    <col min="8514" max="8514" width="14.33203125" style="35" customWidth="1"/>
    <col min="8515" max="8739" width="8.6640625" style="35"/>
    <col min="8740" max="8740" width="14.33203125" style="35" customWidth="1"/>
    <col min="8741" max="8742" width="3.33203125" style="35" customWidth="1"/>
    <col min="8743" max="8767" width="2.4140625" style="35" customWidth="1"/>
    <col min="8768" max="8769" width="3.33203125" style="35" customWidth="1"/>
    <col min="8770" max="8770" width="14.33203125" style="35" customWidth="1"/>
    <col min="8771" max="8995" width="8.6640625" style="35"/>
    <col min="8996" max="8996" width="14.33203125" style="35" customWidth="1"/>
    <col min="8997" max="8998" width="3.33203125" style="35" customWidth="1"/>
    <col min="8999" max="9023" width="2.4140625" style="35" customWidth="1"/>
    <col min="9024" max="9025" width="3.33203125" style="35" customWidth="1"/>
    <col min="9026" max="9026" width="14.33203125" style="35" customWidth="1"/>
    <col min="9027" max="9251" width="8.6640625" style="35"/>
    <col min="9252" max="9252" width="14.33203125" style="35" customWidth="1"/>
    <col min="9253" max="9254" width="3.33203125" style="35" customWidth="1"/>
    <col min="9255" max="9279" width="2.4140625" style="35" customWidth="1"/>
    <col min="9280" max="9281" width="3.33203125" style="35" customWidth="1"/>
    <col min="9282" max="9282" width="14.33203125" style="35" customWidth="1"/>
    <col min="9283" max="9507" width="8.6640625" style="35"/>
    <col min="9508" max="9508" width="14.33203125" style="35" customWidth="1"/>
    <col min="9509" max="9510" width="3.33203125" style="35" customWidth="1"/>
    <col min="9511" max="9535" width="2.4140625" style="35" customWidth="1"/>
    <col min="9536" max="9537" width="3.33203125" style="35" customWidth="1"/>
    <col min="9538" max="9538" width="14.33203125" style="35" customWidth="1"/>
    <col min="9539" max="9763" width="8.6640625" style="35"/>
    <col min="9764" max="9764" width="14.33203125" style="35" customWidth="1"/>
    <col min="9765" max="9766" width="3.33203125" style="35" customWidth="1"/>
    <col min="9767" max="9791" width="2.4140625" style="35" customWidth="1"/>
    <col min="9792" max="9793" width="3.33203125" style="35" customWidth="1"/>
    <col min="9794" max="9794" width="14.33203125" style="35" customWidth="1"/>
    <col min="9795" max="10019" width="8.6640625" style="35"/>
    <col min="10020" max="10020" width="14.33203125" style="35" customWidth="1"/>
    <col min="10021" max="10022" width="3.33203125" style="35" customWidth="1"/>
    <col min="10023" max="10047" width="2.4140625" style="35" customWidth="1"/>
    <col min="10048" max="10049" width="3.33203125" style="35" customWidth="1"/>
    <col min="10050" max="10050" width="14.33203125" style="35" customWidth="1"/>
    <col min="10051" max="10275" width="8.6640625" style="35"/>
    <col min="10276" max="10276" width="14.33203125" style="35" customWidth="1"/>
    <col min="10277" max="10278" width="3.33203125" style="35" customWidth="1"/>
    <col min="10279" max="10303" width="2.4140625" style="35" customWidth="1"/>
    <col min="10304" max="10305" width="3.33203125" style="35" customWidth="1"/>
    <col min="10306" max="10306" width="14.33203125" style="35" customWidth="1"/>
    <col min="10307" max="10531" width="8.6640625" style="35"/>
    <col min="10532" max="10532" width="14.33203125" style="35" customWidth="1"/>
    <col min="10533" max="10534" width="3.33203125" style="35" customWidth="1"/>
    <col min="10535" max="10559" width="2.4140625" style="35" customWidth="1"/>
    <col min="10560" max="10561" width="3.33203125" style="35" customWidth="1"/>
    <col min="10562" max="10562" width="14.33203125" style="35" customWidth="1"/>
    <col min="10563" max="10787" width="8.6640625" style="35"/>
    <col min="10788" max="10788" width="14.33203125" style="35" customWidth="1"/>
    <col min="10789" max="10790" width="3.33203125" style="35" customWidth="1"/>
    <col min="10791" max="10815" width="2.4140625" style="35" customWidth="1"/>
    <col min="10816" max="10817" width="3.33203125" style="35" customWidth="1"/>
    <col min="10818" max="10818" width="14.33203125" style="35" customWidth="1"/>
    <col min="10819" max="11043" width="8.6640625" style="35"/>
    <col min="11044" max="11044" width="14.33203125" style="35" customWidth="1"/>
    <col min="11045" max="11046" width="3.33203125" style="35" customWidth="1"/>
    <col min="11047" max="11071" width="2.4140625" style="35" customWidth="1"/>
    <col min="11072" max="11073" width="3.33203125" style="35" customWidth="1"/>
    <col min="11074" max="11074" width="14.33203125" style="35" customWidth="1"/>
    <col min="11075" max="11299" width="8.6640625" style="35"/>
    <col min="11300" max="11300" width="14.33203125" style="35" customWidth="1"/>
    <col min="11301" max="11302" width="3.33203125" style="35" customWidth="1"/>
    <col min="11303" max="11327" width="2.4140625" style="35" customWidth="1"/>
    <col min="11328" max="11329" width="3.33203125" style="35" customWidth="1"/>
    <col min="11330" max="11330" width="14.33203125" style="35" customWidth="1"/>
    <col min="11331" max="11555" width="8.6640625" style="35"/>
    <col min="11556" max="11556" width="14.33203125" style="35" customWidth="1"/>
    <col min="11557" max="11558" width="3.33203125" style="35" customWidth="1"/>
    <col min="11559" max="11583" width="2.4140625" style="35" customWidth="1"/>
    <col min="11584" max="11585" width="3.33203125" style="35" customWidth="1"/>
    <col min="11586" max="11586" width="14.33203125" style="35" customWidth="1"/>
    <col min="11587" max="11811" width="8.6640625" style="35"/>
    <col min="11812" max="11812" width="14.33203125" style="35" customWidth="1"/>
    <col min="11813" max="11814" width="3.33203125" style="35" customWidth="1"/>
    <col min="11815" max="11839" width="2.4140625" style="35" customWidth="1"/>
    <col min="11840" max="11841" width="3.33203125" style="35" customWidth="1"/>
    <col min="11842" max="11842" width="14.33203125" style="35" customWidth="1"/>
    <col min="11843" max="12067" width="8.6640625" style="35"/>
    <col min="12068" max="12068" width="14.33203125" style="35" customWidth="1"/>
    <col min="12069" max="12070" width="3.33203125" style="35" customWidth="1"/>
    <col min="12071" max="12095" width="2.4140625" style="35" customWidth="1"/>
    <col min="12096" max="12097" width="3.33203125" style="35" customWidth="1"/>
    <col min="12098" max="12098" width="14.33203125" style="35" customWidth="1"/>
    <col min="12099" max="12323" width="8.6640625" style="35"/>
    <col min="12324" max="12324" width="14.33203125" style="35" customWidth="1"/>
    <col min="12325" max="12326" width="3.33203125" style="35" customWidth="1"/>
    <col min="12327" max="12351" width="2.4140625" style="35" customWidth="1"/>
    <col min="12352" max="12353" width="3.33203125" style="35" customWidth="1"/>
    <col min="12354" max="12354" width="14.33203125" style="35" customWidth="1"/>
    <col min="12355" max="12579" width="8.6640625" style="35"/>
    <col min="12580" max="12580" width="14.33203125" style="35" customWidth="1"/>
    <col min="12581" max="12582" width="3.33203125" style="35" customWidth="1"/>
    <col min="12583" max="12607" width="2.4140625" style="35" customWidth="1"/>
    <col min="12608" max="12609" width="3.33203125" style="35" customWidth="1"/>
    <col min="12610" max="12610" width="14.33203125" style="35" customWidth="1"/>
    <col min="12611" max="12835" width="8.6640625" style="35"/>
    <col min="12836" max="12836" width="14.33203125" style="35" customWidth="1"/>
    <col min="12837" max="12838" width="3.33203125" style="35" customWidth="1"/>
    <col min="12839" max="12863" width="2.4140625" style="35" customWidth="1"/>
    <col min="12864" max="12865" width="3.33203125" style="35" customWidth="1"/>
    <col min="12866" max="12866" width="14.33203125" style="35" customWidth="1"/>
    <col min="12867" max="13091" width="8.6640625" style="35"/>
    <col min="13092" max="13092" width="14.33203125" style="35" customWidth="1"/>
    <col min="13093" max="13094" width="3.33203125" style="35" customWidth="1"/>
    <col min="13095" max="13119" width="2.4140625" style="35" customWidth="1"/>
    <col min="13120" max="13121" width="3.33203125" style="35" customWidth="1"/>
    <col min="13122" max="13122" width="14.33203125" style="35" customWidth="1"/>
    <col min="13123" max="13347" width="8.6640625" style="35"/>
    <col min="13348" max="13348" width="14.33203125" style="35" customWidth="1"/>
    <col min="13349" max="13350" width="3.33203125" style="35" customWidth="1"/>
    <col min="13351" max="13375" width="2.4140625" style="35" customWidth="1"/>
    <col min="13376" max="13377" width="3.33203125" style="35" customWidth="1"/>
    <col min="13378" max="13378" width="14.33203125" style="35" customWidth="1"/>
    <col min="13379" max="13603" width="8.6640625" style="35"/>
    <col min="13604" max="13604" width="14.33203125" style="35" customWidth="1"/>
    <col min="13605" max="13606" width="3.33203125" style="35" customWidth="1"/>
    <col min="13607" max="13631" width="2.4140625" style="35" customWidth="1"/>
    <col min="13632" max="13633" width="3.33203125" style="35" customWidth="1"/>
    <col min="13634" max="13634" width="14.33203125" style="35" customWidth="1"/>
    <col min="13635" max="13859" width="8.6640625" style="35"/>
    <col min="13860" max="13860" width="14.33203125" style="35" customWidth="1"/>
    <col min="13861" max="13862" width="3.33203125" style="35" customWidth="1"/>
    <col min="13863" max="13887" width="2.4140625" style="35" customWidth="1"/>
    <col min="13888" max="13889" width="3.33203125" style="35" customWidth="1"/>
    <col min="13890" max="13890" width="14.33203125" style="35" customWidth="1"/>
    <col min="13891" max="14115" width="8.6640625" style="35"/>
    <col min="14116" max="14116" width="14.33203125" style="35" customWidth="1"/>
    <col min="14117" max="14118" width="3.33203125" style="35" customWidth="1"/>
    <col min="14119" max="14143" width="2.4140625" style="35" customWidth="1"/>
    <col min="14144" max="14145" width="3.33203125" style="35" customWidth="1"/>
    <col min="14146" max="14146" width="14.33203125" style="35" customWidth="1"/>
    <col min="14147" max="14371" width="8.6640625" style="35"/>
    <col min="14372" max="14372" width="14.33203125" style="35" customWidth="1"/>
    <col min="14373" max="14374" width="3.33203125" style="35" customWidth="1"/>
    <col min="14375" max="14399" width="2.4140625" style="35" customWidth="1"/>
    <col min="14400" max="14401" width="3.33203125" style="35" customWidth="1"/>
    <col min="14402" max="14402" width="14.33203125" style="35" customWidth="1"/>
    <col min="14403" max="14627" width="8.6640625" style="35"/>
    <col min="14628" max="14628" width="14.33203125" style="35" customWidth="1"/>
    <col min="14629" max="14630" width="3.33203125" style="35" customWidth="1"/>
    <col min="14631" max="14655" width="2.4140625" style="35" customWidth="1"/>
    <col min="14656" max="14657" width="3.33203125" style="35" customWidth="1"/>
    <col min="14658" max="14658" width="14.33203125" style="35" customWidth="1"/>
    <col min="14659" max="14883" width="8.6640625" style="35"/>
    <col min="14884" max="14884" width="14.33203125" style="35" customWidth="1"/>
    <col min="14885" max="14886" width="3.33203125" style="35" customWidth="1"/>
    <col min="14887" max="14911" width="2.4140625" style="35" customWidth="1"/>
    <col min="14912" max="14913" width="3.33203125" style="35" customWidth="1"/>
    <col min="14914" max="14914" width="14.33203125" style="35" customWidth="1"/>
    <col min="14915" max="15139" width="8.6640625" style="35"/>
    <col min="15140" max="15140" width="14.33203125" style="35" customWidth="1"/>
    <col min="15141" max="15142" width="3.33203125" style="35" customWidth="1"/>
    <col min="15143" max="15167" width="2.4140625" style="35" customWidth="1"/>
    <col min="15168" max="15169" width="3.33203125" style="35" customWidth="1"/>
    <col min="15170" max="15170" width="14.33203125" style="35" customWidth="1"/>
    <col min="15171" max="15395" width="8.6640625" style="35"/>
    <col min="15396" max="15396" width="14.33203125" style="35" customWidth="1"/>
    <col min="15397" max="15398" width="3.33203125" style="35" customWidth="1"/>
    <col min="15399" max="15423" width="2.4140625" style="35" customWidth="1"/>
    <col min="15424" max="15425" width="3.33203125" style="35" customWidth="1"/>
    <col min="15426" max="15426" width="14.33203125" style="35" customWidth="1"/>
    <col min="15427" max="15651" width="8.6640625" style="35"/>
    <col min="15652" max="15652" width="14.33203125" style="35" customWidth="1"/>
    <col min="15653" max="15654" width="3.33203125" style="35" customWidth="1"/>
    <col min="15655" max="15679" width="2.4140625" style="35" customWidth="1"/>
    <col min="15680" max="15681" width="3.33203125" style="35" customWidth="1"/>
    <col min="15682" max="15682" width="14.33203125" style="35" customWidth="1"/>
    <col min="15683" max="15907" width="8.6640625" style="35"/>
    <col min="15908" max="15908" width="14.33203125" style="35" customWidth="1"/>
    <col min="15909" max="15910" width="3.33203125" style="35" customWidth="1"/>
    <col min="15911" max="15935" width="2.4140625" style="35" customWidth="1"/>
    <col min="15936" max="15937" width="3.33203125" style="35" customWidth="1"/>
    <col min="15938" max="15938" width="14.33203125" style="35" customWidth="1"/>
    <col min="15939" max="16163" width="8.6640625" style="35"/>
    <col min="16164" max="16164" width="14.33203125" style="35" customWidth="1"/>
    <col min="16165" max="16166" width="3.33203125" style="35" customWidth="1"/>
    <col min="16167" max="16191" width="2.4140625" style="35" customWidth="1"/>
    <col min="16192" max="16193" width="3.33203125" style="35" customWidth="1"/>
    <col min="16194" max="16194" width="14.33203125" style="35" customWidth="1"/>
    <col min="16195" max="16384" width="8.6640625" style="35"/>
  </cols>
  <sheetData>
    <row r="1" spans="1:69" ht="25" customHeight="1" x14ac:dyDescent="0.55000000000000004">
      <c r="A1" s="34" t="s">
        <v>562</v>
      </c>
      <c r="BO1" s="23"/>
      <c r="BP1" s="23"/>
      <c r="BQ1" s="23"/>
    </row>
    <row r="2" spans="1:69" ht="25" customHeight="1" x14ac:dyDescent="0.55000000000000004">
      <c r="A2" s="34"/>
      <c r="BO2" s="23"/>
      <c r="BP2" s="23"/>
      <c r="BQ2" s="23"/>
    </row>
    <row r="3" spans="1:69" ht="25" customHeight="1" x14ac:dyDescent="0.55000000000000004">
      <c r="A3" s="34"/>
      <c r="BO3" s="23"/>
      <c r="BP3" s="23"/>
      <c r="BQ3" s="23"/>
    </row>
    <row r="4" spans="1:69" ht="25" customHeight="1" x14ac:dyDescent="0.55000000000000004">
      <c r="A4" s="34"/>
      <c r="BO4" s="23"/>
      <c r="BP4" s="23"/>
      <c r="BQ4" s="23"/>
    </row>
    <row r="5" spans="1:69" ht="25" customHeight="1" x14ac:dyDescent="0.55000000000000004">
      <c r="A5" s="34"/>
      <c r="BN5" s="36"/>
      <c r="BO5" s="23"/>
      <c r="BP5" s="23"/>
      <c r="BQ5" s="24" t="s">
        <v>1185</v>
      </c>
    </row>
    <row r="7" spans="1:69" x14ac:dyDescent="0.55000000000000004">
      <c r="B7" s="128" t="s">
        <v>375</v>
      </c>
      <c r="C7" s="129"/>
      <c r="D7" s="37" t="s">
        <v>400</v>
      </c>
      <c r="E7" s="37" t="s">
        <v>399</v>
      </c>
      <c r="F7" s="37" t="s">
        <v>401</v>
      </c>
      <c r="G7" s="37" t="s">
        <v>1227</v>
      </c>
    </row>
    <row r="8" spans="1:69" x14ac:dyDescent="0.55000000000000004">
      <c r="B8" s="123" t="s">
        <v>398</v>
      </c>
      <c r="C8" s="38" t="s">
        <v>386</v>
      </c>
      <c r="D8" s="38">
        <f>COUNTIF('PF100'!V10:V109,"CAN0_0_RX")</f>
        <v>0</v>
      </c>
      <c r="E8" s="38">
        <f>COUNTIF('PF100'!V10:V109,"CAN0_1_RX")</f>
        <v>0</v>
      </c>
      <c r="F8" s="38">
        <f>COUNTIF('PF100'!V10:V109,"CAN0_2_RX")</f>
        <v>0</v>
      </c>
      <c r="G8" s="38">
        <f>COUNTIF('PF100'!V10:V109,"CAN0_3_RX")</f>
        <v>0</v>
      </c>
    </row>
    <row r="9" spans="1:69" x14ac:dyDescent="0.55000000000000004">
      <c r="B9" s="130"/>
      <c r="C9" s="38" t="s">
        <v>385</v>
      </c>
      <c r="D9" s="38">
        <f>COUNTIF('PF100'!V10:V109,"CAN0_0_TX")</f>
        <v>0</v>
      </c>
      <c r="E9" s="38">
        <f>COUNTIF('PF100'!V10:V109,"CAN0_1_TX")</f>
        <v>0</v>
      </c>
      <c r="F9" s="38">
        <f>COUNTIF('PF100'!V10:V109,"CAN0_2_TX")</f>
        <v>0</v>
      </c>
      <c r="G9" s="38">
        <f>COUNTIF('PF100'!V10:V109,"CAN0_3_TX")</f>
        <v>0</v>
      </c>
    </row>
    <row r="11" spans="1:69" x14ac:dyDescent="0.55000000000000004">
      <c r="B11" s="128" t="s">
        <v>371</v>
      </c>
      <c r="C11" s="129"/>
      <c r="D11" s="37" t="s">
        <v>402</v>
      </c>
      <c r="E11" s="37" t="s">
        <v>404</v>
      </c>
      <c r="F11" s="37" t="s">
        <v>403</v>
      </c>
      <c r="G11" s="37" t="s">
        <v>1228</v>
      </c>
    </row>
    <row r="12" spans="1:69" x14ac:dyDescent="0.55000000000000004">
      <c r="B12" s="135" t="s">
        <v>398</v>
      </c>
      <c r="C12" s="38" t="s">
        <v>386</v>
      </c>
      <c r="D12" s="38">
        <f>COUNTIF('PF100'!V10:V109,"CAN1_0_RX")</f>
        <v>0</v>
      </c>
      <c r="E12" s="38">
        <f>COUNTIF('PF100'!V10:V109,"CAN1_1_RX")</f>
        <v>0</v>
      </c>
      <c r="F12" s="38">
        <f>COUNTIF('PF100'!V10:V109,"CAN1_2_RX")</f>
        <v>0</v>
      </c>
      <c r="G12" s="38">
        <f>COUNTIF('PF100'!V10:V109,"CAN1_3_RX")</f>
        <v>0</v>
      </c>
    </row>
    <row r="13" spans="1:69" x14ac:dyDescent="0.55000000000000004">
      <c r="B13" s="135"/>
      <c r="C13" s="38" t="s">
        <v>385</v>
      </c>
      <c r="D13" s="38">
        <f>COUNTIF('PF100'!V10:V109,"CAN1_0_TX")</f>
        <v>0</v>
      </c>
      <c r="E13" s="38">
        <f>COUNTIF('PF100'!V10:V109,"CAN1_1_TX")</f>
        <v>0</v>
      </c>
      <c r="F13" s="38">
        <f>COUNTIF('PF100'!V10:V109,"CAN1_2_TX")</f>
        <v>0</v>
      </c>
      <c r="G13" s="38">
        <f>COUNTIF('PF100'!V10:V109,"CAN1_3_TX")</f>
        <v>0</v>
      </c>
    </row>
    <row r="14" spans="1:69" x14ac:dyDescent="0.55000000000000004">
      <c r="B14" s="39"/>
      <c r="C14" s="40"/>
      <c r="D14" s="40"/>
      <c r="E14" s="40"/>
      <c r="F14" s="40"/>
    </row>
    <row r="16" spans="1:69" x14ac:dyDescent="0.55000000000000004">
      <c r="B16" s="128" t="s">
        <v>374</v>
      </c>
      <c r="C16" s="129"/>
      <c r="D16" s="37" t="s">
        <v>387</v>
      </c>
      <c r="E16" s="37" t="s">
        <v>388</v>
      </c>
      <c r="F16" s="37" t="s">
        <v>389</v>
      </c>
      <c r="G16" s="37" t="s">
        <v>390</v>
      </c>
      <c r="H16" s="37" t="s">
        <v>391</v>
      </c>
      <c r="I16" s="37" t="s">
        <v>392</v>
      </c>
      <c r="J16" s="37" t="s">
        <v>393</v>
      </c>
      <c r="K16" s="37" t="s">
        <v>394</v>
      </c>
      <c r="L16" s="37" t="s">
        <v>1229</v>
      </c>
    </row>
    <row r="17" spans="2:59" x14ac:dyDescent="0.55000000000000004">
      <c r="B17" s="123" t="s">
        <v>398</v>
      </c>
      <c r="C17" s="38" t="s">
        <v>386</v>
      </c>
      <c r="D17" s="38">
        <f>COUNTIF('PF100'!V10:V109,"LIN0_RX")</f>
        <v>0</v>
      </c>
      <c r="E17" s="38">
        <f>COUNTIF('PF100'!V10:V109,"LIN1_RX")</f>
        <v>0</v>
      </c>
      <c r="F17" s="38">
        <f>COUNTIF('PF100'!V10:V109,"LIN2_RX")</f>
        <v>0</v>
      </c>
      <c r="G17" s="38">
        <f>COUNTIF('PF100'!V10:V109,"LIN3_RX")</f>
        <v>0</v>
      </c>
      <c r="H17" s="38">
        <f>COUNTIF('PF100'!V10:V109,"LIN4_RX")</f>
        <v>0</v>
      </c>
      <c r="I17" s="38">
        <f>COUNTIF('PF100'!V10:V109,"LIN5_RX")</f>
        <v>0</v>
      </c>
      <c r="J17" s="38">
        <f>COUNTIF('PF100'!V10:V109,"LIN6_RX")</f>
        <v>0</v>
      </c>
      <c r="K17" s="38">
        <f>COUNTIF('PF100'!V10:V109,"LIN7_RX")</f>
        <v>0</v>
      </c>
      <c r="L17" s="38">
        <f>COUNTIF('PF100'!V10:V109,"LIN8_RX")</f>
        <v>0</v>
      </c>
    </row>
    <row r="18" spans="2:59" x14ac:dyDescent="0.55000000000000004">
      <c r="B18" s="124"/>
      <c r="C18" s="38" t="s">
        <v>385</v>
      </c>
      <c r="D18" s="38">
        <f>COUNTIF('PF100'!V10:V109,"LIN0_TX")</f>
        <v>0</v>
      </c>
      <c r="E18" s="38">
        <f>COUNTIF('PF100'!V10:V109,"LIN1_TX")</f>
        <v>0</v>
      </c>
      <c r="F18" s="38">
        <f>COUNTIF('PF100'!V10:V109,"LIN2_TX")</f>
        <v>0</v>
      </c>
      <c r="G18" s="38">
        <f>COUNTIF('PF100'!V10:V109,"LIN3_TX")</f>
        <v>0</v>
      </c>
      <c r="H18" s="38">
        <f>COUNTIF('PF100'!V10:V109,"LIN4_TX")</f>
        <v>0</v>
      </c>
      <c r="I18" s="38">
        <f>COUNTIF('PF100'!V10:V109,"LIN5_TX")</f>
        <v>0</v>
      </c>
      <c r="J18" s="38">
        <f>COUNTIF('PF100'!V10:V109,"LIN6_TX")</f>
        <v>0</v>
      </c>
      <c r="K18" s="38">
        <f>COUNTIF('PF100'!V10:V109,"LIN7_TX")</f>
        <v>0</v>
      </c>
      <c r="L18" s="38">
        <f>COUNTIF('PF100'!V10:V109,"LIN8_TX")</f>
        <v>0</v>
      </c>
    </row>
    <row r="19" spans="2:59" x14ac:dyDescent="0.55000000000000004">
      <c r="B19" s="130"/>
      <c r="C19" s="38" t="s">
        <v>397</v>
      </c>
      <c r="D19" s="38">
        <f>COUNTIF('PF100'!V10:V109,"LIN0_EN")</f>
        <v>0</v>
      </c>
      <c r="E19" s="38">
        <f>COUNTIF('PF100'!V10:V109,"LIN1_EN")</f>
        <v>0</v>
      </c>
      <c r="F19" s="38">
        <f>COUNTIF('PF100'!V10:V109,"LIN2_EN")</f>
        <v>0</v>
      </c>
      <c r="G19" s="38">
        <f>COUNTIF('PF100'!V10:V109,"LIN3_EN")</f>
        <v>0</v>
      </c>
      <c r="H19" s="38">
        <f>COUNTIF('PF100'!V10:V109,"LIN4_EN")</f>
        <v>0</v>
      </c>
      <c r="I19" s="38">
        <f>COUNTIF('PF100'!V10:V109,"LIN5_EN")</f>
        <v>0</v>
      </c>
      <c r="J19" s="38">
        <f>COUNTIF('PF100'!V10:V109,"LIN6_EN")</f>
        <v>0</v>
      </c>
      <c r="K19" s="38">
        <f>COUNTIF('PF100'!V10:V109,"LIN7_EN")</f>
        <v>0</v>
      </c>
      <c r="L19" s="38">
        <f>COUNTIF('PF100'!V10:V109,"LIN8_EN")</f>
        <v>0</v>
      </c>
    </row>
    <row r="20" spans="2:59" x14ac:dyDescent="0.55000000000000004">
      <c r="B20" s="39"/>
      <c r="C20" s="40"/>
      <c r="D20" s="40"/>
      <c r="E20" s="40"/>
      <c r="F20" s="40"/>
      <c r="G20" s="40"/>
      <c r="H20" s="40"/>
      <c r="I20" s="40"/>
      <c r="J20" s="40"/>
      <c r="K20" s="40"/>
    </row>
    <row r="22" spans="2:59" x14ac:dyDescent="0.55000000000000004">
      <c r="B22" s="128" t="s">
        <v>376</v>
      </c>
      <c r="C22" s="129"/>
      <c r="D22" s="37" t="s">
        <v>377</v>
      </c>
      <c r="E22" s="37" t="s">
        <v>378</v>
      </c>
      <c r="F22" s="37" t="s">
        <v>379</v>
      </c>
      <c r="G22" s="37" t="s">
        <v>380</v>
      </c>
      <c r="H22" s="37" t="s">
        <v>384</v>
      </c>
      <c r="I22" s="37" t="s">
        <v>383</v>
      </c>
      <c r="J22" s="37" t="s">
        <v>382</v>
      </c>
      <c r="K22" s="37" t="s">
        <v>381</v>
      </c>
    </row>
    <row r="23" spans="2:59" ht="10" customHeight="1" x14ac:dyDescent="0.55000000000000004">
      <c r="B23" s="131" t="s">
        <v>415</v>
      </c>
      <c r="C23" s="41" t="s">
        <v>1139</v>
      </c>
      <c r="D23" s="42">
        <f>COUNTIF('PF100'!V10:V109,"SCB0_CLK (0)")</f>
        <v>0</v>
      </c>
      <c r="E23" s="43">
        <f>COUNTIF('PF100'!V10:V109,"SCB1_CLK (0)")</f>
        <v>0</v>
      </c>
      <c r="F23" s="43">
        <f>COUNTIF('PF100'!V10:V109,"SCB2_CLK (0)")</f>
        <v>0</v>
      </c>
      <c r="G23" s="43">
        <f>COUNTIF('PF100'!V10:V109,"SCB3_CLK (0)")</f>
        <v>0</v>
      </c>
      <c r="H23" s="43">
        <f>COUNTIF('PF100'!V10:V109,"SCB4_CLK (0)")</f>
        <v>0</v>
      </c>
      <c r="I23" s="43">
        <f>COUNTIF('PF100'!V10:V109,"SCB5_CLK (0)")</f>
        <v>0</v>
      </c>
      <c r="J23" s="43">
        <f>COUNTIF('PF100'!V10:V109,"SCB6_CLK (0)")</f>
        <v>0</v>
      </c>
      <c r="K23" s="43">
        <f>COUNTIF('PF100'!V10:V109,"SCB7_CLK (0)")</f>
        <v>0</v>
      </c>
      <c r="BG23" s="44"/>
    </row>
    <row r="24" spans="2:59" x14ac:dyDescent="0.55000000000000004">
      <c r="B24" s="132"/>
      <c r="C24" s="41" t="s">
        <v>1140</v>
      </c>
      <c r="D24" s="42">
        <f>COUNTIF('PF100'!V10:V109,"SCB0_CLK (1)")</f>
        <v>0</v>
      </c>
      <c r="E24" s="43">
        <f>COUNTIF('PF100'!V10:V109,"SCB1_CLK (1)")</f>
        <v>0</v>
      </c>
      <c r="F24" s="43">
        <f>COUNTIF('PF100'!V10:V109,"SCB2_CLK (1)")</f>
        <v>0</v>
      </c>
      <c r="G24" s="43">
        <f>COUNTIF('PF100'!V10:V109,"SCB3_CLK (1)")</f>
        <v>0</v>
      </c>
      <c r="H24" s="43">
        <f>COUNTIF('PF100'!V10:V109,"SCB4_CLK (1)")</f>
        <v>0</v>
      </c>
      <c r="I24" s="43">
        <f>COUNTIF('PF100'!V10:V109,"SCB5_CLK (1)")</f>
        <v>0</v>
      </c>
      <c r="J24" s="43">
        <f>COUNTIF('PF100'!V10:V109,"SCB6_CLK (1)")</f>
        <v>0</v>
      </c>
      <c r="K24" s="43">
        <f>COUNTIF('PF100'!V10:V109,"SCB7_CLK (1)")</f>
        <v>0</v>
      </c>
    </row>
    <row r="25" spans="2:59" x14ac:dyDescent="0.55000000000000004">
      <c r="B25" s="132"/>
      <c r="C25" s="41" t="s">
        <v>1141</v>
      </c>
      <c r="D25" s="42">
        <f>COUNTIF('PF100'!V10:V109,"SCB0_MOSI (0)")</f>
        <v>0</v>
      </c>
      <c r="E25" s="43">
        <f>COUNTIF('PF100'!V10:V109,"SCB1_MOSI (0)")</f>
        <v>0</v>
      </c>
      <c r="F25" s="43">
        <f>COUNTIF('PF100'!V10:V109,"SCB2_MOSI (0)")</f>
        <v>0</v>
      </c>
      <c r="G25" s="43">
        <f>COUNTIF('PF100'!V10:V109,"SCB3_MOSI (0)")</f>
        <v>0</v>
      </c>
      <c r="H25" s="43">
        <f>COUNTIF('PF100'!V10:V109,"SCB4_MOSI (0)")</f>
        <v>0</v>
      </c>
      <c r="I25" s="43">
        <f>COUNTIF('PF100'!V10:V109,"SCB5_MOSI (0)")</f>
        <v>0</v>
      </c>
      <c r="J25" s="43">
        <f>COUNTIF('PF100'!V10:V109,"SCB6_MOSI (0)")</f>
        <v>0</v>
      </c>
      <c r="K25" s="43">
        <f>COUNTIF('PF100'!V10:V109,"SCB7_MOSI (0)")</f>
        <v>0</v>
      </c>
    </row>
    <row r="26" spans="2:59" x14ac:dyDescent="0.55000000000000004">
      <c r="B26" s="132"/>
      <c r="C26" s="41" t="s">
        <v>1142</v>
      </c>
      <c r="D26" s="42">
        <f>COUNTIF('PF100'!V10:V109,"SCB0_MOSI (1)")</f>
        <v>0</v>
      </c>
      <c r="E26" s="43">
        <f>COUNTIF('PF100'!V10:V109,"SCB1_MOSI (1)")</f>
        <v>0</v>
      </c>
      <c r="F26" s="43">
        <f>COUNTIF('PF100'!V10:V109,"SCB2_MOSI (1)")</f>
        <v>0</v>
      </c>
      <c r="G26" s="43">
        <f>COUNTIF('PF100'!V10:V109,"SCB3_MOSI (1)")</f>
        <v>0</v>
      </c>
      <c r="H26" s="43">
        <f>COUNTIF('PF100'!V10:V109,"SCB4_MOSI (1)")</f>
        <v>0</v>
      </c>
      <c r="I26" s="43">
        <f>COUNTIF('PF100'!V10:V109,"SCB5_MOSI (1)")</f>
        <v>0</v>
      </c>
      <c r="J26" s="43">
        <f>COUNTIF('PF100'!V10:V109,"SCB6_MOSI (1)")</f>
        <v>0</v>
      </c>
      <c r="K26" s="43">
        <f>COUNTIF('PF100'!V10:V109,"SCB7_MOSI (1)")</f>
        <v>0</v>
      </c>
    </row>
    <row r="27" spans="2:59" x14ac:dyDescent="0.55000000000000004">
      <c r="B27" s="132"/>
      <c r="C27" s="41" t="s">
        <v>1143</v>
      </c>
      <c r="D27" s="42">
        <f>COUNTIF('PF100'!V10:V109,"SCB0_MISO (0)")</f>
        <v>0</v>
      </c>
      <c r="E27" s="43">
        <f>COUNTIF('PF100'!V10:V109,"SCB1_MISO (0)")</f>
        <v>0</v>
      </c>
      <c r="F27" s="43">
        <f>COUNTIF('PF100'!V10:V109,"SCB2_MISO (0)")</f>
        <v>0</v>
      </c>
      <c r="G27" s="43">
        <f>COUNTIF('PF100'!V10:V109,"SCB3_MISO (0)")</f>
        <v>0</v>
      </c>
      <c r="H27" s="43">
        <f>COUNTIF('PF100'!V10:V109,"SCB4_MISO (0)")</f>
        <v>0</v>
      </c>
      <c r="I27" s="43">
        <f>COUNTIF('PF100'!V10:V109,"SCB5_MISO (0)")</f>
        <v>0</v>
      </c>
      <c r="J27" s="43">
        <f>COUNTIF('PF100'!V10:V109,"SCB6_MISO (0)")</f>
        <v>0</v>
      </c>
      <c r="K27" s="43">
        <f>COUNTIF('PF100'!V10:V109,"SCB7_MISO (0)")</f>
        <v>0</v>
      </c>
    </row>
    <row r="28" spans="2:59" x14ac:dyDescent="0.55000000000000004">
      <c r="B28" s="132"/>
      <c r="C28" s="41" t="s">
        <v>1144</v>
      </c>
      <c r="D28" s="42">
        <f>COUNTIF('PF100'!V10:V109,"SCB0_MISO (1)")</f>
        <v>0</v>
      </c>
      <c r="E28" s="43">
        <f>COUNTIF('PF100'!V10:V109,"SCB1_MISO (1)")</f>
        <v>0</v>
      </c>
      <c r="F28" s="43">
        <f>COUNTIF('PF100'!V10:V109,"SCB2_MISO (1)")</f>
        <v>0</v>
      </c>
      <c r="G28" s="43">
        <f>COUNTIF('PF100'!V10:V109,"SCB3_MISO (1)")</f>
        <v>0</v>
      </c>
      <c r="H28" s="43">
        <f>COUNTIF('PF100'!V10:V109,"SCB4_MISO (1)")</f>
        <v>0</v>
      </c>
      <c r="I28" s="43">
        <f>COUNTIF('PF100'!V10:V109,"SCB5_MISO (1)")</f>
        <v>0</v>
      </c>
      <c r="J28" s="43">
        <f>COUNTIF('PF100'!V10:V109,"SCB6_MISO (1)")</f>
        <v>0</v>
      </c>
      <c r="K28" s="43">
        <f>COUNTIF('PF100'!V10:V109,"SCB7_MISO (1)")</f>
        <v>0</v>
      </c>
    </row>
    <row r="29" spans="2:59" x14ac:dyDescent="0.55000000000000004">
      <c r="B29" s="132"/>
      <c r="C29" s="41" t="s">
        <v>1145</v>
      </c>
      <c r="D29" s="42">
        <f>COUNTIF('PF100'!V10:V109,"SCB0_SEL0 (0)")</f>
        <v>0</v>
      </c>
      <c r="E29" s="43">
        <f>COUNTIF('PF100'!V10:V109,"SCB1_SEL0 (0)")</f>
        <v>0</v>
      </c>
      <c r="F29" s="43">
        <f>COUNTIF('PF100'!V10:V109,"SCB2_SEL0 (0)")</f>
        <v>0</v>
      </c>
      <c r="G29" s="43">
        <f>COUNTIF('PF100'!V10:V109,"SCB3_SEL0 (0)")</f>
        <v>0</v>
      </c>
      <c r="H29" s="43">
        <f>COUNTIF('PF100'!V10:V109,"SCB4_SEL0 (0)")</f>
        <v>0</v>
      </c>
      <c r="I29" s="42">
        <f>COUNTIF('PF100'!V10:V109,"SCB5_SEL0 (0)")</f>
        <v>0</v>
      </c>
      <c r="J29" s="42">
        <f>COUNTIF('PF100'!V10:V109,"SCB6_SEL0 (0)")</f>
        <v>0</v>
      </c>
      <c r="K29" s="43">
        <f>COUNTIF('PF100'!V10:V109,"SCB7_SEL0 (0)")</f>
        <v>0</v>
      </c>
    </row>
    <row r="30" spans="2:59" x14ac:dyDescent="0.55000000000000004">
      <c r="B30" s="133"/>
      <c r="C30" s="41" t="s">
        <v>1146</v>
      </c>
      <c r="D30" s="42">
        <f>COUNTIF('PF100'!V10:V109,"SCB0_SEL0 (1)")</f>
        <v>0</v>
      </c>
      <c r="E30" s="43">
        <f>COUNTIF('PF100'!V10:V109,"SCB1_SEL0 (1)")</f>
        <v>0</v>
      </c>
      <c r="F30" s="43">
        <f>COUNTIF('PF100'!V10:V109,"SCB2_SEL0 (1)")</f>
        <v>0</v>
      </c>
      <c r="G30" s="43">
        <f>COUNTIF('PF100'!V10:V109,"SCB3_SEL0 (1)")</f>
        <v>0</v>
      </c>
      <c r="H30" s="43">
        <f>COUNTIF('PF100'!V10:V109,"SCB4_SEL0 (1)")</f>
        <v>0</v>
      </c>
      <c r="I30" s="42">
        <f>COUNTIF('PF100'!V10:V109,"SCB5_SEL0 (1)")</f>
        <v>0</v>
      </c>
      <c r="J30" s="42">
        <f>COUNTIF('PF100'!V10:V109,"SCB6_SEL0 (1)")</f>
        <v>0</v>
      </c>
      <c r="K30" s="43">
        <f>COUNTIF('PF100'!V10:V109,"SCB7_SEL0 (1)")</f>
        <v>0</v>
      </c>
    </row>
    <row r="31" spans="2:59" x14ac:dyDescent="0.55000000000000004">
      <c r="B31" s="133"/>
      <c r="C31" s="41" t="s">
        <v>1147</v>
      </c>
      <c r="D31" s="42">
        <f>COUNTIF('PF100'!V10:V109,"SCB0_SEL1 (0)")</f>
        <v>0</v>
      </c>
      <c r="E31" s="43">
        <f>COUNTIF('PF100'!V10:V109,"SCB1_SEL1 (0)")</f>
        <v>0</v>
      </c>
      <c r="F31" s="43">
        <f>COUNTIF('PF100'!V10:V109,"SCB2_SEL1 (0)")</f>
        <v>0</v>
      </c>
      <c r="G31" s="43">
        <f>COUNTIF('PF100'!V10:V109,"SCB3_SEL1 (0)")</f>
        <v>0</v>
      </c>
      <c r="H31" s="43">
        <f>COUNTIF('PF100'!V10:V109,"SCB4_SEL1 (0)")</f>
        <v>0</v>
      </c>
      <c r="I31" s="42">
        <f>COUNTIF('PF100'!V10:V109,"SCB5_SEL1 (0)")</f>
        <v>0</v>
      </c>
      <c r="J31" s="42">
        <f>COUNTIF('PF100'!V10:V109,"SCB6_SEL1 (0)")</f>
        <v>0</v>
      </c>
      <c r="K31" s="43">
        <f>COUNTIF('PF100'!V10:V109,"SCB7_SEL1 (0)")</f>
        <v>0</v>
      </c>
    </row>
    <row r="32" spans="2:59" x14ac:dyDescent="0.55000000000000004">
      <c r="B32" s="133"/>
      <c r="C32" s="41" t="s">
        <v>1148</v>
      </c>
      <c r="D32" s="42">
        <f>COUNTIF('PF100'!V10:V109,"SCB0_SEL1 (1)")</f>
        <v>0</v>
      </c>
      <c r="E32" s="43">
        <f>COUNTIF('PF100'!V10:V109,"SCB1_SEL1 (1)")</f>
        <v>0</v>
      </c>
      <c r="F32" s="43">
        <f>COUNTIF('PF100'!V10:V109,"SCB2_SEL1 (1)")</f>
        <v>0</v>
      </c>
      <c r="G32" s="43">
        <f>COUNTIF('PF100'!V10:V109,"SCB3_SEL1 (1)")</f>
        <v>0</v>
      </c>
      <c r="H32" s="43">
        <f>COUNTIF('PF100'!V10:V109,"SCB4_SEL1 (1)")</f>
        <v>0</v>
      </c>
      <c r="I32" s="42">
        <f>COUNTIF('PF100'!V10:V109,"SCB5_SEL1 (1)")</f>
        <v>0</v>
      </c>
      <c r="J32" s="42">
        <f>COUNTIF('PF100'!V10:V109,"SCB6_SEL1 (1)")</f>
        <v>0</v>
      </c>
      <c r="K32" s="43">
        <f>COUNTIF('PF100'!V10:V109,"SCB7_SEL1 (1)")</f>
        <v>0</v>
      </c>
    </row>
    <row r="33" spans="2:11" x14ac:dyDescent="0.55000000000000004">
      <c r="B33" s="133"/>
      <c r="C33" s="41" t="s">
        <v>1149</v>
      </c>
      <c r="D33" s="42">
        <f>COUNTIF('PF100'!V10:V109,"SCB0_SEL2 (0)")</f>
        <v>0</v>
      </c>
      <c r="E33" s="43">
        <f>COUNTIF('PF100'!V10:V109,"SCB1_SEL2 (0)")</f>
        <v>0</v>
      </c>
      <c r="F33" s="43">
        <f>COUNTIF('PF100'!V10:V109,"SCB2_SEL2 (0)")</f>
        <v>0</v>
      </c>
      <c r="G33" s="43">
        <f>COUNTIF('PF100'!V10:V109,"SCB3_SEL2 (0)")</f>
        <v>0</v>
      </c>
      <c r="H33" s="43">
        <f>COUNTIF('PF100'!V10:V109,"SCB4_SEL2 (0)")</f>
        <v>0</v>
      </c>
      <c r="I33" s="42">
        <f>COUNTIF('PF100'!V10:V109,"SCB5_SEL2 (0)")</f>
        <v>0</v>
      </c>
      <c r="J33" s="42">
        <f>COUNTIF('PF100'!V10:V109,"SCB6_SEL2 (0)")</f>
        <v>0</v>
      </c>
      <c r="K33" s="43">
        <f>COUNTIF('PF100'!V10:V109,"SCB7_SEL2 (0)")</f>
        <v>0</v>
      </c>
    </row>
    <row r="34" spans="2:11" x14ac:dyDescent="0.55000000000000004">
      <c r="B34" s="133"/>
      <c r="C34" s="41" t="s">
        <v>1150</v>
      </c>
      <c r="D34" s="42">
        <f>COUNTIF('PF100'!V10:V109,"SCB0_SEL2 (1)")</f>
        <v>0</v>
      </c>
      <c r="E34" s="43">
        <f>COUNTIF('PF100'!V10:V109,"SCB1_SEL2 (1)")</f>
        <v>0</v>
      </c>
      <c r="F34" s="43">
        <f>COUNTIF('PF100'!V10:V109,"SCB2_SEL2 (1)")</f>
        <v>0</v>
      </c>
      <c r="G34" s="43">
        <f>COUNTIF('PF100'!V10:V109,"SCB3_SEL2 (1)")</f>
        <v>0</v>
      </c>
      <c r="H34" s="43">
        <f>COUNTIF('PF100'!V10:V109,"SCB4_SEL2 (1)")</f>
        <v>0</v>
      </c>
      <c r="I34" s="42">
        <f>COUNTIF('PF100'!V10:V109,"SCB5_SEL2 (1)")</f>
        <v>0</v>
      </c>
      <c r="J34" s="42">
        <f>COUNTIF('PF100'!V10:V109,"SCB6_SEL2 (1)")</f>
        <v>0</v>
      </c>
      <c r="K34" s="43">
        <f>COUNTIF('PF100'!V10:V109,"SCB7_SEL2 (1)")</f>
        <v>0</v>
      </c>
    </row>
    <row r="35" spans="2:11" x14ac:dyDescent="0.55000000000000004">
      <c r="B35" s="133"/>
      <c r="C35" s="41" t="s">
        <v>1151</v>
      </c>
      <c r="D35" s="42">
        <f>COUNTIF('PF100'!V10:V109,"SCB0_SEL3 (0)")</f>
        <v>0</v>
      </c>
      <c r="E35" s="43">
        <f>COUNTIF('PF100'!V10:V109,"SCB1_SEL3 (0)")</f>
        <v>0</v>
      </c>
      <c r="F35" s="43">
        <f>COUNTIF('PF100'!V10:V109,"SCB2_SEL3 (0)")</f>
        <v>0</v>
      </c>
      <c r="G35" s="43">
        <f>COUNTIF('PF100'!V10:V109,"SCB3_SEL3 (0)")</f>
        <v>0</v>
      </c>
      <c r="H35" s="43">
        <f>COUNTIF('PF100'!V10:V109,"SCB4_SEL3 (0)")</f>
        <v>0</v>
      </c>
      <c r="I35" s="42">
        <f>COUNTIF('PF100'!V10:V109,"SCB5_SEL3 (0)")</f>
        <v>0</v>
      </c>
      <c r="J35" s="42">
        <f>COUNTIF('PF100'!V10:V109,"SCB6_SEL3 (0)")</f>
        <v>0</v>
      </c>
      <c r="K35" s="43">
        <f>COUNTIF('PF100'!V10:V109,"SCB7_SEL3 (0)")</f>
        <v>0</v>
      </c>
    </row>
    <row r="36" spans="2:11" x14ac:dyDescent="0.55000000000000004">
      <c r="B36" s="134"/>
      <c r="C36" s="41" t="s">
        <v>1152</v>
      </c>
      <c r="D36" s="42">
        <f>COUNTIF('PF100'!V10:V109,"SCB0_SEL3 (1)")</f>
        <v>0</v>
      </c>
      <c r="E36" s="43">
        <f>COUNTIF('PF100'!V10:V109,"SCB1_SEL3 (1)")</f>
        <v>0</v>
      </c>
      <c r="F36" s="43">
        <f>COUNTIF('PF100'!V10:V109,"SCB2_SEL3 (1)")</f>
        <v>0</v>
      </c>
      <c r="G36" s="43">
        <f>COUNTIF('PF100'!V10:V109,"SCB3_SEL3 (1)")</f>
        <v>0</v>
      </c>
      <c r="H36" s="43">
        <f>COUNTIF('PF100'!V10:V109,"SCB4_SEL3 (1)")</f>
        <v>0</v>
      </c>
      <c r="I36" s="42">
        <f>COUNTIF('PF100'!V10:V109,"SCB5_SEL3 (1)")</f>
        <v>0</v>
      </c>
      <c r="J36" s="42">
        <f>COUNTIF('PF100'!V10:V109,"SCB6_SEL3 (1)")</f>
        <v>0</v>
      </c>
      <c r="K36" s="43">
        <f>COUNTIF('PF100'!V10:V109,"SCB7_SEL3 (1)")</f>
        <v>0</v>
      </c>
    </row>
    <row r="37" spans="2:11" ht="10.25" customHeight="1" x14ac:dyDescent="0.55000000000000004">
      <c r="B37" s="131" t="s">
        <v>414</v>
      </c>
      <c r="C37" s="41" t="s">
        <v>1131</v>
      </c>
      <c r="D37" s="42">
        <f>COUNTIF('PF100'!V10:V109,"SCB0_TX (0)")</f>
        <v>0</v>
      </c>
      <c r="E37" s="43">
        <f>COUNTIF('PF100'!V10:V109,"SCB1_TX (0)")</f>
        <v>0</v>
      </c>
      <c r="F37" s="43">
        <f>COUNTIF('PF100'!V10:V109,"SCB2_TX (0)")</f>
        <v>0</v>
      </c>
      <c r="G37" s="43">
        <f>COUNTIF('PF100'!V10:V109,"SCB3_TX (0)")</f>
        <v>0</v>
      </c>
      <c r="H37" s="43">
        <f>COUNTIF('PF100'!V10:V109,"SCB4_TX (0)")</f>
        <v>0</v>
      </c>
      <c r="I37" s="45">
        <f>COUNTIF('PF100'!V10:V109,"SCB5_TX (0)")</f>
        <v>0</v>
      </c>
      <c r="J37" s="45">
        <f>COUNTIF('PF100'!V10:V109,"SCB6_TX (0)")</f>
        <v>0</v>
      </c>
      <c r="K37" s="43">
        <f>COUNTIF('PF100'!V10:V109,"SCB7_TX (0)")</f>
        <v>0</v>
      </c>
    </row>
    <row r="38" spans="2:11" x14ac:dyDescent="0.55000000000000004">
      <c r="B38" s="133"/>
      <c r="C38" s="41" t="s">
        <v>1132</v>
      </c>
      <c r="D38" s="42">
        <f>COUNTIF('PF100'!V10:V109,"SCB0_TX (1)")</f>
        <v>0</v>
      </c>
      <c r="E38" s="43">
        <f>COUNTIF('PF100'!V10:V109,"SCB1_TX (1)")</f>
        <v>0</v>
      </c>
      <c r="F38" s="43">
        <f>COUNTIF('PF100'!V10:V109,"SCB2_TX (1)")</f>
        <v>0</v>
      </c>
      <c r="G38" s="43">
        <f>COUNTIF('PF100'!V10:V109,"SCB3_TX (1)")</f>
        <v>0</v>
      </c>
      <c r="H38" s="43">
        <f>COUNTIF('PF100'!V10:V109,"SCB4_TX (1)")</f>
        <v>0</v>
      </c>
      <c r="I38" s="45">
        <f>COUNTIF('PF100'!V10:V109,"SCB5_TX (1)")</f>
        <v>0</v>
      </c>
      <c r="J38" s="45">
        <f>COUNTIF('PF100'!V10:V109,"SCB6_TX (1)")</f>
        <v>0</v>
      </c>
      <c r="K38" s="43">
        <f>COUNTIF('PF100'!V10:V109,"SCB7_TX (1)")</f>
        <v>0</v>
      </c>
    </row>
    <row r="39" spans="2:11" x14ac:dyDescent="0.55000000000000004">
      <c r="B39" s="133"/>
      <c r="C39" s="41" t="s">
        <v>1133</v>
      </c>
      <c r="D39" s="42">
        <f>COUNTIF('PF100'!V10:V109,"SCB0_RX (0)")</f>
        <v>0</v>
      </c>
      <c r="E39" s="43">
        <f>COUNTIF('PF100'!V10:V109,"SCB1_RX (0)")</f>
        <v>0</v>
      </c>
      <c r="F39" s="43">
        <f>COUNTIF('PF100'!V10:V109,"SCB2_RX (0)")</f>
        <v>0</v>
      </c>
      <c r="G39" s="43">
        <f>COUNTIF('PF100'!V10:V109,"SCB3_RX (0)")</f>
        <v>0</v>
      </c>
      <c r="H39" s="43">
        <f>COUNTIF('PF100'!V10:V109,"SCB4_RX (0)")</f>
        <v>0</v>
      </c>
      <c r="I39" s="43">
        <f>COUNTIF('PF100'!V10:V109,"SCB5_RX (0)")</f>
        <v>0</v>
      </c>
      <c r="J39" s="43">
        <f>COUNTIF('PF100'!V10:V109,"SCB6_RX (0)")</f>
        <v>0</v>
      </c>
      <c r="K39" s="43">
        <f>COUNTIF('PF100'!V10:V109,"SCB7_RX (0)")</f>
        <v>0</v>
      </c>
    </row>
    <row r="40" spans="2:11" x14ac:dyDescent="0.55000000000000004">
      <c r="B40" s="133"/>
      <c r="C40" s="41" t="s">
        <v>1134</v>
      </c>
      <c r="D40" s="46">
        <f>COUNTIF('PF100'!V10:V109,"SCB0_RX (1)")</f>
        <v>0</v>
      </c>
      <c r="E40" s="43">
        <f>COUNTIF('PF100'!V10:V109,"SCB1_RX (1)")</f>
        <v>0</v>
      </c>
      <c r="F40" s="43">
        <f>COUNTIF('PF100'!V10:V109,"SCB2_RX (1)")</f>
        <v>0</v>
      </c>
      <c r="G40" s="43">
        <f>COUNTIF('PF100'!V10:V109,"SCB3_RX (1)")</f>
        <v>0</v>
      </c>
      <c r="H40" s="43">
        <f>COUNTIF('PF100'!V10:V109,"SCB4_RX (1)")</f>
        <v>0</v>
      </c>
      <c r="I40" s="43">
        <f>COUNTIF('PF100'!V10:V109,"SCB5_RX (1)")</f>
        <v>0</v>
      </c>
      <c r="J40" s="43">
        <f>COUNTIF('PF100'!V10:V109,"SCB6_RX (1)")</f>
        <v>0</v>
      </c>
      <c r="K40" s="43">
        <f>COUNTIF('PF100'!V10:V109,"SCB7_RX (1)")</f>
        <v>0</v>
      </c>
    </row>
    <row r="41" spans="2:11" x14ac:dyDescent="0.55000000000000004">
      <c r="B41" s="133"/>
      <c r="C41" s="41" t="s">
        <v>1135</v>
      </c>
      <c r="D41" s="42">
        <f>COUNTIF('PF100'!V10:V109,"SCB0_CTS (0)")</f>
        <v>0</v>
      </c>
      <c r="E41" s="43">
        <f>COUNTIF('PF100'!V10:V109,"SCB1_CTS (0)")</f>
        <v>0</v>
      </c>
      <c r="F41" s="43">
        <f>COUNTIF('PF100'!V10:V109,"SCB2_CTS (0)")</f>
        <v>0</v>
      </c>
      <c r="G41" s="43">
        <f>COUNTIF('PF100'!V10:V109,"SCB3_CTS (0)")</f>
        <v>0</v>
      </c>
      <c r="H41" s="43">
        <f>COUNTIF('PF100'!V10:V109,"SCB4_CTS (0)")</f>
        <v>0</v>
      </c>
      <c r="I41" s="43">
        <f>COUNTIF('PF100'!V10:V109,"SCB5_CTS (0)")</f>
        <v>0</v>
      </c>
      <c r="J41" s="43">
        <f>COUNTIF('PF100'!V10:V109,"SCB6_CTS (0)")</f>
        <v>0</v>
      </c>
      <c r="K41" s="43">
        <f>COUNTIF('PF100'!V10:V109,"SCB7_CTS (0)")</f>
        <v>0</v>
      </c>
    </row>
    <row r="42" spans="2:11" x14ac:dyDescent="0.55000000000000004">
      <c r="B42" s="133"/>
      <c r="C42" s="41" t="s">
        <v>1136</v>
      </c>
      <c r="D42" s="46">
        <f>COUNTIF('PF100'!V10:V109,"SCB0_CTS (1)")</f>
        <v>0</v>
      </c>
      <c r="E42" s="43">
        <f>COUNTIF('PF100'!V10:V109,"SCB1_CTS (1)")</f>
        <v>0</v>
      </c>
      <c r="F42" s="43">
        <f>COUNTIF('PF100'!V10:V109,"SCB2_CTS (1)")</f>
        <v>0</v>
      </c>
      <c r="G42" s="43">
        <f>COUNTIF('PF100'!V10:V109,"SCB3_CTS (1)")</f>
        <v>0</v>
      </c>
      <c r="H42" s="43">
        <f>COUNTIF('PF100'!V10:V109,"SCB4_CTS (1)")</f>
        <v>0</v>
      </c>
      <c r="I42" s="43">
        <f>COUNTIF('PF100'!V10:V109,"SCB5_CTS (1)")</f>
        <v>0</v>
      </c>
      <c r="J42" s="43">
        <f>COUNTIF('PF100'!V10:V109,"SCB6_CTS (1)")</f>
        <v>0</v>
      </c>
      <c r="K42" s="43">
        <f>COUNTIF('PF100'!V10:V109,"SCB7_CTS (1)")</f>
        <v>0</v>
      </c>
    </row>
    <row r="43" spans="2:11" x14ac:dyDescent="0.55000000000000004">
      <c r="B43" s="133"/>
      <c r="C43" s="41" t="s">
        <v>1137</v>
      </c>
      <c r="D43" s="42">
        <f>COUNTIF('PF100'!V10:V109,"SCB0_RTS (0)")</f>
        <v>0</v>
      </c>
      <c r="E43" s="43">
        <f>COUNTIF('PF100'!V10:V109,"SCB1_RTS (0)")</f>
        <v>0</v>
      </c>
      <c r="F43" s="43">
        <f>COUNTIF('PF100'!V10:V109,"SCB2_RTS (0)")</f>
        <v>0</v>
      </c>
      <c r="G43" s="43">
        <f>COUNTIF('PF100'!V10:V109,"SCB3_RTS (0)")</f>
        <v>0</v>
      </c>
      <c r="H43" s="43">
        <f>COUNTIF('PF100'!V10:V109,"SCB4_RTS (0)")</f>
        <v>0</v>
      </c>
      <c r="I43" s="43">
        <f>COUNTIF('PF100'!V10:V109,"SCB5_RTS (0)")</f>
        <v>0</v>
      </c>
      <c r="J43" s="43">
        <f>COUNTIF('PF100'!V10:V109,"SCB6_RTS (0)")</f>
        <v>0</v>
      </c>
      <c r="K43" s="43">
        <f>COUNTIF('PF100'!V10:V109,"SCB7_RTS (0)")</f>
        <v>0</v>
      </c>
    </row>
    <row r="44" spans="2:11" x14ac:dyDescent="0.55000000000000004">
      <c r="B44" s="134"/>
      <c r="C44" s="41" t="s">
        <v>1138</v>
      </c>
      <c r="D44" s="46">
        <f>COUNTIF('PF100'!V10:V109,"SCB0_RTS (1)")</f>
        <v>0</v>
      </c>
      <c r="E44" s="43">
        <f>COUNTIF('PF100'!V10:V109,"SCB1_RTS (1)")</f>
        <v>0</v>
      </c>
      <c r="F44" s="43">
        <f>COUNTIF('PF100'!V10:V109,"SCB2_RTS (1)")</f>
        <v>0</v>
      </c>
      <c r="G44" s="43">
        <f>COUNTIF('PF100'!V10:V109,"SCB3_RTS (1)")</f>
        <v>0</v>
      </c>
      <c r="H44" s="43">
        <f>COUNTIF('PF100'!V10:V109,"SCB4_RTS (1)")</f>
        <v>0</v>
      </c>
      <c r="I44" s="43">
        <f>COUNTIF('PF100'!V10:V109,"SCB5_RTS (1)")</f>
        <v>0</v>
      </c>
      <c r="J44" s="43">
        <f>COUNTIF('PF100'!V10:V109,"SCB6_RTS (1)")</f>
        <v>0</v>
      </c>
      <c r="K44" s="43">
        <f>COUNTIF('PF100'!V10:V109,"SCB7_RTS (1)")</f>
        <v>0</v>
      </c>
    </row>
    <row r="45" spans="2:11" ht="10.25" customHeight="1" x14ac:dyDescent="0.55000000000000004">
      <c r="B45" s="131" t="s">
        <v>416</v>
      </c>
      <c r="C45" s="47" t="s">
        <v>1153</v>
      </c>
      <c r="D45" s="42">
        <f>COUNTIF('PF100'!V10:V109,"SCB0_SDA (0)")</f>
        <v>0</v>
      </c>
      <c r="E45" s="43">
        <f>COUNTIF('PF100'!V10:V109,"SCB1_SDA (0)")</f>
        <v>0</v>
      </c>
      <c r="F45" s="43">
        <f>COUNTIF('PF100'!V10:V109,"SCB2_SDA (0)")</f>
        <v>0</v>
      </c>
      <c r="G45" s="43">
        <f>COUNTIF('PF100'!V10:V109,"SCB3_SDA (0)")</f>
        <v>0</v>
      </c>
      <c r="H45" s="43">
        <f>COUNTIF('PF100'!V10:V109,"SCB4_SDA (0)")</f>
        <v>0</v>
      </c>
      <c r="I45" s="45">
        <f>COUNTIF('PF100'!V10:V109,"SCB5_SDA (0)")</f>
        <v>0</v>
      </c>
      <c r="J45" s="45">
        <f>COUNTIF('PF100'!V10:V109,"SCB6_SDA (0)")</f>
        <v>0</v>
      </c>
      <c r="K45" s="45">
        <f>COUNTIF('PF100'!V10:V109,"SCB7_SDA (0)")</f>
        <v>0</v>
      </c>
    </row>
    <row r="46" spans="2:11" x14ac:dyDescent="0.55000000000000004">
      <c r="B46" s="132"/>
      <c r="C46" s="47" t="s">
        <v>1154</v>
      </c>
      <c r="D46" s="42">
        <f>COUNTIF('PF100'!V10:V109,"SCB0_SDA (1)")</f>
        <v>0</v>
      </c>
      <c r="E46" s="43">
        <f>COUNTIF('PF100'!V10:V109,"SCB1_SDA (1)")</f>
        <v>0</v>
      </c>
      <c r="F46" s="43">
        <f>COUNTIF('PF100'!V10:V109,"SCB2_SDA (1)")</f>
        <v>0</v>
      </c>
      <c r="G46" s="43">
        <f>COUNTIF('PF100'!V10:V109,"SCB3_SDA (1)")</f>
        <v>0</v>
      </c>
      <c r="H46" s="43">
        <f>COUNTIF('PF100'!V10:V109,"SCB4_SDA (1)")</f>
        <v>0</v>
      </c>
      <c r="I46" s="45">
        <f>COUNTIF('PF100'!V10:V109,"SCB5_SDA (1)")</f>
        <v>0</v>
      </c>
      <c r="J46" s="45">
        <f>COUNTIF('PF100'!V10:V109,"SCB6_SDA (1)")</f>
        <v>0</v>
      </c>
      <c r="K46" s="45">
        <f>COUNTIF('PF100'!V10:V109,"SCB7_SDA (1)")</f>
        <v>0</v>
      </c>
    </row>
    <row r="47" spans="2:11" x14ac:dyDescent="0.55000000000000004">
      <c r="B47" s="133"/>
      <c r="C47" s="47" t="s">
        <v>1155</v>
      </c>
      <c r="D47" s="42">
        <f>COUNTIF('PF100'!V10:V109,"SCB0_SDA (2)")</f>
        <v>0</v>
      </c>
      <c r="E47" s="43">
        <f>COUNTIF('PF100'!V10:V109,"SCB1_SDA (2)")</f>
        <v>0</v>
      </c>
      <c r="F47" s="43">
        <f>COUNTIF('PF100'!V10:V109,"SCB2_SDA (2)")</f>
        <v>0</v>
      </c>
      <c r="G47" s="43">
        <f>COUNTIF('PF100'!V10:V109,"SCB3_SDA (2)")</f>
        <v>0</v>
      </c>
      <c r="H47" s="43">
        <f>COUNTIF('PF100'!V10:V109,"SCB4_SDA (2)")</f>
        <v>0</v>
      </c>
      <c r="I47" s="45">
        <f>COUNTIF('PF100'!V10:V109,"SCB5_SDA (2)")</f>
        <v>0</v>
      </c>
      <c r="J47" s="45">
        <f>COUNTIF('PF100'!V10:V109,"SCB6_SDA (2)")</f>
        <v>0</v>
      </c>
      <c r="K47" s="45">
        <f>COUNTIF('PF100'!V10:V109,"SCB7_SDA (2)")</f>
        <v>0</v>
      </c>
    </row>
    <row r="48" spans="2:11" x14ac:dyDescent="0.55000000000000004">
      <c r="B48" s="133"/>
      <c r="C48" s="47" t="s">
        <v>1156</v>
      </c>
      <c r="D48" s="42">
        <f>COUNTIF('PF100'!V10:V109,"SCB0_SCL (0)")</f>
        <v>0</v>
      </c>
      <c r="E48" s="43">
        <f>COUNTIF('PF100'!V10:V109,"SCB1_SCL (0)")</f>
        <v>0</v>
      </c>
      <c r="F48" s="43">
        <f>COUNTIF('PF100'!V10:V109,"SCB2_SCL (0)")</f>
        <v>0</v>
      </c>
      <c r="G48" s="43">
        <f>COUNTIF('PF100'!V10:V109,"SCB3_SCL (0)")</f>
        <v>0</v>
      </c>
      <c r="H48" s="43">
        <f>COUNTIF('PF100'!V10:V109,"SCB4_SCL (0)")</f>
        <v>0</v>
      </c>
      <c r="I48" s="45">
        <f>COUNTIF('PF100'!V10:V109,"SCB5_SCL (0)")</f>
        <v>0</v>
      </c>
      <c r="J48" s="45">
        <f>COUNTIF('PF100'!V10:V109,"SCB6_SCL (0)")</f>
        <v>0</v>
      </c>
      <c r="K48" s="45">
        <f>COUNTIF('PF100'!V10:V109,"SCB7_SCL (0)")</f>
        <v>0</v>
      </c>
    </row>
    <row r="49" spans="2:66" x14ac:dyDescent="0.55000000000000004">
      <c r="B49" s="133"/>
      <c r="C49" s="47" t="s">
        <v>1157</v>
      </c>
      <c r="D49" s="42">
        <f>COUNTIF('PF100'!V10:V109,"SCB0_SCL (1)")</f>
        <v>0</v>
      </c>
      <c r="E49" s="43">
        <f>COUNTIF('PF100'!V10:V109,"SCB1_SCL (1)")</f>
        <v>0</v>
      </c>
      <c r="F49" s="43">
        <f>COUNTIF('PF100'!V10:V109,"SCB2_SCL (1)")</f>
        <v>0</v>
      </c>
      <c r="G49" s="43">
        <f>COUNTIF('PF100'!V10:V109,"SCB3_SCL (1)")</f>
        <v>0</v>
      </c>
      <c r="H49" s="43">
        <f>COUNTIF('PF100'!V10:V109,"SCB4_SCL (1)")</f>
        <v>0</v>
      </c>
      <c r="I49" s="45">
        <f>COUNTIF('PF100'!V10:V109,"SCB5_SCL (1)")</f>
        <v>0</v>
      </c>
      <c r="J49" s="45">
        <f>COUNTIF('PF100'!V10:V109,"SCB6_SCL (1)")</f>
        <v>0</v>
      </c>
      <c r="K49" s="45">
        <f>COUNTIF('PF100'!V10:V109,"SCB7_SCL (1)")</f>
        <v>0</v>
      </c>
    </row>
    <row r="50" spans="2:66" x14ac:dyDescent="0.55000000000000004">
      <c r="B50" s="134"/>
      <c r="C50" s="47" t="s">
        <v>1158</v>
      </c>
      <c r="D50" s="42">
        <f>COUNTIF('PF100'!V10:V109,"SCB0_SCL (2)")</f>
        <v>0</v>
      </c>
      <c r="E50" s="43">
        <f>COUNTIF('PF100'!V10:V109,"SCB1_SCL (2)")</f>
        <v>0</v>
      </c>
      <c r="F50" s="43">
        <f>COUNTIF('PF100'!V10:V109,"SCB2_SCL (2)")</f>
        <v>0</v>
      </c>
      <c r="G50" s="43">
        <f>COUNTIF('PF100'!V10:V109,"SCB3_SCL (2)")</f>
        <v>0</v>
      </c>
      <c r="H50" s="43">
        <f>COUNTIF('PF100'!V10:V109,"SCB4_SCL (2)")</f>
        <v>0</v>
      </c>
      <c r="I50" s="45">
        <f>COUNTIF('PF100'!V10:V109,"SCB5_SCL (2)")</f>
        <v>0</v>
      </c>
      <c r="J50" s="45">
        <f>COUNTIF('PF100'!V10:V109,"SCB6_SCL (2)")</f>
        <v>0</v>
      </c>
      <c r="K50" s="45">
        <f>COUNTIF('PF100'!V10:V109,"SCB7_SCL (2)")</f>
        <v>0</v>
      </c>
    </row>
    <row r="52" spans="2:66" hidden="1" x14ac:dyDescent="0.55000000000000004">
      <c r="B52" s="52" t="s">
        <v>376</v>
      </c>
      <c r="C52" s="52" t="s">
        <v>1191</v>
      </c>
      <c r="D52" s="53" t="s">
        <v>377</v>
      </c>
      <c r="E52" s="53" t="s">
        <v>378</v>
      </c>
      <c r="F52" s="53" t="s">
        <v>379</v>
      </c>
      <c r="G52" s="53" t="s">
        <v>380</v>
      </c>
      <c r="H52" s="53" t="s">
        <v>384</v>
      </c>
      <c r="I52" s="53" t="s">
        <v>383</v>
      </c>
      <c r="J52" s="53" t="s">
        <v>382</v>
      </c>
      <c r="K52" s="53" t="s">
        <v>381</v>
      </c>
    </row>
    <row r="53" spans="2:66" hidden="1" x14ac:dyDescent="0.55000000000000004">
      <c r="B53" s="54" t="s">
        <v>1192</v>
      </c>
      <c r="C53" s="55">
        <v>0</v>
      </c>
      <c r="D53" s="55">
        <f>D23+D25+D27+D29+D31+D33+D35</f>
        <v>0</v>
      </c>
      <c r="E53" s="55">
        <f t="shared" ref="E53:K54" si="0">E23+E25+E27+E29+E31+E33+E35</f>
        <v>0</v>
      </c>
      <c r="F53" s="55">
        <f t="shared" si="0"/>
        <v>0</v>
      </c>
      <c r="G53" s="55">
        <f t="shared" si="0"/>
        <v>0</v>
      </c>
      <c r="H53" s="55">
        <f t="shared" si="0"/>
        <v>0</v>
      </c>
      <c r="I53" s="55">
        <f t="shared" si="0"/>
        <v>0</v>
      </c>
      <c r="J53" s="55">
        <f t="shared" si="0"/>
        <v>0</v>
      </c>
      <c r="K53" s="55">
        <f t="shared" si="0"/>
        <v>0</v>
      </c>
    </row>
    <row r="54" spans="2:66" hidden="1" x14ac:dyDescent="0.55000000000000004">
      <c r="B54" s="56"/>
      <c r="C54" s="55">
        <v>1</v>
      </c>
      <c r="D54" s="55">
        <f>D24+D26+D28+D30+D32+D34+D36</f>
        <v>0</v>
      </c>
      <c r="E54" s="55">
        <f t="shared" si="0"/>
        <v>0</v>
      </c>
      <c r="F54" s="55">
        <f t="shared" si="0"/>
        <v>0</v>
      </c>
      <c r="G54" s="55">
        <f t="shared" si="0"/>
        <v>0</v>
      </c>
      <c r="H54" s="55">
        <f t="shared" si="0"/>
        <v>0</v>
      </c>
      <c r="I54" s="55">
        <f t="shared" si="0"/>
        <v>0</v>
      </c>
      <c r="J54" s="55">
        <f t="shared" si="0"/>
        <v>0</v>
      </c>
      <c r="K54" s="55">
        <f t="shared" si="0"/>
        <v>0</v>
      </c>
    </row>
    <row r="55" spans="2:66" hidden="1" x14ac:dyDescent="0.55000000000000004">
      <c r="B55" s="54" t="s">
        <v>1193</v>
      </c>
      <c r="C55" s="55">
        <v>0</v>
      </c>
      <c r="D55" s="55">
        <f>D37+D39+D41+D43</f>
        <v>0</v>
      </c>
      <c r="E55" s="55">
        <f t="shared" ref="E55:K56" si="1">E37+E39+E41+E43</f>
        <v>0</v>
      </c>
      <c r="F55" s="55">
        <f t="shared" si="1"/>
        <v>0</v>
      </c>
      <c r="G55" s="55">
        <f t="shared" si="1"/>
        <v>0</v>
      </c>
      <c r="H55" s="55">
        <f t="shared" si="1"/>
        <v>0</v>
      </c>
      <c r="I55" s="55">
        <f t="shared" si="1"/>
        <v>0</v>
      </c>
      <c r="J55" s="55">
        <f t="shared" si="1"/>
        <v>0</v>
      </c>
      <c r="K55" s="55">
        <f t="shared" si="1"/>
        <v>0</v>
      </c>
    </row>
    <row r="56" spans="2:66" hidden="1" x14ac:dyDescent="0.55000000000000004">
      <c r="B56" s="56"/>
      <c r="C56" s="55">
        <v>1</v>
      </c>
      <c r="D56" s="55">
        <f>D38+D40+D42+D44</f>
        <v>0</v>
      </c>
      <c r="E56" s="55">
        <f t="shared" si="1"/>
        <v>0</v>
      </c>
      <c r="F56" s="55">
        <f t="shared" si="1"/>
        <v>0</v>
      </c>
      <c r="G56" s="55">
        <f t="shared" si="1"/>
        <v>0</v>
      </c>
      <c r="H56" s="55">
        <f t="shared" si="1"/>
        <v>0</v>
      </c>
      <c r="I56" s="55">
        <f t="shared" si="1"/>
        <v>0</v>
      </c>
      <c r="J56" s="55">
        <f t="shared" si="1"/>
        <v>0</v>
      </c>
      <c r="K56" s="55">
        <f t="shared" si="1"/>
        <v>0</v>
      </c>
    </row>
    <row r="57" spans="2:66" hidden="1" x14ac:dyDescent="0.55000000000000004">
      <c r="B57" s="54" t="s">
        <v>1194</v>
      </c>
      <c r="C57" s="55">
        <v>0</v>
      </c>
      <c r="D57" s="55">
        <f t="shared" ref="D57:K57" si="2">D45+D48</f>
        <v>0</v>
      </c>
      <c r="E57" s="55">
        <f t="shared" si="2"/>
        <v>0</v>
      </c>
      <c r="F57" s="55">
        <f t="shared" si="2"/>
        <v>0</v>
      </c>
      <c r="G57" s="55">
        <f t="shared" si="2"/>
        <v>0</v>
      </c>
      <c r="H57" s="55">
        <f t="shared" si="2"/>
        <v>0</v>
      </c>
      <c r="I57" s="55">
        <f t="shared" si="2"/>
        <v>0</v>
      </c>
      <c r="J57" s="55">
        <f t="shared" si="2"/>
        <v>0</v>
      </c>
      <c r="K57" s="55">
        <f t="shared" si="2"/>
        <v>0</v>
      </c>
    </row>
    <row r="58" spans="2:66" hidden="1" x14ac:dyDescent="0.55000000000000004">
      <c r="B58" s="57"/>
      <c r="C58" s="55">
        <v>1</v>
      </c>
      <c r="D58" s="55">
        <f>D46+D49</f>
        <v>0</v>
      </c>
      <c r="E58" s="55">
        <f t="shared" ref="E58:K59" si="3">E46+E49</f>
        <v>0</v>
      </c>
      <c r="F58" s="55">
        <f t="shared" si="3"/>
        <v>0</v>
      </c>
      <c r="G58" s="55">
        <f t="shared" si="3"/>
        <v>0</v>
      </c>
      <c r="H58" s="55">
        <f t="shared" si="3"/>
        <v>0</v>
      </c>
      <c r="I58" s="55">
        <f t="shared" si="3"/>
        <v>0</v>
      </c>
      <c r="J58" s="55">
        <f t="shared" si="3"/>
        <v>0</v>
      </c>
      <c r="K58" s="55">
        <f t="shared" si="3"/>
        <v>0</v>
      </c>
    </row>
    <row r="59" spans="2:66" hidden="1" x14ac:dyDescent="0.55000000000000004">
      <c r="B59" s="56"/>
      <c r="C59" s="55">
        <v>2</v>
      </c>
      <c r="D59" s="55">
        <f>D47+D50</f>
        <v>0</v>
      </c>
      <c r="E59" s="55">
        <f t="shared" si="3"/>
        <v>0</v>
      </c>
      <c r="F59" s="55">
        <f t="shared" si="3"/>
        <v>0</v>
      </c>
      <c r="G59" s="55">
        <f t="shared" si="3"/>
        <v>0</v>
      </c>
      <c r="H59" s="55">
        <f t="shared" si="3"/>
        <v>0</v>
      </c>
      <c r="I59" s="55">
        <f t="shared" si="3"/>
        <v>0</v>
      </c>
      <c r="J59" s="55">
        <f t="shared" si="3"/>
        <v>0</v>
      </c>
      <c r="K59" s="55">
        <f t="shared" si="3"/>
        <v>0</v>
      </c>
    </row>
    <row r="60" spans="2:66" hidden="1" x14ac:dyDescent="0.55000000000000004">
      <c r="B60" s="58" t="s">
        <v>1195</v>
      </c>
      <c r="C60" s="59"/>
      <c r="D60" s="52">
        <f t="shared" ref="D60:K60" si="4">COUNTIF(D53:D59, "&lt;&gt;0")</f>
        <v>0</v>
      </c>
      <c r="E60" s="52">
        <f t="shared" si="4"/>
        <v>0</v>
      </c>
      <c r="F60" s="52">
        <f t="shared" si="4"/>
        <v>0</v>
      </c>
      <c r="G60" s="52">
        <f t="shared" si="4"/>
        <v>0</v>
      </c>
      <c r="H60" s="52">
        <f t="shared" si="4"/>
        <v>0</v>
      </c>
      <c r="I60" s="52">
        <f t="shared" si="4"/>
        <v>0</v>
      </c>
      <c r="J60" s="52">
        <f t="shared" si="4"/>
        <v>0</v>
      </c>
      <c r="K60" s="52">
        <f t="shared" si="4"/>
        <v>0</v>
      </c>
    </row>
    <row r="62" spans="2:66" x14ac:dyDescent="0.55000000000000004">
      <c r="B62" s="128" t="s">
        <v>430</v>
      </c>
      <c r="C62" s="129"/>
      <c r="D62" s="37" t="s">
        <v>420</v>
      </c>
      <c r="E62" s="37" t="s">
        <v>421</v>
      </c>
      <c r="F62" s="37" t="s">
        <v>422</v>
      </c>
      <c r="G62" s="37" t="s">
        <v>423</v>
      </c>
      <c r="H62" s="37" t="s">
        <v>424</v>
      </c>
      <c r="I62" s="37" t="s">
        <v>425</v>
      </c>
      <c r="J62" s="37" t="s">
        <v>426</v>
      </c>
      <c r="K62" s="37" t="s">
        <v>427</v>
      </c>
      <c r="L62" s="37" t="s">
        <v>428</v>
      </c>
      <c r="M62" s="37" t="s">
        <v>429</v>
      </c>
      <c r="N62" s="37" t="s">
        <v>431</v>
      </c>
      <c r="O62" s="37" t="s">
        <v>432</v>
      </c>
      <c r="P62" s="37" t="s">
        <v>435</v>
      </c>
      <c r="Q62" s="37" t="s">
        <v>436</v>
      </c>
      <c r="R62" s="37" t="s">
        <v>437</v>
      </c>
      <c r="S62" s="37" t="s">
        <v>438</v>
      </c>
      <c r="T62" s="37" t="s">
        <v>439</v>
      </c>
      <c r="U62" s="37" t="s">
        <v>440</v>
      </c>
      <c r="V62" s="37" t="s">
        <v>441</v>
      </c>
      <c r="W62" s="37" t="s">
        <v>442</v>
      </c>
      <c r="X62" s="37" t="s">
        <v>443</v>
      </c>
      <c r="Y62" s="37" t="s">
        <v>444</v>
      </c>
      <c r="Z62" s="37" t="s">
        <v>445</v>
      </c>
      <c r="AA62" s="37" t="s">
        <v>446</v>
      </c>
      <c r="AB62" s="37" t="s">
        <v>447</v>
      </c>
      <c r="AC62" s="37" t="s">
        <v>448</v>
      </c>
      <c r="AD62" s="37" t="s">
        <v>449</v>
      </c>
      <c r="AE62" s="37" t="s">
        <v>450</v>
      </c>
      <c r="AF62" s="37" t="s">
        <v>451</v>
      </c>
      <c r="AG62" s="37" t="s">
        <v>452</v>
      </c>
      <c r="AH62" s="37" t="s">
        <v>453</v>
      </c>
      <c r="AI62" s="37" t="s">
        <v>454</v>
      </c>
      <c r="AJ62" s="37" t="s">
        <v>455</v>
      </c>
      <c r="AK62" s="37" t="s">
        <v>456</v>
      </c>
      <c r="AL62" s="37" t="s">
        <v>457</v>
      </c>
      <c r="AM62" s="37" t="s">
        <v>458</v>
      </c>
      <c r="AN62" s="37" t="s">
        <v>459</v>
      </c>
      <c r="AO62" s="37" t="s">
        <v>460</v>
      </c>
      <c r="AP62" s="37" t="s">
        <v>461</v>
      </c>
      <c r="AQ62" s="37" t="s">
        <v>462</v>
      </c>
      <c r="AR62" s="37" t="s">
        <v>463</v>
      </c>
      <c r="AS62" s="37" t="s">
        <v>464</v>
      </c>
      <c r="AT62" s="37" t="s">
        <v>465</v>
      </c>
      <c r="AU62" s="37" t="s">
        <v>466</v>
      </c>
      <c r="AV62" s="37" t="s">
        <v>467</v>
      </c>
      <c r="AW62" s="37" t="s">
        <v>468</v>
      </c>
      <c r="AX62" s="37" t="s">
        <v>469</v>
      </c>
      <c r="AY62" s="37" t="s">
        <v>470</v>
      </c>
      <c r="AZ62" s="37" t="s">
        <v>471</v>
      </c>
      <c r="BA62" s="37" t="s">
        <v>472</v>
      </c>
      <c r="BB62" s="37" t="s">
        <v>473</v>
      </c>
      <c r="BC62" s="37" t="s">
        <v>474</v>
      </c>
      <c r="BD62" s="37" t="s">
        <v>475</v>
      </c>
      <c r="BE62" s="37" t="s">
        <v>476</v>
      </c>
      <c r="BF62" s="37" t="s">
        <v>477</v>
      </c>
      <c r="BG62" s="37" t="s">
        <v>478</v>
      </c>
      <c r="BH62" s="37" t="s">
        <v>479</v>
      </c>
      <c r="BI62" s="37" t="s">
        <v>480</v>
      </c>
      <c r="BJ62" s="37" t="s">
        <v>481</v>
      </c>
      <c r="BK62" s="37" t="s">
        <v>482</v>
      </c>
      <c r="BL62" s="37" t="s">
        <v>483</v>
      </c>
      <c r="BM62" s="37" t="s">
        <v>484</v>
      </c>
      <c r="BN62" s="37" t="s">
        <v>485</v>
      </c>
    </row>
    <row r="63" spans="2:66" x14ac:dyDescent="0.55000000000000004">
      <c r="B63" s="126" t="s">
        <v>417</v>
      </c>
      <c r="C63" s="38" t="s">
        <v>409</v>
      </c>
      <c r="D63" s="38">
        <f>COUNTIF('PF100'!V10:V109,"PWM0_0")</f>
        <v>0</v>
      </c>
      <c r="E63" s="38">
        <f>COUNTIF('PF100'!V10:V109,"PWM0_1")</f>
        <v>0</v>
      </c>
      <c r="F63" s="38">
        <f>COUNTIF('PF100'!V10:V109,"PWM0_2")</f>
        <v>0</v>
      </c>
      <c r="G63" s="38">
        <f>COUNTIF('PF100'!V10:V109,"PWM0_3")</f>
        <v>0</v>
      </c>
      <c r="H63" s="38">
        <f>COUNTIF('PF100'!V10:V109,"PWM0_4")</f>
        <v>0</v>
      </c>
      <c r="I63" s="38">
        <f>COUNTIF('PF100'!V10:V109,"PWM0_5")</f>
        <v>0</v>
      </c>
      <c r="J63" s="38">
        <f>COUNTIF('PF100'!V10:V109,"PWM0_6")</f>
        <v>0</v>
      </c>
      <c r="K63" s="38">
        <f>COUNTIF('PF100'!V10:V109,"PWM0_7")</f>
        <v>0</v>
      </c>
      <c r="L63" s="38">
        <f>COUNTIF('PF100'!V10:V109,"PWM0_8")</f>
        <v>0</v>
      </c>
      <c r="M63" s="38">
        <f>COUNTIF('PF100'!V10:V109,"PWM0_9")</f>
        <v>0</v>
      </c>
      <c r="N63" s="38">
        <f>COUNTIF('PF100'!V10:V109,"PWM0_10")</f>
        <v>0</v>
      </c>
      <c r="O63" s="38">
        <f>COUNTIF('PF100'!V10:V109,"PWM0_11")</f>
        <v>0</v>
      </c>
      <c r="P63" s="38">
        <f>COUNTIF('PF100'!V10:V109,"PWM0_12")</f>
        <v>0</v>
      </c>
      <c r="Q63" s="38">
        <f>COUNTIF('PF100'!V10:V109,"PWM0_13")</f>
        <v>0</v>
      </c>
      <c r="R63" s="38">
        <f>COUNTIF('PF100'!V10:V109,"PWM0_14")</f>
        <v>0</v>
      </c>
      <c r="S63" s="38">
        <f>COUNTIF('PF100'!V10:V109,"PWM0_15")</f>
        <v>0</v>
      </c>
      <c r="T63" s="38">
        <f>COUNTIF('PF100'!V10:V109,"PWM0_16")</f>
        <v>0</v>
      </c>
      <c r="U63" s="38">
        <f>COUNTIF('PF100'!V10:V109,"PWM0_17")</f>
        <v>0</v>
      </c>
      <c r="V63" s="38">
        <f>COUNTIF('PF100'!V10:V109,"PWM0_18")</f>
        <v>0</v>
      </c>
      <c r="W63" s="38">
        <f>COUNTIF('PF100'!V10:V109,"PWM0_19")</f>
        <v>0</v>
      </c>
      <c r="X63" s="38">
        <f>COUNTIF('PF100'!V10:V109,"PWM0_20")</f>
        <v>0</v>
      </c>
      <c r="Y63" s="38">
        <f>COUNTIF('PF100'!V10:V109,"PWM0_21")</f>
        <v>0</v>
      </c>
      <c r="Z63" s="38">
        <f>COUNTIF('PF100'!V10:V109,"PWM0_22")</f>
        <v>0</v>
      </c>
      <c r="AA63" s="38">
        <f>COUNTIF('PF100'!V10:V109,"PWM0_23")</f>
        <v>0</v>
      </c>
      <c r="AB63" s="38">
        <f>COUNTIF('PF100'!V10:V109,"PWM0_24")</f>
        <v>0</v>
      </c>
      <c r="AC63" s="38">
        <f>COUNTIF('PF100'!V10:V109,"PWM0_25")</f>
        <v>0</v>
      </c>
      <c r="AD63" s="38">
        <f>COUNTIF('PF100'!V10:V109,"PWM0_26")</f>
        <v>0</v>
      </c>
      <c r="AE63" s="38">
        <f>COUNTIF('PF100'!V10:V109,"PWM0_27")</f>
        <v>0</v>
      </c>
      <c r="AF63" s="38">
        <f>COUNTIF('PF100'!V10:V109,"PWM0_28")</f>
        <v>0</v>
      </c>
      <c r="AG63" s="38">
        <f>COUNTIF('PF100'!V10:V109,"PWM0_29")</f>
        <v>0</v>
      </c>
      <c r="AH63" s="38">
        <f>COUNTIF('PF100'!V10:V109,"PWM0_30")</f>
        <v>0</v>
      </c>
      <c r="AI63" s="38">
        <f>COUNTIF('PF100'!V10:V109,"PWM0_31")</f>
        <v>0</v>
      </c>
      <c r="AJ63" s="38">
        <f>COUNTIF('PF100'!V10:V109,"PWM0_32")</f>
        <v>0</v>
      </c>
      <c r="AK63" s="38">
        <f>COUNTIF('PF100'!V10:V109,"PWM0_33")</f>
        <v>0</v>
      </c>
      <c r="AL63" s="38">
        <f>COUNTIF('PF100'!V10:V109,"PWM0_34")</f>
        <v>0</v>
      </c>
      <c r="AM63" s="38">
        <f>COUNTIF('PF100'!V10:V109,"PWM0_35")</f>
        <v>0</v>
      </c>
      <c r="AN63" s="38">
        <f>COUNTIF('PF100'!V10:V109,"PWM0_36")</f>
        <v>0</v>
      </c>
      <c r="AO63" s="38">
        <f>COUNTIF('PF100'!V10:V109,"PWM0_37")</f>
        <v>0</v>
      </c>
      <c r="AP63" s="38">
        <f>COUNTIF('PF100'!V10:V109,"PWM0_38")</f>
        <v>0</v>
      </c>
      <c r="AQ63" s="38">
        <f>COUNTIF('PF100'!V10:V109,"PWM0_39")</f>
        <v>0</v>
      </c>
      <c r="AR63" s="38">
        <f>COUNTIF('PF100'!V10:V109,"PWM0_40")</f>
        <v>0</v>
      </c>
      <c r="AS63" s="38">
        <f>COUNTIF('PF100'!V10:V109,"PWM0_41")</f>
        <v>0</v>
      </c>
      <c r="AT63" s="38">
        <f>COUNTIF('PF100'!V10:V109,"PWM0_42")</f>
        <v>0</v>
      </c>
      <c r="AU63" s="38">
        <f>COUNTIF('PF100'!V10:V109,"PWM0_43")</f>
        <v>0</v>
      </c>
      <c r="AV63" s="38">
        <f>COUNTIF('PF100'!V10:V109,"PWM0_44")</f>
        <v>0</v>
      </c>
      <c r="AW63" s="38">
        <f>COUNTIF('PF100'!V10:V109,"PWM0_45")</f>
        <v>0</v>
      </c>
      <c r="AX63" s="38">
        <f>COUNTIF('PF100'!V10:V109,"PWM0_46")</f>
        <v>0</v>
      </c>
      <c r="AY63" s="38">
        <f>COUNTIF('PF100'!V10:V109,"PWM0_47")</f>
        <v>0</v>
      </c>
      <c r="AZ63" s="38">
        <f>COUNTIF('PF100'!V10:V109,"PWM0_48")</f>
        <v>0</v>
      </c>
      <c r="BA63" s="38">
        <f>COUNTIF('PF100'!V10:V109,"PWM0_49")</f>
        <v>0</v>
      </c>
      <c r="BB63" s="38">
        <f>COUNTIF('PF100'!V10:V109,"PWM0_50")</f>
        <v>0</v>
      </c>
      <c r="BC63" s="38">
        <f>COUNTIF('PF100'!V10:V109,"PWM0_51")</f>
        <v>0</v>
      </c>
      <c r="BD63" s="38">
        <f>COUNTIF('PF100'!V10:V109,"PWM0_52")</f>
        <v>0</v>
      </c>
      <c r="BE63" s="38">
        <f>COUNTIF('PF100'!V10:V109,"PWM0_53")</f>
        <v>0</v>
      </c>
      <c r="BF63" s="38">
        <f>COUNTIF('PF100'!V10:V109,"PWM0_54")</f>
        <v>0</v>
      </c>
      <c r="BG63" s="38">
        <f>COUNTIF('PF100'!V10:V109,"PWM0_55")</f>
        <v>0</v>
      </c>
      <c r="BH63" s="38">
        <f>COUNTIF('PF100'!V10:V109,"PWM0_56")</f>
        <v>0</v>
      </c>
      <c r="BI63" s="38">
        <f>COUNTIF('PF100'!V10:V109,"PWM0_57")</f>
        <v>0</v>
      </c>
      <c r="BJ63" s="38">
        <f>COUNTIF('PF100'!V10:V109,"PWM0_58")</f>
        <v>0</v>
      </c>
      <c r="BK63" s="38">
        <f>COUNTIF('PF100'!V10:V109,"PWM0_59")</f>
        <v>0</v>
      </c>
      <c r="BL63" s="38">
        <f>COUNTIF('PF100'!V10:V109,"PWM0_60")</f>
        <v>0</v>
      </c>
      <c r="BM63" s="38">
        <f>COUNTIF('PF100'!V10:V109,"PWM0_61")</f>
        <v>0</v>
      </c>
      <c r="BN63" s="38">
        <f>COUNTIF('PF100'!V10:V109,"PWM0_62")</f>
        <v>0</v>
      </c>
    </row>
    <row r="64" spans="2:66" x14ac:dyDescent="0.55000000000000004">
      <c r="B64" s="127"/>
      <c r="C64" s="38" t="s">
        <v>412</v>
      </c>
      <c r="D64" s="38">
        <f>COUNTIF('PF100'!V10:V109,"PWM0_0_N")</f>
        <v>0</v>
      </c>
      <c r="E64" s="38">
        <f>COUNTIF('PF100'!V10:V109,"PWM0_1_N")</f>
        <v>0</v>
      </c>
      <c r="F64" s="38">
        <f>COUNTIF('PF100'!V10:V109,"PWM0_2_N")</f>
        <v>0</v>
      </c>
      <c r="G64" s="38">
        <f>COUNTIF('PF100'!V10:V109,"PWM0_3_N")</f>
        <v>0</v>
      </c>
      <c r="H64" s="38">
        <f>COUNTIF('PF100'!V10:V109,"PWM0_4_N")</f>
        <v>0</v>
      </c>
      <c r="I64" s="38">
        <f>COUNTIF('PF100'!V10:V109,"PWM0_5_N")</f>
        <v>0</v>
      </c>
      <c r="J64" s="38">
        <f>COUNTIF('PF100'!V10:V109,"PWM0_6_N")</f>
        <v>0</v>
      </c>
      <c r="K64" s="38">
        <f>COUNTIF('PF100'!V10:V109,"PWM0_7_N")</f>
        <v>0</v>
      </c>
      <c r="L64" s="38">
        <f>COUNTIF('PF100'!V10:V109,"PWM0_8_N")</f>
        <v>0</v>
      </c>
      <c r="M64" s="38">
        <f>COUNTIF('PF100'!V10:V109,"PWM0_9_N")</f>
        <v>0</v>
      </c>
      <c r="N64" s="38">
        <f>COUNTIF('PF100'!V10:V109,"PWM0_10_N")</f>
        <v>0</v>
      </c>
      <c r="O64" s="38">
        <f>COUNTIF('PF100'!V10:V109,"PWM0_11_N")</f>
        <v>0</v>
      </c>
      <c r="P64" s="38">
        <f>COUNTIF('PF100'!V10:V109,"PWM0_12_N")</f>
        <v>0</v>
      </c>
      <c r="Q64" s="38">
        <f>COUNTIF('PF100'!V10:V109,"PWM0_13_N")</f>
        <v>0</v>
      </c>
      <c r="R64" s="38">
        <f>COUNTIF('PF100'!V10:V109,"PWM0_14_N")</f>
        <v>0</v>
      </c>
      <c r="S64" s="38">
        <f>COUNTIF('PF100'!V10:V109,"PWM0_15_N")</f>
        <v>0</v>
      </c>
      <c r="T64" s="38">
        <f>COUNTIF('PF100'!V10:V109,"PWM0_16_N")</f>
        <v>0</v>
      </c>
      <c r="U64" s="38">
        <f>COUNTIF('PF100'!V10:V109,"PWM0_17_N")</f>
        <v>0</v>
      </c>
      <c r="V64" s="38">
        <f>COUNTIF('PF100'!V10:V109,"PWM0_18_N")</f>
        <v>0</v>
      </c>
      <c r="W64" s="38">
        <f>COUNTIF('PF100'!V10:V109,"PWM0_19_N")</f>
        <v>0</v>
      </c>
      <c r="X64" s="38">
        <f>COUNTIF('PF100'!V10:V109,"PWM0_20_N")</f>
        <v>0</v>
      </c>
      <c r="Y64" s="38">
        <f>COUNTIF('PF100'!V10:V109,"PWM0_21_N")</f>
        <v>0</v>
      </c>
      <c r="Z64" s="38">
        <f>COUNTIF('PF100'!V10:V109,"PWM0_22_N")</f>
        <v>0</v>
      </c>
      <c r="AA64" s="38">
        <f>COUNTIF('PF100'!V10:V109,"PWM0_23_N")</f>
        <v>0</v>
      </c>
      <c r="AB64" s="38">
        <f>COUNTIF('PF100'!V10:V109,"PWM0_24_N")</f>
        <v>0</v>
      </c>
      <c r="AC64" s="38">
        <f>COUNTIF('PF100'!V10:V109,"PWM0_25_N")</f>
        <v>0</v>
      </c>
      <c r="AD64" s="38">
        <f>COUNTIF('PF100'!V10:V109,"PWM0_26_N")</f>
        <v>0</v>
      </c>
      <c r="AE64" s="38">
        <f>COUNTIF('PF100'!V10:V109,"PWM0_27_N")</f>
        <v>0</v>
      </c>
      <c r="AF64" s="38">
        <f>COUNTIF('PF100'!V10:V109,"PWM0_28_N")</f>
        <v>0</v>
      </c>
      <c r="AG64" s="38">
        <f>COUNTIF('PF100'!V10:V109,"PWM0_29_N")</f>
        <v>0</v>
      </c>
      <c r="AH64" s="38">
        <f>COUNTIF('PF100'!V10:V109,"PWM0_30_N")</f>
        <v>0</v>
      </c>
      <c r="AI64" s="38">
        <f>COUNTIF('PF100'!V10:V109,"PWM0_31_N")</f>
        <v>0</v>
      </c>
      <c r="AJ64" s="38">
        <f>COUNTIF('PF100'!V10:V109,"PWM0_32_N")</f>
        <v>0</v>
      </c>
      <c r="AK64" s="38">
        <f>COUNTIF('PF100'!V10:V109,"PWM0_33_N")</f>
        <v>0</v>
      </c>
      <c r="AL64" s="38">
        <f>COUNTIF('PF100'!V10:V109,"PWM0_34_N")</f>
        <v>0</v>
      </c>
      <c r="AM64" s="38">
        <f>COUNTIF('PF100'!V10:V109,"PWM0_35_N")</f>
        <v>0</v>
      </c>
      <c r="AN64" s="38">
        <f>COUNTIF('PF100'!V10:V109,"PWM0_36_N")</f>
        <v>0</v>
      </c>
      <c r="AO64" s="38">
        <f>COUNTIF('PF100'!V10:V109,"PWM0_37_N")</f>
        <v>0</v>
      </c>
      <c r="AP64" s="38">
        <f>COUNTIF('PF100'!V10:V109,"PWM0_38_N")</f>
        <v>0</v>
      </c>
      <c r="AQ64" s="38">
        <f>COUNTIF('PF100'!V10:V109,"PWM0_39_N")</f>
        <v>0</v>
      </c>
      <c r="AR64" s="38">
        <f>COUNTIF('PF100'!V10:V109,"PWM0_40_N")</f>
        <v>0</v>
      </c>
      <c r="AS64" s="38">
        <f>COUNTIF('PF100'!V10:V109,"PWM0_41_N")</f>
        <v>0</v>
      </c>
      <c r="AT64" s="38">
        <f>COUNTIF('PF100'!V10:V109,"PWM0_42_N")</f>
        <v>0</v>
      </c>
      <c r="AU64" s="38">
        <f>COUNTIF('PF100'!V10:V109,"PWM0_43_N")</f>
        <v>0</v>
      </c>
      <c r="AV64" s="38">
        <f>COUNTIF('PF100'!V10:V109,"PWM0_44_N")</f>
        <v>0</v>
      </c>
      <c r="AW64" s="38">
        <f>COUNTIF('PF100'!V10:V109,"PWM0_45_N")</f>
        <v>0</v>
      </c>
      <c r="AX64" s="38">
        <f>COUNTIF('PF100'!V10:V109,"PWM0_46_N")</f>
        <v>0</v>
      </c>
      <c r="AY64" s="38">
        <f>COUNTIF('PF100'!V10:V109,"PWM0_47_N")</f>
        <v>0</v>
      </c>
      <c r="AZ64" s="38">
        <f>COUNTIF('PF100'!V10:V109,"PWM0_48_N")</f>
        <v>0</v>
      </c>
      <c r="BA64" s="38">
        <f>COUNTIF('PF100'!V10:V109,"PWM0_49_N")</f>
        <v>0</v>
      </c>
      <c r="BB64" s="38">
        <f>COUNTIF('PF100'!V10:V109,"PWM0_50_N")</f>
        <v>0</v>
      </c>
      <c r="BC64" s="38">
        <f>COUNTIF('PF100'!V10:V109,"PWM0_51_N")</f>
        <v>0</v>
      </c>
      <c r="BD64" s="38">
        <f>COUNTIF('PF100'!V10:V109,"PWM0_52_N")</f>
        <v>0</v>
      </c>
      <c r="BE64" s="38">
        <f>COUNTIF('PF100'!V10:V109,"PWM0_53_N")</f>
        <v>0</v>
      </c>
      <c r="BF64" s="38">
        <f>COUNTIF('PF100'!V10:V109,"PWM0_54_N")</f>
        <v>0</v>
      </c>
      <c r="BG64" s="38">
        <f>COUNTIF('PF100'!V10:V109,"PWM0_55_N")</f>
        <v>0</v>
      </c>
      <c r="BH64" s="38">
        <f>COUNTIF('PF100'!V10:V109,"PWM0_56_N")</f>
        <v>0</v>
      </c>
      <c r="BI64" s="38">
        <f>COUNTIF('PF100'!V10:V109,"PWM0_57_N")</f>
        <v>0</v>
      </c>
      <c r="BJ64" s="38">
        <f>COUNTIF('PF100'!V10:V109,"PWM0_58_N")</f>
        <v>0</v>
      </c>
      <c r="BK64" s="38">
        <f>COUNTIF('PF100'!V10:V109,"PWM0_59_N")</f>
        <v>0</v>
      </c>
      <c r="BL64" s="38">
        <f>COUNTIF('PF100'!V10:V109,"PWM0_60_N")</f>
        <v>0</v>
      </c>
      <c r="BM64" s="38">
        <f>COUNTIF('PF100'!V10:V109,"PWM0_61_N")</f>
        <v>0</v>
      </c>
      <c r="BN64" s="38">
        <f>COUNTIF('PF100'!V10:V109,"PWM0_62_N")</f>
        <v>0</v>
      </c>
    </row>
    <row r="65" spans="2:66" x14ac:dyDescent="0.55000000000000004">
      <c r="B65" s="126" t="s">
        <v>418</v>
      </c>
      <c r="C65" s="38" t="s">
        <v>410</v>
      </c>
      <c r="D65" s="38">
        <f>COUNTIF('PF100'!V10:V109,"TC0_0_TR0")</f>
        <v>0</v>
      </c>
      <c r="E65" s="38">
        <f>COUNTIF('PF100'!V10:V109,"TC0_1_TR0")</f>
        <v>0</v>
      </c>
      <c r="F65" s="38">
        <f>COUNTIF('PF100'!V10:V109,"TC0_2_TR0")</f>
        <v>0</v>
      </c>
      <c r="G65" s="38">
        <f>COUNTIF('PF100'!V10:V109,"TC0_3_TR0")</f>
        <v>0</v>
      </c>
      <c r="H65" s="38">
        <f>COUNTIF('PF100'!V10:V109,"TC0_4_TR0")</f>
        <v>0</v>
      </c>
      <c r="I65" s="38">
        <f>COUNTIF('PF100'!V10:V109,"TC0_5_TR0")</f>
        <v>0</v>
      </c>
      <c r="J65" s="38">
        <f>COUNTIF('PF100'!V10:V109,"TC0_6_TR0")</f>
        <v>0</v>
      </c>
      <c r="K65" s="38">
        <f>COUNTIF('PF100'!V10:V109,"TC0_7_TR0")</f>
        <v>0</v>
      </c>
      <c r="L65" s="38">
        <f>COUNTIF('PF100'!V10:V109,"TC0_8_TR0")</f>
        <v>0</v>
      </c>
      <c r="M65" s="38">
        <f>COUNTIF('PF100'!V10:V109,"TC0_9_TR0")</f>
        <v>0</v>
      </c>
      <c r="N65" s="38">
        <f>COUNTIF('PF100'!V10:V109,"TC0_10_TR0")</f>
        <v>0</v>
      </c>
      <c r="O65" s="38">
        <f>COUNTIF('PF100'!V10:V109,"TC0_11_TR0")</f>
        <v>0</v>
      </c>
      <c r="P65" s="38">
        <f>COUNTIF('PF100'!V10:V109,"TC0_12_TR0")</f>
        <v>0</v>
      </c>
      <c r="Q65" s="38">
        <f>COUNTIF('PF100'!V10:V109,"TC0_13_TR0")</f>
        <v>0</v>
      </c>
      <c r="R65" s="38">
        <f>COUNTIF('PF100'!V10:V109,"TC0_14_TR0")</f>
        <v>0</v>
      </c>
      <c r="S65" s="38">
        <f>COUNTIF('PF100'!V10:V109,"TC0_15_TR0")</f>
        <v>0</v>
      </c>
      <c r="T65" s="38">
        <f>COUNTIF('PF100'!V10:V109,"TC0_16_TR0")</f>
        <v>0</v>
      </c>
      <c r="U65" s="38">
        <f>COUNTIF('PF100'!V10:V109,"TC0_17_TR0")</f>
        <v>0</v>
      </c>
      <c r="V65" s="38">
        <f>COUNTIF('PF100'!V10:V109,"TC0_18_TR0")</f>
        <v>0</v>
      </c>
      <c r="W65" s="38">
        <f>COUNTIF('PF100'!V10:V109,"TC0_19_TR0")</f>
        <v>0</v>
      </c>
      <c r="X65" s="38">
        <f>COUNTIF('PF100'!V10:V109,"TC0_20_TR0")</f>
        <v>0</v>
      </c>
      <c r="Y65" s="38">
        <f>COUNTIF('PF100'!V10:V109,"TC0_21_TR0")</f>
        <v>0</v>
      </c>
      <c r="Z65" s="38">
        <f>COUNTIF('PF100'!V10:V109,"TC0_22_TR0")</f>
        <v>0</v>
      </c>
      <c r="AA65" s="38">
        <f>COUNTIF('PF100'!V10:V109,"TC0_23_TR0")</f>
        <v>0</v>
      </c>
      <c r="AB65" s="38">
        <f>COUNTIF('PF100'!V10:V109,"TC0_24_TR0")</f>
        <v>0</v>
      </c>
      <c r="AC65" s="38">
        <f>COUNTIF('PF100'!V10:V109,"TC0_25_TR0")</f>
        <v>0</v>
      </c>
      <c r="AD65" s="38">
        <f>COUNTIF('PF100'!V10:V109,"TC0_26_TR0")</f>
        <v>0</v>
      </c>
      <c r="AE65" s="38">
        <f>COUNTIF('PF100'!V10:V109,"TC0_27_TR0")</f>
        <v>0</v>
      </c>
      <c r="AF65" s="38">
        <f>COUNTIF('PF100'!V10:V109,"TC0_28_TR0")</f>
        <v>0</v>
      </c>
      <c r="AG65" s="38">
        <f>COUNTIF('PF100'!V10:V109,"TC0_29_TR0")</f>
        <v>0</v>
      </c>
      <c r="AH65" s="38">
        <f>COUNTIF('PF100'!V10:V109,"TC0_30_TR0")</f>
        <v>0</v>
      </c>
      <c r="AI65" s="38">
        <f>COUNTIF('PF100'!V10:V109,"TC0_31_TR0")</f>
        <v>0</v>
      </c>
      <c r="AJ65" s="38">
        <f>COUNTIF('PF100'!V10:V109,"TC0_32_TR0")</f>
        <v>0</v>
      </c>
      <c r="AK65" s="38">
        <f>COUNTIF('PF100'!V10:V109,"TC0_33_TR0")</f>
        <v>0</v>
      </c>
      <c r="AL65" s="38">
        <f>COUNTIF('PF100'!V10:V109,"TC0_34_TR0")</f>
        <v>0</v>
      </c>
      <c r="AM65" s="38">
        <f>COUNTIF('PF100'!V10:V109,"TC0_35_TR0")</f>
        <v>0</v>
      </c>
      <c r="AN65" s="38">
        <f>COUNTIF('PF100'!V10:V109,"TC0_36_TR0")</f>
        <v>0</v>
      </c>
      <c r="AO65" s="38">
        <f>COUNTIF('PF100'!V10:V109,"TC0_37_TR0")</f>
        <v>0</v>
      </c>
      <c r="AP65" s="38">
        <f>COUNTIF('PF100'!V10:V109,"TC0_38_TR0")</f>
        <v>0</v>
      </c>
      <c r="AQ65" s="38">
        <f>COUNTIF('PF100'!V10:V109,"TC0_39_TR0")</f>
        <v>0</v>
      </c>
      <c r="AR65" s="38">
        <f>COUNTIF('PF100'!V10:V109,"TC0_40_TR0")</f>
        <v>0</v>
      </c>
      <c r="AS65" s="38">
        <f>COUNTIF('PF100'!V10:V109,"TC0_41_TR0")</f>
        <v>0</v>
      </c>
      <c r="AT65" s="38">
        <f>COUNTIF('PF100'!V10:V109,"TC0_42_TR0")</f>
        <v>0</v>
      </c>
      <c r="AU65" s="38">
        <f>COUNTIF('PF100'!V10:V109,"TC0_43_TR0")</f>
        <v>0</v>
      </c>
      <c r="AV65" s="38">
        <f>COUNTIF('PF100'!V10:V109,"TC0_44_TR0")</f>
        <v>0</v>
      </c>
      <c r="AW65" s="38">
        <f>COUNTIF('PF100'!V10:V109,"TC0_45_TR0")</f>
        <v>0</v>
      </c>
      <c r="AX65" s="38">
        <f>COUNTIF('PF100'!V10:V109,"TC0_46_TR0")</f>
        <v>0</v>
      </c>
      <c r="AY65" s="38">
        <f>COUNTIF('PF100'!V10:V109,"TC0_47_TR0")</f>
        <v>0</v>
      </c>
      <c r="AZ65" s="38">
        <f>COUNTIF('PF100'!V10:V109,"TC0_48_TR0")</f>
        <v>0</v>
      </c>
      <c r="BA65" s="38">
        <f>COUNTIF('PF100'!V10:V109,"TC0_49_TR0")</f>
        <v>0</v>
      </c>
      <c r="BB65" s="38">
        <f>COUNTIF('PF100'!V10:V109,"TC0_50_TR0")</f>
        <v>0</v>
      </c>
      <c r="BC65" s="38">
        <f>COUNTIF('PF100'!V10:V109,"TC0_51_TR0")</f>
        <v>0</v>
      </c>
      <c r="BD65" s="38">
        <f>COUNTIF('PF100'!V10:V109,"TC0_52_TR0")</f>
        <v>0</v>
      </c>
      <c r="BE65" s="38">
        <f>COUNTIF('PF100'!V10:V109,"TC0_53_TR0")</f>
        <v>0</v>
      </c>
      <c r="BF65" s="38">
        <f>COUNTIF('PF100'!V10:V109,"TC0_54_TR0")</f>
        <v>0</v>
      </c>
      <c r="BG65" s="38">
        <f>COUNTIF('PF100'!V10:V109,"TC0_55_TR0")</f>
        <v>0</v>
      </c>
      <c r="BH65" s="38">
        <f>COUNTIF('PF100'!V10:V109,"TC0_56_TR0")</f>
        <v>0</v>
      </c>
      <c r="BI65" s="38">
        <f>COUNTIF('PF100'!V10:V109,"TC0_57_TR0")</f>
        <v>0</v>
      </c>
      <c r="BJ65" s="38">
        <f>COUNTIF('PF100'!V10:V109,"TC0_58_TR0")</f>
        <v>0</v>
      </c>
      <c r="BK65" s="38">
        <f>COUNTIF('PF100'!V10:V109,"TC0_59_TR0")</f>
        <v>0</v>
      </c>
      <c r="BL65" s="38">
        <f>COUNTIF('PF100'!V10:V109,"TC0_60_TR0")</f>
        <v>0</v>
      </c>
      <c r="BM65" s="38">
        <f>COUNTIF('PF100'!V10:V109,"TC0_61_TR0")</f>
        <v>0</v>
      </c>
      <c r="BN65" s="38">
        <f>COUNTIF('PF100'!V10:V109,"TC0_62_TR0")</f>
        <v>0</v>
      </c>
    </row>
    <row r="66" spans="2:66" x14ac:dyDescent="0.55000000000000004">
      <c r="B66" s="127"/>
      <c r="C66" s="38" t="s">
        <v>411</v>
      </c>
      <c r="D66" s="38">
        <f>COUNTIF('PF100'!V10:V109,"TC0_0_TR1")</f>
        <v>0</v>
      </c>
      <c r="E66" s="38">
        <f>COUNTIF('PF100'!V10:V109,"TC0_1_TR1")</f>
        <v>0</v>
      </c>
      <c r="F66" s="38">
        <f>COUNTIF('PF100'!V10:V109,"TC0_2_TR1")</f>
        <v>0</v>
      </c>
      <c r="G66" s="38">
        <f>COUNTIF('PF100'!V10:V109,"TC0_3_TR1")</f>
        <v>0</v>
      </c>
      <c r="H66" s="38">
        <f>COUNTIF('PF100'!V10:V109,"TC0_4_TR1")</f>
        <v>0</v>
      </c>
      <c r="I66" s="38">
        <f>COUNTIF('PF100'!V10:V109,"TC0_5_TR1")</f>
        <v>0</v>
      </c>
      <c r="J66" s="38">
        <f>COUNTIF('PF100'!V10:V109,"TC0_6_TR1")</f>
        <v>0</v>
      </c>
      <c r="K66" s="38">
        <f>COUNTIF('PF100'!V10:V109,"TC0_7_TR1")</f>
        <v>0</v>
      </c>
      <c r="L66" s="38">
        <f>COUNTIF('PF100'!V10:V109,"TC0_8_TR1")</f>
        <v>0</v>
      </c>
      <c r="M66" s="38">
        <f>COUNTIF('PF100'!V10:V109,"TC0_9_TR1")</f>
        <v>0</v>
      </c>
      <c r="N66" s="38">
        <f>COUNTIF('PF100'!V10:V109,"TC0_10_TR1")</f>
        <v>0</v>
      </c>
      <c r="O66" s="38">
        <f>COUNTIF('PF100'!V10:V109,"TC0_11_TR1")</f>
        <v>0</v>
      </c>
      <c r="P66" s="38">
        <f>COUNTIF('PF100'!V10:V109,"TC0_12_TR1")</f>
        <v>0</v>
      </c>
      <c r="Q66" s="38">
        <f>COUNTIF('PF100'!V10:V109,"TC0_13_TR1")</f>
        <v>0</v>
      </c>
      <c r="R66" s="38">
        <f>COUNTIF('PF100'!V10:V109,"TC0_14_TR1")</f>
        <v>0</v>
      </c>
      <c r="S66" s="38">
        <f>COUNTIF('PF100'!V10:V109,"TC0_15_TR1")</f>
        <v>0</v>
      </c>
      <c r="T66" s="38">
        <f>COUNTIF('PF100'!V10:V109,"TC0_16_TR1")</f>
        <v>0</v>
      </c>
      <c r="U66" s="38">
        <f>COUNTIF('PF100'!V10:V109,"TC0_17_TR1")</f>
        <v>0</v>
      </c>
      <c r="V66" s="38">
        <f>COUNTIF('PF100'!V10:V109,"TC0_18_TR1")</f>
        <v>0</v>
      </c>
      <c r="W66" s="38">
        <f>COUNTIF('PF100'!V10:V109,"TC0_19_TR1")</f>
        <v>0</v>
      </c>
      <c r="X66" s="38">
        <f>COUNTIF('PF100'!V10:V109,"TC0_20_TR1")</f>
        <v>0</v>
      </c>
      <c r="Y66" s="38">
        <f>COUNTIF('PF100'!V10:V109,"TC0_21_TR1")</f>
        <v>0</v>
      </c>
      <c r="Z66" s="38">
        <f>COUNTIF('PF100'!V10:V109,"TC0_22_TR1")</f>
        <v>0</v>
      </c>
      <c r="AA66" s="38">
        <f>COUNTIF('PF100'!V10:V109,"TC0_23_TR1")</f>
        <v>0</v>
      </c>
      <c r="AB66" s="38">
        <f>COUNTIF('PF100'!V10:V109,"TC0_24_TR1")</f>
        <v>0</v>
      </c>
      <c r="AC66" s="38">
        <f>COUNTIF('PF100'!V10:V109,"TC0_25_TR1")</f>
        <v>0</v>
      </c>
      <c r="AD66" s="38">
        <f>COUNTIF('PF100'!V10:V109,"TC0_26_TR1")</f>
        <v>0</v>
      </c>
      <c r="AE66" s="38">
        <f>COUNTIF('PF100'!V10:V109,"TC0_27_TR1")</f>
        <v>0</v>
      </c>
      <c r="AF66" s="38">
        <f>COUNTIF('PF100'!V10:V109,"TC0_28_TR1")</f>
        <v>0</v>
      </c>
      <c r="AG66" s="38">
        <f>COUNTIF('PF100'!V10:V109,"TC0_29_TR1")</f>
        <v>0</v>
      </c>
      <c r="AH66" s="38">
        <f>COUNTIF('PF100'!V10:V109,"TC0_30_TR1")</f>
        <v>0</v>
      </c>
      <c r="AI66" s="38">
        <f>COUNTIF('PF100'!V10:V109,"TC0_31_TR1")</f>
        <v>0</v>
      </c>
      <c r="AJ66" s="38">
        <f>COUNTIF('PF100'!V10:V109,"TC0_32_TR1")</f>
        <v>0</v>
      </c>
      <c r="AK66" s="38">
        <f>COUNTIF('PF100'!V10:V109,"TC0_33_TR1")</f>
        <v>0</v>
      </c>
      <c r="AL66" s="38">
        <f>COUNTIF('PF100'!V10:V109,"TC0_34_TR1")</f>
        <v>0</v>
      </c>
      <c r="AM66" s="38">
        <f>COUNTIF('PF100'!V10:V109,"TC0_35_TR1")</f>
        <v>0</v>
      </c>
      <c r="AN66" s="38">
        <f>COUNTIF('PF100'!V10:V109,"TC0_36_TR1")</f>
        <v>0</v>
      </c>
      <c r="AO66" s="38">
        <f>COUNTIF('PF100'!V10:V109,"TC0_37_TR1")</f>
        <v>0</v>
      </c>
      <c r="AP66" s="38">
        <f>COUNTIF('PF100'!V10:V109,"TC0_38_TR1")</f>
        <v>0</v>
      </c>
      <c r="AQ66" s="38">
        <f>COUNTIF('PF100'!V10:V109,"TC0_39_TR1")</f>
        <v>0</v>
      </c>
      <c r="AR66" s="38">
        <f>COUNTIF('PF100'!V10:V109,"TC0_40_TR1")</f>
        <v>0</v>
      </c>
      <c r="AS66" s="38">
        <f>COUNTIF('PF100'!V10:V109,"TC0_41_TR1")</f>
        <v>0</v>
      </c>
      <c r="AT66" s="38">
        <f>COUNTIF('PF100'!V10:V109,"TC0_42_TR1")</f>
        <v>0</v>
      </c>
      <c r="AU66" s="38">
        <f>COUNTIF('PF100'!V10:V109,"TC0_43_TR1")</f>
        <v>0</v>
      </c>
      <c r="AV66" s="38">
        <f>COUNTIF('PF100'!V10:V109,"TC0_44_TR1")</f>
        <v>0</v>
      </c>
      <c r="AW66" s="38">
        <f>COUNTIF('PF100'!V10:V109,"TC0_45_TR1")</f>
        <v>0</v>
      </c>
      <c r="AX66" s="38">
        <f>COUNTIF('PF100'!V10:V109,"TC0_46_TR1")</f>
        <v>0</v>
      </c>
      <c r="AY66" s="38">
        <f>COUNTIF('PF100'!V10:V109,"TC0_47_TR1")</f>
        <v>0</v>
      </c>
      <c r="AZ66" s="38">
        <f>COUNTIF('PF100'!V10:V109,"TC0_48_TR1")</f>
        <v>0</v>
      </c>
      <c r="BA66" s="38">
        <f>COUNTIF('PF100'!V10:V109,"TC0_49_TR1")</f>
        <v>0</v>
      </c>
      <c r="BB66" s="38">
        <f>COUNTIF('PF100'!V10:V109,"TC0_50_TR1")</f>
        <v>0</v>
      </c>
      <c r="BC66" s="38">
        <f>COUNTIF('PF100'!V10:V109,"TC0_51_TR1")</f>
        <v>0</v>
      </c>
      <c r="BD66" s="38">
        <f>COUNTIF('PF100'!V10:V109,"TC0_52_TR1")</f>
        <v>0</v>
      </c>
      <c r="BE66" s="38">
        <f>COUNTIF('PF100'!V10:V109,"TC0_53_TR1")</f>
        <v>0</v>
      </c>
      <c r="BF66" s="38">
        <f>COUNTIF('PF100'!V10:V109,"TC0_54_TR1")</f>
        <v>0</v>
      </c>
      <c r="BG66" s="38">
        <f>COUNTIF('PF100'!V10:V109,"TC0_55_TR1")</f>
        <v>0</v>
      </c>
      <c r="BH66" s="38">
        <f>COUNTIF('PF100'!V10:V109,"TC0_56_TR1")</f>
        <v>0</v>
      </c>
      <c r="BI66" s="38">
        <f>COUNTIF('PF100'!V10:V109,"TC0_57_TR1")</f>
        <v>0</v>
      </c>
      <c r="BJ66" s="38">
        <f>COUNTIF('PF100'!V10:V109,"TC0_58_TR1")</f>
        <v>0</v>
      </c>
      <c r="BK66" s="38">
        <f>COUNTIF('PF100'!V10:V109,"TC0_59_TR1")</f>
        <v>0</v>
      </c>
      <c r="BL66" s="38">
        <f>COUNTIF('PF100'!V10:V109,"TC0_60_TR1")</f>
        <v>0</v>
      </c>
      <c r="BM66" s="38">
        <f>COUNTIF('PF100'!V10:V109,"TC0_61_TR1")</f>
        <v>0</v>
      </c>
      <c r="BN66" s="38">
        <f>COUNTIF('PF100'!V10:V109,"TC0_62_TR1")</f>
        <v>0</v>
      </c>
    </row>
    <row r="68" spans="2:66" x14ac:dyDescent="0.55000000000000004">
      <c r="B68" s="128" t="s">
        <v>433</v>
      </c>
      <c r="C68" s="129"/>
      <c r="D68" s="37" t="s">
        <v>420</v>
      </c>
      <c r="E68" s="37" t="s">
        <v>421</v>
      </c>
      <c r="F68" s="37" t="s">
        <v>422</v>
      </c>
      <c r="G68" s="37" t="s">
        <v>423</v>
      </c>
      <c r="H68" s="37" t="s">
        <v>424</v>
      </c>
      <c r="I68" s="37" t="s">
        <v>425</v>
      </c>
      <c r="J68" s="37" t="s">
        <v>426</v>
      </c>
      <c r="K68" s="37" t="s">
        <v>427</v>
      </c>
      <c r="L68" s="37" t="s">
        <v>428</v>
      </c>
      <c r="M68" s="37" t="s">
        <v>429</v>
      </c>
      <c r="N68" s="37" t="s">
        <v>431</v>
      </c>
      <c r="O68" s="37" t="s">
        <v>432</v>
      </c>
      <c r="P68" s="60"/>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row>
    <row r="69" spans="2:66" x14ac:dyDescent="0.55000000000000004">
      <c r="B69" s="126" t="s">
        <v>417</v>
      </c>
      <c r="C69" s="38" t="s">
        <v>409</v>
      </c>
      <c r="D69" s="38">
        <f>COUNTIF('PF100'!V10:V109,"PWM0_M_0")</f>
        <v>0</v>
      </c>
      <c r="E69" s="38">
        <f>COUNTIF('PF100'!V10:V109,"PWM0_M_1")</f>
        <v>0</v>
      </c>
      <c r="F69" s="38">
        <f>COUNTIF('PF100'!V10:V109,"PWM0_M_2")</f>
        <v>0</v>
      </c>
      <c r="G69" s="38">
        <f>COUNTIF('PF100'!V10:V109,"PWM0_M_3")</f>
        <v>0</v>
      </c>
      <c r="H69" s="38">
        <f>COUNTIF('PF100'!V10:V109,"PWM0_M_4")</f>
        <v>0</v>
      </c>
      <c r="I69" s="38">
        <f>COUNTIF('PF100'!V10:V109,"PWM0_M_5")</f>
        <v>0</v>
      </c>
      <c r="J69" s="38">
        <f>COUNTIF('PF100'!V10:V109,"PWM0_M_6")</f>
        <v>0</v>
      </c>
      <c r="K69" s="38">
        <f>COUNTIF('PF100'!V10:V109,"PWM0_M_7")</f>
        <v>0</v>
      </c>
      <c r="L69" s="38">
        <f>COUNTIF('PF100'!V10:V109,"PWM0_M_8")</f>
        <v>0</v>
      </c>
      <c r="M69" s="38">
        <f>COUNTIF('PF100'!V10:V109,"PWM0_M_9")</f>
        <v>0</v>
      </c>
      <c r="N69" s="38">
        <f>COUNTIF('PF100'!V10:V109,"PWM0_M_10")</f>
        <v>0</v>
      </c>
      <c r="O69" s="38">
        <f>COUNTIF('PF100'!V10:V109,"PWM0_M_11")</f>
        <v>0</v>
      </c>
      <c r="P69" s="61"/>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row>
    <row r="70" spans="2:66" x14ac:dyDescent="0.55000000000000004">
      <c r="B70" s="127"/>
      <c r="C70" s="38" t="s">
        <v>412</v>
      </c>
      <c r="D70" s="38">
        <f>COUNTIF('PF100'!V10:V109,"PWM0_M_0_N")</f>
        <v>0</v>
      </c>
      <c r="E70" s="38">
        <f>COUNTIF('PF100'!V10:V109,"PWM0_M_1_N")</f>
        <v>0</v>
      </c>
      <c r="F70" s="38">
        <f>COUNTIF('PF100'!V10:V109,"PWM0_M_2_N")</f>
        <v>0</v>
      </c>
      <c r="G70" s="38">
        <f>COUNTIF('PF100'!V10:V109,"PWM0_M_3_N")</f>
        <v>0</v>
      </c>
      <c r="H70" s="38">
        <f>COUNTIF('PF100'!V10:V109,"PWM0_M_4_N")</f>
        <v>0</v>
      </c>
      <c r="I70" s="38">
        <f>COUNTIF('PF100'!V10:V109,"PWM0_M_5_N")</f>
        <v>0</v>
      </c>
      <c r="J70" s="38">
        <f>COUNTIF('PF100'!V10:V109,"PWM0_M_6_N")</f>
        <v>0</v>
      </c>
      <c r="K70" s="38">
        <f>COUNTIF('PF100'!V10:V109,"PWM0_M_7_N")</f>
        <v>0</v>
      </c>
      <c r="L70" s="38">
        <f>COUNTIF('PF100'!V10:V109,"PWM0_M_8_N")</f>
        <v>0</v>
      </c>
      <c r="M70" s="38">
        <f>COUNTIF('PF100'!V10:V109,"PWM0_M_9_N")</f>
        <v>0</v>
      </c>
      <c r="N70" s="38">
        <f>COUNTIF('PF100'!V10:V109,"PWM0_M_10_N")</f>
        <v>0</v>
      </c>
      <c r="O70" s="38">
        <f>COUNTIF('PF100'!V10:V109,"PWM0_M_11_N")</f>
        <v>0</v>
      </c>
      <c r="P70" s="61"/>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row>
    <row r="71" spans="2:66" x14ac:dyDescent="0.55000000000000004">
      <c r="B71" s="126" t="s">
        <v>418</v>
      </c>
      <c r="C71" s="38" t="s">
        <v>410</v>
      </c>
      <c r="D71" s="38">
        <f>COUNTIF('PF100'!V10:V109,"TC0_M_0_TR0")</f>
        <v>0</v>
      </c>
      <c r="E71" s="38">
        <f>COUNTIF('PF100'!V10:V109,"TC0_M_1_TR0")</f>
        <v>0</v>
      </c>
      <c r="F71" s="38">
        <f>COUNTIF('PF100'!V10:V109,"TC0_M_2_TR0")</f>
        <v>0</v>
      </c>
      <c r="G71" s="38">
        <f>COUNTIF('PF100'!V10:V109,"TC0_M_3_TR0")</f>
        <v>0</v>
      </c>
      <c r="H71" s="38">
        <f>COUNTIF('PF100'!V10:V109,"TC0_M_4_TR0")</f>
        <v>0</v>
      </c>
      <c r="I71" s="38">
        <f>COUNTIF('PF100'!V10:V109,"TC0_M_5_TR0")</f>
        <v>0</v>
      </c>
      <c r="J71" s="38">
        <f>COUNTIF('PF100'!V10:V109,"TC0_M_6_TR0")</f>
        <v>0</v>
      </c>
      <c r="K71" s="38">
        <f>COUNTIF('PF100'!V10:V109,"TC0_M_7_TR0")</f>
        <v>0</v>
      </c>
      <c r="L71" s="38">
        <f>COUNTIF('PF100'!V10:V109,"TC0_M_8_TR0")</f>
        <v>0</v>
      </c>
      <c r="M71" s="38">
        <f>COUNTIF('PF100'!V10:V109,"TC0_M_9_TR0")</f>
        <v>0</v>
      </c>
      <c r="N71" s="38">
        <f>COUNTIF('PF100'!V10:V109,"TC0_M_10_TR0")</f>
        <v>0</v>
      </c>
      <c r="O71" s="38">
        <f>COUNTIF('PF100'!V10:V109,"TC0_M_11_TR0")</f>
        <v>0</v>
      </c>
      <c r="P71" s="61"/>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row>
    <row r="72" spans="2:66" x14ac:dyDescent="0.55000000000000004">
      <c r="B72" s="127"/>
      <c r="C72" s="38" t="s">
        <v>411</v>
      </c>
      <c r="D72" s="38">
        <f>COUNTIF('PF100'!V10:V109,"TC0_M_0_TR1")</f>
        <v>0</v>
      </c>
      <c r="E72" s="38">
        <f>COUNTIF('PF100'!V10:V109,"TC0_M_1_TR1")</f>
        <v>0</v>
      </c>
      <c r="F72" s="38">
        <f>COUNTIF('PF100'!V10:V109,"TC0_M_2_TR1")</f>
        <v>0</v>
      </c>
      <c r="G72" s="38">
        <f>COUNTIF('PF100'!V10:V109,"TC0_M_3_TR1")</f>
        <v>0</v>
      </c>
      <c r="H72" s="38">
        <f>COUNTIF('PF100'!V10:V109,"TC0_M_4_TR1")</f>
        <v>0</v>
      </c>
      <c r="I72" s="38">
        <f>COUNTIF('PF100'!V10:V109,"TC0_M_5_TR1")</f>
        <v>0</v>
      </c>
      <c r="J72" s="38">
        <f>COUNTIF('PF100'!V10:V109,"TC0_M_6_TR1")</f>
        <v>0</v>
      </c>
      <c r="K72" s="38">
        <f>COUNTIF('PF100'!V10:V109,"TC0_M_7_TR1")</f>
        <v>0</v>
      </c>
      <c r="L72" s="38">
        <f>COUNTIF('PF100'!V10:V109,"TC0_M_8_TR1")</f>
        <v>0</v>
      </c>
      <c r="M72" s="38">
        <f>COUNTIF('PF100'!V10:V109,"TC0_M_9_TR1")</f>
        <v>0</v>
      </c>
      <c r="N72" s="38">
        <f>COUNTIF('PF100'!V10:V109,"TC0_M_10_TR1")</f>
        <v>0</v>
      </c>
      <c r="O72" s="38">
        <f>COUNTIF('PF100'!V10:V109,"TC0_M_11_TR1")</f>
        <v>0</v>
      </c>
      <c r="P72" s="61"/>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row>
    <row r="73" spans="2:66" x14ac:dyDescent="0.55000000000000004">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row>
    <row r="74" spans="2:66" x14ac:dyDescent="0.55000000000000004">
      <c r="B74" s="128" t="s">
        <v>434</v>
      </c>
      <c r="C74" s="129"/>
      <c r="D74" s="37" t="s">
        <v>420</v>
      </c>
      <c r="E74" s="37" t="s">
        <v>421</v>
      </c>
      <c r="F74" s="37" t="s">
        <v>422</v>
      </c>
      <c r="G74" s="37" t="s">
        <v>423</v>
      </c>
      <c r="H74" s="37" t="s">
        <v>424</v>
      </c>
      <c r="I74" s="37" t="s">
        <v>425</v>
      </c>
      <c r="J74" s="37" t="s">
        <v>426</v>
      </c>
      <c r="K74" s="37" t="s">
        <v>427</v>
      </c>
      <c r="Q74" s="40"/>
      <c r="R74" s="40"/>
      <c r="S74" s="40"/>
      <c r="T74" s="40"/>
      <c r="U74" s="40"/>
      <c r="V74" s="40"/>
      <c r="W74" s="40"/>
      <c r="X74" s="40"/>
      <c r="Y74" s="40"/>
      <c r="Z74" s="40"/>
      <c r="AA74" s="40"/>
      <c r="AB74" s="40"/>
      <c r="AC74" s="40"/>
      <c r="AD74" s="40"/>
      <c r="AE74" s="40"/>
      <c r="AF74" s="40"/>
      <c r="AG74" s="40"/>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row>
    <row r="75" spans="2:66" x14ac:dyDescent="0.55000000000000004">
      <c r="B75" s="126" t="s">
        <v>417</v>
      </c>
      <c r="C75" s="38" t="s">
        <v>409</v>
      </c>
      <c r="D75" s="38">
        <f>COUNTIF('PF100'!V10:V109,"PWM0_H_0")</f>
        <v>0</v>
      </c>
      <c r="E75" s="38">
        <f>COUNTIF('PF100'!V10:V109,"PWM0_H_1")</f>
        <v>0</v>
      </c>
      <c r="F75" s="38">
        <f>COUNTIF('PF100'!V10:V109,"PWM0_H_2")</f>
        <v>0</v>
      </c>
      <c r="G75" s="38">
        <f>COUNTIF('PF100'!V10:V109,"PWM0_H_3")</f>
        <v>0</v>
      </c>
      <c r="H75" s="38">
        <f>COUNTIF('PF100'!V10:V109,"PWM0_H_4")</f>
        <v>0</v>
      </c>
      <c r="I75" s="38">
        <f>COUNTIF('PF100'!V10:V109,"PWM0_H_5")</f>
        <v>0</v>
      </c>
      <c r="J75" s="38">
        <f>COUNTIF('PF100'!V10:V109,"PWM0_H_6")</f>
        <v>0</v>
      </c>
      <c r="K75" s="38">
        <f>COUNTIF('PF100'!V10:V109,"PWM0_H_7")</f>
        <v>0</v>
      </c>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row>
    <row r="76" spans="2:66" x14ac:dyDescent="0.55000000000000004">
      <c r="B76" s="127"/>
      <c r="C76" s="38" t="s">
        <v>412</v>
      </c>
      <c r="D76" s="38">
        <f>COUNTIF('PF100'!V10:V109,"PWM0_H_0_N")</f>
        <v>0</v>
      </c>
      <c r="E76" s="38">
        <f>COUNTIF('PF100'!V10:V109,"PWM0_H_1_N")</f>
        <v>0</v>
      </c>
      <c r="F76" s="38">
        <f>COUNTIF('PF100'!V10:V109,"PWM0_H_2_N")</f>
        <v>0</v>
      </c>
      <c r="G76" s="38">
        <f>COUNTIF('PF100'!V10:V109,"PWM0_H_3_N")</f>
        <v>0</v>
      </c>
      <c r="H76" s="38">
        <f>COUNTIF('PF100'!V10:V109,"PWM0_H_4_N")</f>
        <v>0</v>
      </c>
      <c r="I76" s="38">
        <f>COUNTIF('PF100'!V10:V109,"PWM0_H_5_N")</f>
        <v>0</v>
      </c>
      <c r="J76" s="38">
        <f>COUNTIF('PF100'!V10:V109,"PWM0_H_6_N")</f>
        <v>0</v>
      </c>
      <c r="K76" s="38">
        <f>COUNTIF('PF100'!V10:V109,"PWM0_H_7_N")</f>
        <v>0</v>
      </c>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row>
    <row r="77" spans="2:66" x14ac:dyDescent="0.55000000000000004">
      <c r="B77" s="126" t="s">
        <v>418</v>
      </c>
      <c r="C77" s="38" t="s">
        <v>410</v>
      </c>
      <c r="D77" s="38">
        <f>COUNTIF('PF100'!V10:V109,"TC0_H_0_TR0")</f>
        <v>0</v>
      </c>
      <c r="E77" s="38">
        <f>COUNTIF('PF100'!V10:V109,"TC0_H_1_TR0")</f>
        <v>0</v>
      </c>
      <c r="F77" s="38">
        <f>COUNTIF('PF100'!V10:V109,"TC0_H_2_TR0")</f>
        <v>0</v>
      </c>
      <c r="G77" s="38">
        <f>COUNTIF('PF100'!V10:V109,"TC0_H_3_TR0")</f>
        <v>0</v>
      </c>
      <c r="H77" s="38">
        <f>COUNTIF('PF100'!V10:V109,"TC0_H_4_TR0")</f>
        <v>0</v>
      </c>
      <c r="I77" s="38">
        <f>COUNTIF('PF100'!V10:V109,"TC0_H_5_TR0")</f>
        <v>0</v>
      </c>
      <c r="J77" s="38">
        <f>COUNTIF('PF100'!V10:V109,"TC0_H_6_TR0")</f>
        <v>0</v>
      </c>
      <c r="K77" s="38">
        <f>COUNTIF('PF100'!V10:V109,"TC0_H_7_TR0")</f>
        <v>0</v>
      </c>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row>
    <row r="78" spans="2:66" x14ac:dyDescent="0.55000000000000004">
      <c r="B78" s="127"/>
      <c r="C78" s="38" t="s">
        <v>411</v>
      </c>
      <c r="D78" s="38">
        <f>COUNTIF('PF100'!V10:V109,"TC0_H_0_TR1")</f>
        <v>0</v>
      </c>
      <c r="E78" s="38">
        <f>COUNTIF('PF100'!V10:V109,"TC0_H_1_TR1")</f>
        <v>0</v>
      </c>
      <c r="F78" s="38">
        <f>COUNTIF('PF100'!V10:V109,"TC0_H_2_TR1")</f>
        <v>0</v>
      </c>
      <c r="G78" s="38">
        <f>COUNTIF('PF100'!V10:V109,"TC0_H_3_TR1")</f>
        <v>0</v>
      </c>
      <c r="H78" s="38">
        <f>COUNTIF('PF100'!V10:V109,"TC0_H_4_TR1")</f>
        <v>0</v>
      </c>
      <c r="I78" s="38">
        <f>COUNTIF('PF100'!V10:V109,"TC0_H_5_TR1")</f>
        <v>0</v>
      </c>
      <c r="J78" s="38">
        <f>COUNTIF('PF100'!V10:V109,"TC0_H_6_TR1")</f>
        <v>0</v>
      </c>
      <c r="K78" s="38">
        <f>COUNTIF('PF100'!V10:V109,"TC0_H_7_TR1")</f>
        <v>0</v>
      </c>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row>
    <row r="79" spans="2:66" ht="10" customHeight="1" x14ac:dyDescent="0.55000000000000004"/>
    <row r="81" spans="2:6" x14ac:dyDescent="0.55000000000000004">
      <c r="B81" s="128" t="s">
        <v>405</v>
      </c>
      <c r="C81" s="129"/>
      <c r="D81" s="37" t="s">
        <v>406</v>
      </c>
      <c r="E81" s="37" t="s">
        <v>407</v>
      </c>
      <c r="F81" s="37" t="s">
        <v>408</v>
      </c>
    </row>
    <row r="82" spans="2:6" x14ac:dyDescent="0.55000000000000004">
      <c r="B82" s="123" t="s">
        <v>398</v>
      </c>
      <c r="C82" s="38" t="s">
        <v>486</v>
      </c>
      <c r="D82" s="38">
        <f>COUNTIF('PF100'!V10:V109,"ADC[0]_0")</f>
        <v>0</v>
      </c>
      <c r="E82" s="38">
        <f>COUNTIF('PF100'!V10:V109,"ADC[1]_0")</f>
        <v>0</v>
      </c>
      <c r="F82" s="38">
        <f>COUNTIF('PF100'!V10:V109,"ADC[2]_0")</f>
        <v>0</v>
      </c>
    </row>
    <row r="83" spans="2:6" x14ac:dyDescent="0.55000000000000004">
      <c r="B83" s="124"/>
      <c r="C83" s="38" t="s">
        <v>487</v>
      </c>
      <c r="D83" s="38">
        <f>COUNTIF('PF100'!V10:V109,"ADC[0]_1")</f>
        <v>0</v>
      </c>
      <c r="E83" s="38">
        <f>COUNTIF('PF100'!V10:V109,"ADC[1]_1")</f>
        <v>0</v>
      </c>
      <c r="F83" s="38">
        <f>COUNTIF('PF100'!V10:V109,"ADC[2]_1")</f>
        <v>0</v>
      </c>
    </row>
    <row r="84" spans="2:6" x14ac:dyDescent="0.55000000000000004">
      <c r="B84" s="124"/>
      <c r="C84" s="38" t="s">
        <v>488</v>
      </c>
      <c r="D84" s="38">
        <f>COUNTIF('PF100'!V10:V109,"ADC[0]_2")</f>
        <v>0</v>
      </c>
      <c r="E84" s="38">
        <f>COUNTIF('PF100'!V10:V109,"ADC[1]_2")</f>
        <v>0</v>
      </c>
      <c r="F84" s="38">
        <f>COUNTIF('PF100'!V10:V109,"ADC[2]_2")</f>
        <v>0</v>
      </c>
    </row>
    <row r="85" spans="2:6" x14ac:dyDescent="0.55000000000000004">
      <c r="B85" s="124"/>
      <c r="C85" s="38" t="s">
        <v>489</v>
      </c>
      <c r="D85" s="38">
        <f>COUNTIF('PF100'!V10:V109,"ADC[0]_3")</f>
        <v>0</v>
      </c>
      <c r="E85" s="38">
        <f>COUNTIF('PF100'!V10:V109,"ADC[1]_3")</f>
        <v>0</v>
      </c>
      <c r="F85" s="38">
        <f>COUNTIF('PF100'!V10:V109,"ADC[2]_3")</f>
        <v>0</v>
      </c>
    </row>
    <row r="86" spans="2:6" x14ac:dyDescent="0.55000000000000004">
      <c r="B86" s="124"/>
      <c r="C86" s="38" t="s">
        <v>490</v>
      </c>
      <c r="D86" s="38">
        <f>COUNTIF('PF100'!V10:V109,"ADC[0]_4")</f>
        <v>0</v>
      </c>
      <c r="E86" s="38">
        <f>COUNTIF('PF100'!V10:V109,"ADC[1]_4")</f>
        <v>0</v>
      </c>
      <c r="F86" s="38">
        <f>COUNTIF('PF100'!V10:V109,"ADC[2]_4")</f>
        <v>0</v>
      </c>
    </row>
    <row r="87" spans="2:6" x14ac:dyDescent="0.55000000000000004">
      <c r="B87" s="124"/>
      <c r="C87" s="38" t="s">
        <v>491</v>
      </c>
      <c r="D87" s="38">
        <f>COUNTIF('PF100'!V10:V109,"ADC[0]_5")</f>
        <v>0</v>
      </c>
      <c r="E87" s="38">
        <f>COUNTIF('PF100'!V10:V109,"ADC[1]_5")</f>
        <v>0</v>
      </c>
      <c r="F87" s="38">
        <f>COUNTIF('PF100'!V10:V109,"ADC[2]_5")</f>
        <v>0</v>
      </c>
    </row>
    <row r="88" spans="2:6" x14ac:dyDescent="0.55000000000000004">
      <c r="B88" s="124"/>
      <c r="C88" s="38" t="s">
        <v>492</v>
      </c>
      <c r="D88" s="38">
        <f>COUNTIF('PF100'!V10:V109,"ADC[0]_6")</f>
        <v>0</v>
      </c>
      <c r="E88" s="38">
        <f>COUNTIF('PF100'!V10:V109,"ADC[1]_6")</f>
        <v>0</v>
      </c>
      <c r="F88" s="38">
        <f>COUNTIF('PF100'!V10:V109,"ADC[2]_6")</f>
        <v>0</v>
      </c>
    </row>
    <row r="89" spans="2:6" x14ac:dyDescent="0.55000000000000004">
      <c r="B89" s="124"/>
      <c r="C89" s="38" t="s">
        <v>493</v>
      </c>
      <c r="D89" s="38">
        <f>COUNTIF('PF100'!V10:V109,"ADC[0]_7")</f>
        <v>0</v>
      </c>
      <c r="E89" s="38">
        <f>COUNTIF('PF100'!V10:V109,"ADC[1]_7")</f>
        <v>0</v>
      </c>
      <c r="F89" s="38">
        <f>COUNTIF('PF100'!V10:V109,"ADC[2]_7")</f>
        <v>0</v>
      </c>
    </row>
    <row r="90" spans="2:6" x14ac:dyDescent="0.55000000000000004">
      <c r="B90" s="124"/>
      <c r="C90" s="38" t="s">
        <v>494</v>
      </c>
      <c r="D90" s="38">
        <f>COUNTIF('PF100'!V10:V109,"ADC[0]_8")</f>
        <v>0</v>
      </c>
      <c r="E90" s="38">
        <f>COUNTIF('PF100'!V10:V109,"ADC[1]_8")</f>
        <v>0</v>
      </c>
      <c r="F90" s="38">
        <f>COUNTIF('PF100'!V10:V109,"ADC[2]_8")</f>
        <v>0</v>
      </c>
    </row>
    <row r="91" spans="2:6" x14ac:dyDescent="0.55000000000000004">
      <c r="B91" s="124"/>
      <c r="C91" s="38" t="s">
        <v>495</v>
      </c>
      <c r="D91" s="38">
        <f>COUNTIF('PF100'!V10:V109,"ADC[0]_9")</f>
        <v>0</v>
      </c>
      <c r="E91" s="38">
        <f>COUNTIF('PF100'!V10:V109,"ADC[1]_9")</f>
        <v>0</v>
      </c>
      <c r="F91" s="38">
        <f>COUNTIF('PF100'!V10:V109,"ADC[2]_9")</f>
        <v>0</v>
      </c>
    </row>
    <row r="92" spans="2:6" x14ac:dyDescent="0.55000000000000004">
      <c r="B92" s="124"/>
      <c r="C92" s="38" t="s">
        <v>496</v>
      </c>
      <c r="D92" s="38">
        <f>COUNTIF('PF100'!V10:V109,"ADC[0]_10")</f>
        <v>0</v>
      </c>
      <c r="E92" s="38">
        <f>COUNTIF('PF100'!V10:V109,"ADC[1]_10")</f>
        <v>0</v>
      </c>
      <c r="F92" s="38">
        <f>COUNTIF('PF100'!V10:V109,"ADC[2]_10")</f>
        <v>0</v>
      </c>
    </row>
    <row r="93" spans="2:6" x14ac:dyDescent="0.55000000000000004">
      <c r="B93" s="124"/>
      <c r="C93" s="38" t="s">
        <v>497</v>
      </c>
      <c r="D93" s="38">
        <f>COUNTIF('PF100'!V10:V109,"ADC[0]_11")</f>
        <v>0</v>
      </c>
      <c r="E93" s="38">
        <f>COUNTIF('PF100'!V10:V109,"ADC[1]_11")</f>
        <v>0</v>
      </c>
      <c r="F93" s="38">
        <f>COUNTIF('PF100'!V10:V109,"ADC[2]_11")</f>
        <v>0</v>
      </c>
    </row>
    <row r="94" spans="2:6" x14ac:dyDescent="0.55000000000000004">
      <c r="B94" s="124"/>
      <c r="C94" s="38" t="s">
        <v>498</v>
      </c>
      <c r="D94" s="38">
        <f>COUNTIF('PF100'!V10:V109,"ADC[0]_12")</f>
        <v>0</v>
      </c>
      <c r="E94" s="38">
        <f>COUNTIF('PF100'!V10:V109,"ADC[1]_12")</f>
        <v>0</v>
      </c>
      <c r="F94" s="38">
        <f>COUNTIF('PF100'!V10:V109,"ADC[2]_12")</f>
        <v>0</v>
      </c>
    </row>
    <row r="95" spans="2:6" x14ac:dyDescent="0.55000000000000004">
      <c r="B95" s="124"/>
      <c r="C95" s="38" t="s">
        <v>499</v>
      </c>
      <c r="D95" s="38">
        <f>COUNTIF('PF100'!V10:V109,"ADC[0]_13")</f>
        <v>0</v>
      </c>
      <c r="E95" s="38">
        <f>COUNTIF('PF100'!V10:V109,"ADC[1]_13")</f>
        <v>0</v>
      </c>
      <c r="F95" s="38">
        <f>COUNTIF('PF100'!V10:V109,"ADC[2]_13")</f>
        <v>0</v>
      </c>
    </row>
    <row r="96" spans="2:6" x14ac:dyDescent="0.55000000000000004">
      <c r="B96" s="124"/>
      <c r="C96" s="38" t="s">
        <v>500</v>
      </c>
      <c r="D96" s="38">
        <f>COUNTIF('PF100'!V10:V109,"ADC[0]_14")</f>
        <v>0</v>
      </c>
      <c r="E96" s="38">
        <f>COUNTIF('PF100'!V10:V109,"ADC[1]_14")</f>
        <v>0</v>
      </c>
      <c r="F96" s="38">
        <f>COUNTIF('PF100'!V10:V109,"ADC[2]_14")</f>
        <v>0</v>
      </c>
    </row>
    <row r="97" spans="2:6" x14ac:dyDescent="0.55000000000000004">
      <c r="B97" s="124"/>
      <c r="C97" s="38" t="s">
        <v>501</v>
      </c>
      <c r="D97" s="38">
        <f>COUNTIF('PF100'!V10:V109,"ADC[0]_15")</f>
        <v>0</v>
      </c>
      <c r="E97" s="38">
        <f>COUNTIF('PF100'!V10:V109,"ADC[1]_15")</f>
        <v>0</v>
      </c>
      <c r="F97" s="38">
        <f>COUNTIF('PF100'!V10:V109,"ADC[2]_15")</f>
        <v>0</v>
      </c>
    </row>
    <row r="98" spans="2:6" x14ac:dyDescent="0.55000000000000004">
      <c r="B98" s="124"/>
      <c r="C98" s="38" t="s">
        <v>502</v>
      </c>
      <c r="D98" s="38">
        <f>COUNTIF('PF100'!V10:V109,"ADC[0]_16")</f>
        <v>0</v>
      </c>
      <c r="E98" s="38">
        <f>COUNTIF('PF100'!V10:V109,"ADC[1]_16")</f>
        <v>0</v>
      </c>
      <c r="F98" s="38">
        <f>COUNTIF('PF100'!V10:V109,"ADC[2]_16")</f>
        <v>0</v>
      </c>
    </row>
    <row r="99" spans="2:6" x14ac:dyDescent="0.55000000000000004">
      <c r="B99" s="124"/>
      <c r="C99" s="38" t="s">
        <v>503</v>
      </c>
      <c r="D99" s="38">
        <f>COUNTIF('PF100'!V10:V109,"ADC[0]_17")</f>
        <v>0</v>
      </c>
      <c r="E99" s="38">
        <f>COUNTIF('PF100'!V10:V109,"ADC[1]_17")</f>
        <v>0</v>
      </c>
      <c r="F99" s="38">
        <f>COUNTIF('PF100'!V10:V109,"ADC[2]_17")</f>
        <v>0</v>
      </c>
    </row>
    <row r="100" spans="2:6" x14ac:dyDescent="0.55000000000000004">
      <c r="B100" s="124"/>
      <c r="C100" s="38" t="s">
        <v>504</v>
      </c>
      <c r="D100" s="38">
        <f>COUNTIF('PF100'!V10:V109,"ADC[0]_18")</f>
        <v>0</v>
      </c>
      <c r="E100" s="38">
        <f>COUNTIF('PF100'!V10:V109,"ADC[1]_18")</f>
        <v>0</v>
      </c>
      <c r="F100" s="38">
        <f>COUNTIF('PF100'!V10:V109,"ADC[2]_18")</f>
        <v>0</v>
      </c>
    </row>
    <row r="101" spans="2:6" x14ac:dyDescent="0.55000000000000004">
      <c r="B101" s="124"/>
      <c r="C101" s="38" t="s">
        <v>505</v>
      </c>
      <c r="D101" s="38">
        <f>COUNTIF('PF100'!V10:V109,"ADC[0]_19")</f>
        <v>0</v>
      </c>
      <c r="E101" s="38">
        <f>COUNTIF('PF100'!V10:V109,"ADC[1]_19")</f>
        <v>0</v>
      </c>
      <c r="F101" s="38">
        <f>COUNTIF('PF100'!V10:V109,"ADC[2]_19")</f>
        <v>0</v>
      </c>
    </row>
    <row r="102" spans="2:6" x14ac:dyDescent="0.55000000000000004">
      <c r="B102" s="124"/>
      <c r="C102" s="38" t="s">
        <v>506</v>
      </c>
      <c r="D102" s="38">
        <f>COUNTIF('PF100'!V10:V109,"ADC[0]_20")</f>
        <v>0</v>
      </c>
      <c r="E102" s="38">
        <f>COUNTIF('PF100'!V10:V109,"ADC[1]_20")</f>
        <v>0</v>
      </c>
      <c r="F102" s="38">
        <f>COUNTIF('PF100'!V10:V109,"ADC[2]_20")</f>
        <v>0</v>
      </c>
    </row>
    <row r="103" spans="2:6" x14ac:dyDescent="0.55000000000000004">
      <c r="B103" s="124"/>
      <c r="C103" s="38" t="s">
        <v>507</v>
      </c>
      <c r="D103" s="38">
        <f>COUNTIF('PF100'!V10:V109,"ADC[0]_21")</f>
        <v>0</v>
      </c>
      <c r="E103" s="38">
        <f>COUNTIF('PF100'!V10:V109,"ADC[1]_21")</f>
        <v>0</v>
      </c>
      <c r="F103" s="38">
        <f>COUNTIF('PF100'!V10:V109,"ADC[2]_21")</f>
        <v>0</v>
      </c>
    </row>
    <row r="104" spans="2:6" x14ac:dyDescent="0.55000000000000004">
      <c r="B104" s="124"/>
      <c r="C104" s="38" t="s">
        <v>508</v>
      </c>
      <c r="D104" s="38">
        <f>COUNTIF('PF100'!V10:V109,"ADC[0]_22")</f>
        <v>0</v>
      </c>
      <c r="E104" s="38">
        <f>COUNTIF('PF100'!V10:V109,"ADC[1]_22")</f>
        <v>0</v>
      </c>
      <c r="F104" s="38">
        <f>COUNTIF('PF100'!V10:V109,"ADC[2]_22")</f>
        <v>0</v>
      </c>
    </row>
    <row r="105" spans="2:6" x14ac:dyDescent="0.55000000000000004">
      <c r="B105" s="124"/>
      <c r="C105" s="38" t="s">
        <v>509</v>
      </c>
      <c r="D105" s="38">
        <f>COUNTIF('PF100'!V10:V109,"ADC[0]_23")</f>
        <v>0</v>
      </c>
      <c r="E105" s="38">
        <f>COUNTIF('PF100'!V10:V109,"ADC[1]_23")</f>
        <v>0</v>
      </c>
      <c r="F105" s="38">
        <f>COUNTIF('PF100'!V10:V109,"ADC[2]_23")</f>
        <v>0</v>
      </c>
    </row>
    <row r="106" spans="2:6" x14ac:dyDescent="0.55000000000000004">
      <c r="B106" s="124"/>
      <c r="C106" s="38" t="s">
        <v>510</v>
      </c>
      <c r="D106" s="38">
        <f>COUNTIF('PF100'!V10:V109,"ADC[0]_24")</f>
        <v>0</v>
      </c>
      <c r="E106" s="38">
        <f>COUNTIF('PF100'!V10:V109,"ADC[1]_24")</f>
        <v>0</v>
      </c>
      <c r="F106" s="38">
        <f>COUNTIF('PF100'!V10:V109,"ADC[2]_24")</f>
        <v>0</v>
      </c>
    </row>
    <row r="107" spans="2:6" x14ac:dyDescent="0.55000000000000004">
      <c r="B107" s="124"/>
      <c r="C107" s="38" t="s">
        <v>511</v>
      </c>
      <c r="D107" s="38">
        <f>COUNTIF('PF100'!V10:V109,"ADC[0]_25")</f>
        <v>0</v>
      </c>
      <c r="E107" s="38">
        <f>COUNTIF('PF100'!V10:V109,"ADC[1]_25")</f>
        <v>0</v>
      </c>
      <c r="F107" s="38">
        <f>COUNTIF('PF100'!V10:V109,"ADC[2]_25")</f>
        <v>0</v>
      </c>
    </row>
    <row r="108" spans="2:6" x14ac:dyDescent="0.55000000000000004">
      <c r="B108" s="124"/>
      <c r="C108" s="38" t="s">
        <v>512</v>
      </c>
      <c r="D108" s="38">
        <f>COUNTIF('PF100'!V10:V109,"ADC[0]_26")</f>
        <v>0</v>
      </c>
      <c r="E108" s="38">
        <f>COUNTIF('PF100'!V10:V109,"ADC[1]_26")</f>
        <v>0</v>
      </c>
      <c r="F108" s="38">
        <f>COUNTIF('PF100'!V10:V109,"ADC[2]_26")</f>
        <v>0</v>
      </c>
    </row>
    <row r="109" spans="2:6" x14ac:dyDescent="0.55000000000000004">
      <c r="B109" s="124"/>
      <c r="C109" s="38" t="s">
        <v>513</v>
      </c>
      <c r="D109" s="38">
        <f>COUNTIF('PF100'!V10:V109,"ADC[0]_27")</f>
        <v>0</v>
      </c>
      <c r="E109" s="38">
        <f>COUNTIF('PF100'!V10:V109,"ADC[1]_27")</f>
        <v>0</v>
      </c>
      <c r="F109" s="38">
        <f>COUNTIF('PF100'!V10:V109,"ADC[2]_27")</f>
        <v>0</v>
      </c>
    </row>
    <row r="110" spans="2:6" x14ac:dyDescent="0.55000000000000004">
      <c r="B110" s="124"/>
      <c r="C110" s="38" t="s">
        <v>514</v>
      </c>
      <c r="D110" s="38">
        <f>COUNTIF('PF100'!V10:V109,"ADC[0]_28")</f>
        <v>0</v>
      </c>
      <c r="E110" s="38">
        <f>COUNTIF('PF100'!V10:V109,"ADC[1]_28")</f>
        <v>0</v>
      </c>
      <c r="F110" s="38">
        <f>COUNTIF('PF100'!V10:V109,"ADC[2]_28")</f>
        <v>0</v>
      </c>
    </row>
    <row r="111" spans="2:6" x14ac:dyDescent="0.55000000000000004">
      <c r="B111" s="124"/>
      <c r="C111" s="38" t="s">
        <v>515</v>
      </c>
      <c r="D111" s="38">
        <f>COUNTIF('PF100'!V10:V109,"ADC[0]_29")</f>
        <v>0</v>
      </c>
      <c r="E111" s="38">
        <f>COUNTIF('PF100'!V10:V109,"ADC[1]_29")</f>
        <v>0</v>
      </c>
      <c r="F111" s="38">
        <f>COUNTIF('PF100'!V10:V109,"ADC[2]_29")</f>
        <v>0</v>
      </c>
    </row>
    <row r="112" spans="2:6" x14ac:dyDescent="0.55000000000000004">
      <c r="B112" s="124"/>
      <c r="C112" s="38" t="s">
        <v>516</v>
      </c>
      <c r="D112" s="38">
        <f>COUNTIF('PF100'!V10:V109,"ADC[0]_30")</f>
        <v>0</v>
      </c>
      <c r="E112" s="38">
        <f>COUNTIF('PF100'!V10:V109,"ADC[1]_30")</f>
        <v>0</v>
      </c>
      <c r="F112" s="38">
        <f>COUNTIF('PF100'!V10:V109,"ADC[2]_30")</f>
        <v>0</v>
      </c>
    </row>
    <row r="113" spans="2:7" x14ac:dyDescent="0.55000000000000004">
      <c r="B113" s="130"/>
      <c r="C113" s="38" t="s">
        <v>517</v>
      </c>
      <c r="D113" s="38">
        <f>COUNTIF('PF100'!V10:V109,"ADC[0]_31")</f>
        <v>0</v>
      </c>
      <c r="E113" s="38">
        <f>COUNTIF('PF100'!V10:V109,"ADC[1]_31")</f>
        <v>0</v>
      </c>
      <c r="F113" s="38">
        <f>COUNTIF('PF100'!V10:V109,"ADC[2]_31")</f>
        <v>0</v>
      </c>
    </row>
    <row r="114" spans="2:7" ht="20" x14ac:dyDescent="0.55000000000000004">
      <c r="B114" s="62" t="s">
        <v>518</v>
      </c>
      <c r="C114" s="63" t="s">
        <v>419</v>
      </c>
      <c r="D114" s="38">
        <f>COUNTIF('PF100'!V10:V109,"ADC[0]_M")</f>
        <v>0</v>
      </c>
      <c r="E114" s="38">
        <f>COUNTIF('PF100'!V10:V109,"ADC[1]_M")</f>
        <v>0</v>
      </c>
      <c r="F114" s="38">
        <f>COUNTIF('PF100'!V10:V109,"ADC[2]_M")</f>
        <v>0</v>
      </c>
    </row>
    <row r="117" spans="2:7" x14ac:dyDescent="0.55000000000000004">
      <c r="B117" s="128" t="s">
        <v>1201</v>
      </c>
      <c r="C117" s="129"/>
      <c r="D117" s="37" t="s">
        <v>1203</v>
      </c>
      <c r="E117" s="37" t="s">
        <v>1204</v>
      </c>
      <c r="F117" s="37" t="s">
        <v>1205</v>
      </c>
      <c r="G117" s="37" t="s">
        <v>1207</v>
      </c>
    </row>
    <row r="118" spans="2:7" x14ac:dyDescent="0.55000000000000004">
      <c r="B118" s="123" t="s">
        <v>398</v>
      </c>
      <c r="C118" s="38" t="s">
        <v>386</v>
      </c>
      <c r="D118" s="38">
        <f>COUNTIF('PF100'!V10:V109,"CXPI0_RX")</f>
        <v>0</v>
      </c>
      <c r="E118" s="38">
        <f>COUNTIF('PF100'!V10:V109,"CXPI1_RX")</f>
        <v>0</v>
      </c>
      <c r="F118" s="38">
        <f>COUNTIF('PF100'!V10:V109,"CXPI2_RX")</f>
        <v>0</v>
      </c>
      <c r="G118" s="38">
        <f>COUNTIF('PF100'!V10:V109,"CXPI3_RX")</f>
        <v>0</v>
      </c>
    </row>
    <row r="119" spans="2:7" x14ac:dyDescent="0.55000000000000004">
      <c r="B119" s="124"/>
      <c r="C119" s="38" t="s">
        <v>385</v>
      </c>
      <c r="D119" s="38">
        <f>COUNTIF('PF100'!V10:V109,"CXPI0_TX")</f>
        <v>0</v>
      </c>
      <c r="E119" s="38">
        <f>COUNTIF('PF100'!V10:V109,"CXPI1_TX")</f>
        <v>0</v>
      </c>
      <c r="F119" s="38">
        <f>COUNTIF('PF100'!V10:V109,"CXPI2_TX")</f>
        <v>0</v>
      </c>
      <c r="G119" s="38">
        <f>COUNTIF('PF100'!V10:V109,"CXPI3_TX")</f>
        <v>0</v>
      </c>
    </row>
    <row r="120" spans="2:7" x14ac:dyDescent="0.55000000000000004">
      <c r="B120" s="125"/>
      <c r="C120" s="38" t="s">
        <v>1202</v>
      </c>
      <c r="D120" s="38">
        <f>COUNTIF('PF100'!V10:V109,"CXPI0_EN")</f>
        <v>0</v>
      </c>
      <c r="E120" s="38">
        <f>COUNTIF('PF100'!V10:V109,"CXPI1_EN")</f>
        <v>0</v>
      </c>
      <c r="F120" s="38">
        <f>COUNTIF('PF100'!V10:V109,"CXPI2_EN")</f>
        <v>0</v>
      </c>
      <c r="G120" s="38">
        <f>COUNTIF('PF100'!V10:V109,"CXPI3_EN")</f>
        <v>0</v>
      </c>
    </row>
    <row r="131" spans="2:21" ht="14.5" x14ac:dyDescent="0.35">
      <c r="B131" s="118" t="s">
        <v>1216</v>
      </c>
      <c r="C131" s="118"/>
      <c r="D131" s="118"/>
      <c r="E131" s="118"/>
      <c r="F131" s="118"/>
      <c r="G131" s="118"/>
      <c r="H131" s="118"/>
      <c r="I131" s="118"/>
      <c r="J131" s="118"/>
      <c r="K131" s="118"/>
      <c r="L131" s="118"/>
      <c r="M131" s="118"/>
      <c r="N131" s="118"/>
      <c r="O131" s="118"/>
      <c r="P131" s="118"/>
      <c r="Q131" s="118"/>
      <c r="R131" s="118"/>
      <c r="S131" s="118"/>
      <c r="T131" s="118"/>
      <c r="U131" s="118"/>
    </row>
    <row r="132" spans="2:21" ht="172" customHeight="1" x14ac:dyDescent="0.55000000000000004">
      <c r="B132" s="119" t="s">
        <v>1217</v>
      </c>
      <c r="C132" s="119"/>
      <c r="D132" s="119"/>
      <c r="E132" s="119"/>
      <c r="F132" s="119"/>
      <c r="G132" s="119"/>
      <c r="H132" s="119"/>
      <c r="I132" s="119"/>
      <c r="J132" s="119"/>
      <c r="K132" s="119"/>
      <c r="L132" s="119"/>
      <c r="M132" s="119"/>
      <c r="N132" s="119"/>
      <c r="O132" s="119"/>
      <c r="P132" s="119"/>
      <c r="Q132" s="119"/>
      <c r="R132" s="119"/>
      <c r="S132" s="119"/>
      <c r="T132" s="119"/>
      <c r="U132" s="119"/>
    </row>
  </sheetData>
  <sheetProtection algorithmName="SHA-512" hashValue="1lSD/SlEbOK/jqO4APIwyBsZYGuT/oyMdMF8mV8RxLmF8be97ggBJShSJYJhXA4neZpu4SmhFVYGSp6Vhc1/WQ==" saltValue="S0jclCvkRx857PUzU8QN/g==" spinCount="100000" sheet="1" objects="1" scenarios="1" formatCells="0" formatColumns="0" formatRows="0" insertColumns="0" insertRows="0" insertHyperlinks="0" deleteColumns="0" deleteRows="0" selectLockedCells="1" sort="0" autoFilter="0" pivotTables="0"/>
  <mergeCells count="25">
    <mergeCell ref="B131:U131"/>
    <mergeCell ref="B132:U132"/>
    <mergeCell ref="B82:B113"/>
    <mergeCell ref="B65:B66"/>
    <mergeCell ref="B68:C68"/>
    <mergeCell ref="B69:B70"/>
    <mergeCell ref="B71:B72"/>
    <mergeCell ref="B74:C74"/>
    <mergeCell ref="B75:B76"/>
    <mergeCell ref="B117:C117"/>
    <mergeCell ref="B118:B120"/>
    <mergeCell ref="B77:B78"/>
    <mergeCell ref="B81:C81"/>
    <mergeCell ref="B63:B64"/>
    <mergeCell ref="B7:C7"/>
    <mergeCell ref="B8:B9"/>
    <mergeCell ref="B11:C11"/>
    <mergeCell ref="B12:B13"/>
    <mergeCell ref="B16:C16"/>
    <mergeCell ref="B17:B19"/>
    <mergeCell ref="B22:C22"/>
    <mergeCell ref="B62:C62"/>
    <mergeCell ref="B23:B36"/>
    <mergeCell ref="B37:B44"/>
    <mergeCell ref="B45:B50"/>
  </mergeCells>
  <phoneticPr fontId="3"/>
  <conditionalFormatting sqref="D17:K20">
    <cfRule type="cellIs" dxfId="216" priority="139" operator="greaterThanOrEqual">
      <formula>2</formula>
    </cfRule>
    <cfRule type="cellIs" dxfId="215" priority="153" operator="notEqual">
      <formula>0</formula>
    </cfRule>
  </conditionalFormatting>
  <conditionalFormatting sqref="D8:F9">
    <cfRule type="cellIs" dxfId="214" priority="141" operator="greaterThanOrEqual">
      <formula>2</formula>
    </cfRule>
    <cfRule type="cellIs" dxfId="213" priority="146" operator="notEqual">
      <formula>0</formula>
    </cfRule>
  </conditionalFormatting>
  <conditionalFormatting sqref="D12:F14">
    <cfRule type="cellIs" dxfId="212" priority="140" operator="greaterThanOrEqual">
      <formula>2</formula>
    </cfRule>
    <cfRule type="cellIs" dxfId="211" priority="145" operator="notEqual">
      <formula>0</formula>
    </cfRule>
  </conditionalFormatting>
  <conditionalFormatting sqref="D75:K78">
    <cfRule type="cellIs" dxfId="210" priority="136" operator="greaterThanOrEqual">
      <formula>2</formula>
    </cfRule>
    <cfRule type="cellIs" dxfId="209" priority="137" operator="notEqual">
      <formula>0</formula>
    </cfRule>
  </conditionalFormatting>
  <conditionalFormatting sqref="D69:O72">
    <cfRule type="cellIs" dxfId="208" priority="134" operator="greaterThanOrEqual">
      <formula>2</formula>
    </cfRule>
    <cfRule type="cellIs" dxfId="207" priority="135" operator="notEqual">
      <formula>0</formula>
    </cfRule>
  </conditionalFormatting>
  <conditionalFormatting sqref="D63:BN66">
    <cfRule type="cellIs" dxfId="206" priority="132" operator="greaterThanOrEqual">
      <formula>2</formula>
    </cfRule>
    <cfRule type="cellIs" dxfId="205" priority="133" operator="notEqual">
      <formula>0</formula>
    </cfRule>
  </conditionalFormatting>
  <conditionalFormatting sqref="D82:F114">
    <cfRule type="cellIs" dxfId="204" priority="130" operator="greaterThanOrEqual">
      <formula>2</formula>
    </cfRule>
    <cfRule type="cellIs" dxfId="203" priority="131" operator="notEqual">
      <formula>0</formula>
    </cfRule>
  </conditionalFormatting>
  <conditionalFormatting sqref="D23:K23">
    <cfRule type="cellIs" dxfId="202" priority="45" operator="greaterThanOrEqual">
      <formula>2</formula>
    </cfRule>
    <cfRule type="cellIs" dxfId="201" priority="46" operator="notEqual">
      <formula>0</formula>
    </cfRule>
  </conditionalFormatting>
  <conditionalFormatting sqref="D37:K37">
    <cfRule type="cellIs" dxfId="200" priority="43" operator="greaterThanOrEqual">
      <formula>2</formula>
    </cfRule>
    <cfRule type="cellIs" dxfId="199" priority="44" operator="notEqual">
      <formula>0</formula>
    </cfRule>
  </conditionalFormatting>
  <conditionalFormatting sqref="D38:K38">
    <cfRule type="cellIs" dxfId="198" priority="41" operator="greaterThanOrEqual">
      <formula>2</formula>
    </cfRule>
    <cfRule type="cellIs" dxfId="197" priority="42" operator="notEqual">
      <formula>0</formula>
    </cfRule>
  </conditionalFormatting>
  <conditionalFormatting sqref="D44:K44">
    <cfRule type="cellIs" dxfId="196" priority="33" operator="greaterThanOrEqual">
      <formula>2</formula>
    </cfRule>
    <cfRule type="cellIs" dxfId="195" priority="34" operator="notEqual">
      <formula>0</formula>
    </cfRule>
  </conditionalFormatting>
  <conditionalFormatting sqref="D42:K42">
    <cfRule type="cellIs" dxfId="194" priority="35" operator="greaterThanOrEqual">
      <formula>2</formula>
    </cfRule>
    <cfRule type="cellIs" dxfId="193" priority="36" operator="notEqual">
      <formula>0</formula>
    </cfRule>
  </conditionalFormatting>
  <conditionalFormatting sqref="D39:K39 D41:K41 D43:K43">
    <cfRule type="cellIs" dxfId="192" priority="39" operator="greaterThanOrEqual">
      <formula>2</formula>
    </cfRule>
    <cfRule type="cellIs" dxfId="191" priority="40" operator="notEqual">
      <formula>0</formula>
    </cfRule>
  </conditionalFormatting>
  <conditionalFormatting sqref="D40:K40">
    <cfRule type="cellIs" dxfId="190" priority="37" operator="greaterThanOrEqual">
      <formula>2</formula>
    </cfRule>
    <cfRule type="cellIs" dxfId="189" priority="38" operator="notEqual">
      <formula>0</formula>
    </cfRule>
  </conditionalFormatting>
  <conditionalFormatting sqref="D45:K50">
    <cfRule type="cellIs" dxfId="188" priority="15" operator="greaterThanOrEqual">
      <formula>2</formula>
    </cfRule>
    <cfRule type="cellIs" dxfId="187" priority="16" operator="notEqual">
      <formula>0</formula>
    </cfRule>
  </conditionalFormatting>
  <conditionalFormatting sqref="D24:K24">
    <cfRule type="cellIs" dxfId="186" priority="29" operator="greaterThanOrEqual">
      <formula>2</formula>
    </cfRule>
    <cfRule type="cellIs" dxfId="185" priority="30" operator="notEqual">
      <formula>0</formula>
    </cfRule>
  </conditionalFormatting>
  <conditionalFormatting sqref="D26:K26">
    <cfRule type="cellIs" dxfId="184" priority="27" operator="greaterThanOrEqual">
      <formula>2</formula>
    </cfRule>
    <cfRule type="cellIs" dxfId="183" priority="28" operator="notEqual">
      <formula>0</formula>
    </cfRule>
  </conditionalFormatting>
  <conditionalFormatting sqref="D28:K28">
    <cfRule type="cellIs" dxfId="182" priority="25" operator="greaterThanOrEqual">
      <formula>2</formula>
    </cfRule>
    <cfRule type="cellIs" dxfId="181" priority="26" operator="notEqual">
      <formula>0</formula>
    </cfRule>
  </conditionalFormatting>
  <conditionalFormatting sqref="D30:K30">
    <cfRule type="cellIs" dxfId="180" priority="23" operator="greaterThanOrEqual">
      <formula>2</formula>
    </cfRule>
    <cfRule type="cellIs" dxfId="179" priority="24" operator="notEqual">
      <formula>0</formula>
    </cfRule>
  </conditionalFormatting>
  <conditionalFormatting sqref="D32:K32">
    <cfRule type="cellIs" dxfId="178" priority="21" operator="greaterThanOrEqual">
      <formula>2</formula>
    </cfRule>
    <cfRule type="cellIs" dxfId="177" priority="22" operator="notEqual">
      <formula>0</formula>
    </cfRule>
  </conditionalFormatting>
  <conditionalFormatting sqref="D34:K34">
    <cfRule type="cellIs" dxfId="176" priority="19" operator="greaterThanOrEqual">
      <formula>2</formula>
    </cfRule>
    <cfRule type="cellIs" dxfId="175" priority="20" operator="notEqual">
      <formula>0</formula>
    </cfRule>
  </conditionalFormatting>
  <conditionalFormatting sqref="D36:K36">
    <cfRule type="cellIs" dxfId="174" priority="17" operator="greaterThanOrEqual">
      <formula>2</formula>
    </cfRule>
    <cfRule type="cellIs" dxfId="173" priority="18" operator="notEqual">
      <formula>0</formula>
    </cfRule>
  </conditionalFormatting>
  <conditionalFormatting sqref="D25:K25 D27:K27 D29:K29 D31:K31 D33:K33 D35:K35">
    <cfRule type="cellIs" dxfId="172" priority="31" operator="greaterThanOrEqual">
      <formula>2</formula>
    </cfRule>
    <cfRule type="cellIs" dxfId="171" priority="32" operator="notEqual">
      <formula>0</formula>
    </cfRule>
  </conditionalFormatting>
  <conditionalFormatting sqref="D118:F119">
    <cfRule type="cellIs" dxfId="170" priority="13" operator="greaterThanOrEqual">
      <formula>2</formula>
    </cfRule>
    <cfRule type="cellIs" dxfId="169" priority="14" operator="notEqual">
      <formula>0</formula>
    </cfRule>
  </conditionalFormatting>
  <conditionalFormatting sqref="D120:F120">
    <cfRule type="cellIs" dxfId="168" priority="11" operator="greaterThanOrEqual">
      <formula>2</formula>
    </cfRule>
    <cfRule type="cellIs" dxfId="167" priority="12" operator="notEqual">
      <formula>0</formula>
    </cfRule>
  </conditionalFormatting>
  <conditionalFormatting sqref="G118:G119">
    <cfRule type="cellIs" dxfId="166" priority="9" operator="greaterThanOrEqual">
      <formula>2</formula>
    </cfRule>
    <cfRule type="cellIs" dxfId="165" priority="10" operator="notEqual">
      <formula>0</formula>
    </cfRule>
  </conditionalFormatting>
  <conditionalFormatting sqref="G120">
    <cfRule type="cellIs" dxfId="164" priority="7" operator="greaterThanOrEqual">
      <formula>2</formula>
    </cfRule>
    <cfRule type="cellIs" dxfId="163" priority="8" operator="notEqual">
      <formula>0</formula>
    </cfRule>
  </conditionalFormatting>
  <conditionalFormatting sqref="G8:G9">
    <cfRule type="cellIs" dxfId="162" priority="5" operator="greaterThanOrEqual">
      <formula>2</formula>
    </cfRule>
    <cfRule type="cellIs" dxfId="161" priority="6" operator="notEqual">
      <formula>0</formula>
    </cfRule>
  </conditionalFormatting>
  <conditionalFormatting sqref="G12:G13">
    <cfRule type="cellIs" dxfId="160" priority="3" operator="greaterThanOrEqual">
      <formula>2</formula>
    </cfRule>
    <cfRule type="cellIs" dxfId="159" priority="4" operator="notEqual">
      <formula>0</formula>
    </cfRule>
  </conditionalFormatting>
  <conditionalFormatting sqref="L17:L19">
    <cfRule type="cellIs" dxfId="158" priority="1" operator="greaterThanOrEqual">
      <formula>2</formula>
    </cfRule>
    <cfRule type="cellIs" dxfId="157" priority="2" operator="notEqual">
      <formula>0</formula>
    </cfRule>
  </conditionalFormatting>
  <pageMargins left="0.7" right="0.7" top="0.75" bottom="0.75" header="0.3" footer="0.3"/>
  <pageSetup paperSize="9" orientation="portrait" r:id="rId1"/>
  <ignoredErrors>
    <ignoredError sqref="D10:O10 D67:O68 D73:O73 D79:O121 L75:O75 L76:O76 L77:O77 L78:O78 D77:G77 D69:O72 D63:BN66 D75:F75 G75 D76:E76 F76:G76 L74:O74 D78:F78 G78 H75:K78 D8:F9 H8:O9 D14:O15 D11:F12 H11:O13 D13:F13 G8:G9 G12:G13 D20:O62 D16:K16 M16:O16 D17:K19 M17:O19" unlocked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21719-C408-4BA2-888F-1FD9B1ED5792}">
  <dimension ref="A1:AJ49"/>
  <sheetViews>
    <sheetView zoomScale="75" zoomScaleNormal="75" workbookViewId="0">
      <selection activeCell="AK5" sqref="AK5"/>
    </sheetView>
  </sheetViews>
  <sheetFormatPr defaultRowHeight="10" x14ac:dyDescent="0.55000000000000004"/>
  <cols>
    <col min="1" max="2" width="8.6640625" style="35"/>
    <col min="3" max="3" width="18.58203125" style="35" customWidth="1"/>
    <col min="4" max="5" width="3.33203125" style="35" customWidth="1"/>
    <col min="6" max="30" width="2.33203125" style="35" customWidth="1"/>
    <col min="31" max="32" width="3.33203125" style="35" customWidth="1"/>
    <col min="33" max="33" width="18.58203125" style="35" customWidth="1"/>
    <col min="34" max="36" width="8.58203125" style="35" customWidth="1"/>
    <col min="37" max="258" width="8.6640625" style="35"/>
    <col min="259" max="259" width="14.33203125" style="35" customWidth="1"/>
    <col min="260" max="261" width="3.33203125" style="35" customWidth="1"/>
    <col min="262" max="286" width="2.4140625" style="35" customWidth="1"/>
    <col min="287" max="288" width="3.33203125" style="35" customWidth="1"/>
    <col min="289" max="289" width="14.33203125" style="35" customWidth="1"/>
    <col min="290" max="514" width="8.6640625" style="35"/>
    <col min="515" max="515" width="14.33203125" style="35" customWidth="1"/>
    <col min="516" max="517" width="3.33203125" style="35" customWidth="1"/>
    <col min="518" max="542" width="2.4140625" style="35" customWidth="1"/>
    <col min="543" max="544" width="3.33203125" style="35" customWidth="1"/>
    <col min="545" max="545" width="14.33203125" style="35" customWidth="1"/>
    <col min="546" max="770" width="8.6640625" style="35"/>
    <col min="771" max="771" width="14.33203125" style="35" customWidth="1"/>
    <col min="772" max="773" width="3.33203125" style="35" customWidth="1"/>
    <col min="774" max="798" width="2.4140625" style="35" customWidth="1"/>
    <col min="799" max="800" width="3.33203125" style="35" customWidth="1"/>
    <col min="801" max="801" width="14.33203125" style="35" customWidth="1"/>
    <col min="802" max="1026" width="8.6640625" style="35"/>
    <col min="1027" max="1027" width="14.33203125" style="35" customWidth="1"/>
    <col min="1028" max="1029" width="3.33203125" style="35" customWidth="1"/>
    <col min="1030" max="1054" width="2.4140625" style="35" customWidth="1"/>
    <col min="1055" max="1056" width="3.33203125" style="35" customWidth="1"/>
    <col min="1057" max="1057" width="14.33203125" style="35" customWidth="1"/>
    <col min="1058" max="1282" width="8.6640625" style="35"/>
    <col min="1283" max="1283" width="14.33203125" style="35" customWidth="1"/>
    <col min="1284" max="1285" width="3.33203125" style="35" customWidth="1"/>
    <col min="1286" max="1310" width="2.4140625" style="35" customWidth="1"/>
    <col min="1311" max="1312" width="3.33203125" style="35" customWidth="1"/>
    <col min="1313" max="1313" width="14.33203125" style="35" customWidth="1"/>
    <col min="1314" max="1538" width="8.6640625" style="35"/>
    <col min="1539" max="1539" width="14.33203125" style="35" customWidth="1"/>
    <col min="1540" max="1541" width="3.33203125" style="35" customWidth="1"/>
    <col min="1542" max="1566" width="2.4140625" style="35" customWidth="1"/>
    <col min="1567" max="1568" width="3.33203125" style="35" customWidth="1"/>
    <col min="1569" max="1569" width="14.33203125" style="35" customWidth="1"/>
    <col min="1570" max="1794" width="8.6640625" style="35"/>
    <col min="1795" max="1795" width="14.33203125" style="35" customWidth="1"/>
    <col min="1796" max="1797" width="3.33203125" style="35" customWidth="1"/>
    <col min="1798" max="1822" width="2.4140625" style="35" customWidth="1"/>
    <col min="1823" max="1824" width="3.33203125" style="35" customWidth="1"/>
    <col min="1825" max="1825" width="14.33203125" style="35" customWidth="1"/>
    <col min="1826" max="2050" width="8.6640625" style="35"/>
    <col min="2051" max="2051" width="14.33203125" style="35" customWidth="1"/>
    <col min="2052" max="2053" width="3.33203125" style="35" customWidth="1"/>
    <col min="2054" max="2078" width="2.4140625" style="35" customWidth="1"/>
    <col min="2079" max="2080" width="3.33203125" style="35" customWidth="1"/>
    <col min="2081" max="2081" width="14.33203125" style="35" customWidth="1"/>
    <col min="2082" max="2306" width="8.6640625" style="35"/>
    <col min="2307" max="2307" width="14.33203125" style="35" customWidth="1"/>
    <col min="2308" max="2309" width="3.33203125" style="35" customWidth="1"/>
    <col min="2310" max="2334" width="2.4140625" style="35" customWidth="1"/>
    <col min="2335" max="2336" width="3.33203125" style="35" customWidth="1"/>
    <col min="2337" max="2337" width="14.33203125" style="35" customWidth="1"/>
    <col min="2338" max="2562" width="8.6640625" style="35"/>
    <col min="2563" max="2563" width="14.33203125" style="35" customWidth="1"/>
    <col min="2564" max="2565" width="3.33203125" style="35" customWidth="1"/>
    <col min="2566" max="2590" width="2.4140625" style="35" customWidth="1"/>
    <col min="2591" max="2592" width="3.33203125" style="35" customWidth="1"/>
    <col min="2593" max="2593" width="14.33203125" style="35" customWidth="1"/>
    <col min="2594" max="2818" width="8.6640625" style="35"/>
    <col min="2819" max="2819" width="14.33203125" style="35" customWidth="1"/>
    <col min="2820" max="2821" width="3.33203125" style="35" customWidth="1"/>
    <col min="2822" max="2846" width="2.4140625" style="35" customWidth="1"/>
    <col min="2847" max="2848" width="3.33203125" style="35" customWidth="1"/>
    <col min="2849" max="2849" width="14.33203125" style="35" customWidth="1"/>
    <col min="2850" max="3074" width="8.6640625" style="35"/>
    <col min="3075" max="3075" width="14.33203125" style="35" customWidth="1"/>
    <col min="3076" max="3077" width="3.33203125" style="35" customWidth="1"/>
    <col min="3078" max="3102" width="2.4140625" style="35" customWidth="1"/>
    <col min="3103" max="3104" width="3.33203125" style="35" customWidth="1"/>
    <col min="3105" max="3105" width="14.33203125" style="35" customWidth="1"/>
    <col min="3106" max="3330" width="8.6640625" style="35"/>
    <col min="3331" max="3331" width="14.33203125" style="35" customWidth="1"/>
    <col min="3332" max="3333" width="3.33203125" style="35" customWidth="1"/>
    <col min="3334" max="3358" width="2.4140625" style="35" customWidth="1"/>
    <col min="3359" max="3360" width="3.33203125" style="35" customWidth="1"/>
    <col min="3361" max="3361" width="14.33203125" style="35" customWidth="1"/>
    <col min="3362" max="3586" width="8.6640625" style="35"/>
    <col min="3587" max="3587" width="14.33203125" style="35" customWidth="1"/>
    <col min="3588" max="3589" width="3.33203125" style="35" customWidth="1"/>
    <col min="3590" max="3614" width="2.4140625" style="35" customWidth="1"/>
    <col min="3615" max="3616" width="3.33203125" style="35" customWidth="1"/>
    <col min="3617" max="3617" width="14.33203125" style="35" customWidth="1"/>
    <col min="3618" max="3842" width="8.6640625" style="35"/>
    <col min="3843" max="3843" width="14.33203125" style="35" customWidth="1"/>
    <col min="3844" max="3845" width="3.33203125" style="35" customWidth="1"/>
    <col min="3846" max="3870" width="2.4140625" style="35" customWidth="1"/>
    <col min="3871" max="3872" width="3.33203125" style="35" customWidth="1"/>
    <col min="3873" max="3873" width="14.33203125" style="35" customWidth="1"/>
    <col min="3874" max="4098" width="8.6640625" style="35"/>
    <col min="4099" max="4099" width="14.33203125" style="35" customWidth="1"/>
    <col min="4100" max="4101" width="3.33203125" style="35" customWidth="1"/>
    <col min="4102" max="4126" width="2.4140625" style="35" customWidth="1"/>
    <col min="4127" max="4128" width="3.33203125" style="35" customWidth="1"/>
    <col min="4129" max="4129" width="14.33203125" style="35" customWidth="1"/>
    <col min="4130" max="4354" width="8.6640625" style="35"/>
    <col min="4355" max="4355" width="14.33203125" style="35" customWidth="1"/>
    <col min="4356" max="4357" width="3.33203125" style="35" customWidth="1"/>
    <col min="4358" max="4382" width="2.4140625" style="35" customWidth="1"/>
    <col min="4383" max="4384" width="3.33203125" style="35" customWidth="1"/>
    <col min="4385" max="4385" width="14.33203125" style="35" customWidth="1"/>
    <col min="4386" max="4610" width="8.6640625" style="35"/>
    <col min="4611" max="4611" width="14.33203125" style="35" customWidth="1"/>
    <col min="4612" max="4613" width="3.33203125" style="35" customWidth="1"/>
    <col min="4614" max="4638" width="2.4140625" style="35" customWidth="1"/>
    <col min="4639" max="4640" width="3.33203125" style="35" customWidth="1"/>
    <col min="4641" max="4641" width="14.33203125" style="35" customWidth="1"/>
    <col min="4642" max="4866" width="8.6640625" style="35"/>
    <col min="4867" max="4867" width="14.33203125" style="35" customWidth="1"/>
    <col min="4868" max="4869" width="3.33203125" style="35" customWidth="1"/>
    <col min="4870" max="4894" width="2.4140625" style="35" customWidth="1"/>
    <col min="4895" max="4896" width="3.33203125" style="35" customWidth="1"/>
    <col min="4897" max="4897" width="14.33203125" style="35" customWidth="1"/>
    <col min="4898" max="5122" width="8.6640625" style="35"/>
    <col min="5123" max="5123" width="14.33203125" style="35" customWidth="1"/>
    <col min="5124" max="5125" width="3.33203125" style="35" customWidth="1"/>
    <col min="5126" max="5150" width="2.4140625" style="35" customWidth="1"/>
    <col min="5151" max="5152" width="3.33203125" style="35" customWidth="1"/>
    <col min="5153" max="5153" width="14.33203125" style="35" customWidth="1"/>
    <col min="5154" max="5378" width="8.6640625" style="35"/>
    <col min="5379" max="5379" width="14.33203125" style="35" customWidth="1"/>
    <col min="5380" max="5381" width="3.33203125" style="35" customWidth="1"/>
    <col min="5382" max="5406" width="2.4140625" style="35" customWidth="1"/>
    <col min="5407" max="5408" width="3.33203125" style="35" customWidth="1"/>
    <col min="5409" max="5409" width="14.33203125" style="35" customWidth="1"/>
    <col min="5410" max="5634" width="8.6640625" style="35"/>
    <col min="5635" max="5635" width="14.33203125" style="35" customWidth="1"/>
    <col min="5636" max="5637" width="3.33203125" style="35" customWidth="1"/>
    <col min="5638" max="5662" width="2.4140625" style="35" customWidth="1"/>
    <col min="5663" max="5664" width="3.33203125" style="35" customWidth="1"/>
    <col min="5665" max="5665" width="14.33203125" style="35" customWidth="1"/>
    <col min="5666" max="5890" width="8.6640625" style="35"/>
    <col min="5891" max="5891" width="14.33203125" style="35" customWidth="1"/>
    <col min="5892" max="5893" width="3.33203125" style="35" customWidth="1"/>
    <col min="5894" max="5918" width="2.4140625" style="35" customWidth="1"/>
    <col min="5919" max="5920" width="3.33203125" style="35" customWidth="1"/>
    <col min="5921" max="5921" width="14.33203125" style="35" customWidth="1"/>
    <col min="5922" max="6146" width="8.6640625" style="35"/>
    <col min="6147" max="6147" width="14.33203125" style="35" customWidth="1"/>
    <col min="6148" max="6149" width="3.33203125" style="35" customWidth="1"/>
    <col min="6150" max="6174" width="2.4140625" style="35" customWidth="1"/>
    <col min="6175" max="6176" width="3.33203125" style="35" customWidth="1"/>
    <col min="6177" max="6177" width="14.33203125" style="35" customWidth="1"/>
    <col min="6178" max="6402" width="8.6640625" style="35"/>
    <col min="6403" max="6403" width="14.33203125" style="35" customWidth="1"/>
    <col min="6404" max="6405" width="3.33203125" style="35" customWidth="1"/>
    <col min="6406" max="6430" width="2.4140625" style="35" customWidth="1"/>
    <col min="6431" max="6432" width="3.33203125" style="35" customWidth="1"/>
    <col min="6433" max="6433" width="14.33203125" style="35" customWidth="1"/>
    <col min="6434" max="6658" width="8.6640625" style="35"/>
    <col min="6659" max="6659" width="14.33203125" style="35" customWidth="1"/>
    <col min="6660" max="6661" width="3.33203125" style="35" customWidth="1"/>
    <col min="6662" max="6686" width="2.4140625" style="35" customWidth="1"/>
    <col min="6687" max="6688" width="3.33203125" style="35" customWidth="1"/>
    <col min="6689" max="6689" width="14.33203125" style="35" customWidth="1"/>
    <col min="6690" max="6914" width="8.6640625" style="35"/>
    <col min="6915" max="6915" width="14.33203125" style="35" customWidth="1"/>
    <col min="6916" max="6917" width="3.33203125" style="35" customWidth="1"/>
    <col min="6918" max="6942" width="2.4140625" style="35" customWidth="1"/>
    <col min="6943" max="6944" width="3.33203125" style="35" customWidth="1"/>
    <col min="6945" max="6945" width="14.33203125" style="35" customWidth="1"/>
    <col min="6946" max="7170" width="8.6640625" style="35"/>
    <col min="7171" max="7171" width="14.33203125" style="35" customWidth="1"/>
    <col min="7172" max="7173" width="3.33203125" style="35" customWidth="1"/>
    <col min="7174" max="7198" width="2.4140625" style="35" customWidth="1"/>
    <col min="7199" max="7200" width="3.33203125" style="35" customWidth="1"/>
    <col min="7201" max="7201" width="14.33203125" style="35" customWidth="1"/>
    <col min="7202" max="7426" width="8.6640625" style="35"/>
    <col min="7427" max="7427" width="14.33203125" style="35" customWidth="1"/>
    <col min="7428" max="7429" width="3.33203125" style="35" customWidth="1"/>
    <col min="7430" max="7454" width="2.4140625" style="35" customWidth="1"/>
    <col min="7455" max="7456" width="3.33203125" style="35" customWidth="1"/>
    <col min="7457" max="7457" width="14.33203125" style="35" customWidth="1"/>
    <col min="7458" max="7682" width="8.6640625" style="35"/>
    <col min="7683" max="7683" width="14.33203125" style="35" customWidth="1"/>
    <col min="7684" max="7685" width="3.33203125" style="35" customWidth="1"/>
    <col min="7686" max="7710" width="2.4140625" style="35" customWidth="1"/>
    <col min="7711" max="7712" width="3.33203125" style="35" customWidth="1"/>
    <col min="7713" max="7713" width="14.33203125" style="35" customWidth="1"/>
    <col min="7714" max="7938" width="8.6640625" style="35"/>
    <col min="7939" max="7939" width="14.33203125" style="35" customWidth="1"/>
    <col min="7940" max="7941" width="3.33203125" style="35" customWidth="1"/>
    <col min="7942" max="7966" width="2.4140625" style="35" customWidth="1"/>
    <col min="7967" max="7968" width="3.33203125" style="35" customWidth="1"/>
    <col min="7969" max="7969" width="14.33203125" style="35" customWidth="1"/>
    <col min="7970" max="8194" width="8.6640625" style="35"/>
    <col min="8195" max="8195" width="14.33203125" style="35" customWidth="1"/>
    <col min="8196" max="8197" width="3.33203125" style="35" customWidth="1"/>
    <col min="8198" max="8222" width="2.4140625" style="35" customWidth="1"/>
    <col min="8223" max="8224" width="3.33203125" style="35" customWidth="1"/>
    <col min="8225" max="8225" width="14.33203125" style="35" customWidth="1"/>
    <col min="8226" max="8450" width="8.6640625" style="35"/>
    <col min="8451" max="8451" width="14.33203125" style="35" customWidth="1"/>
    <col min="8452" max="8453" width="3.33203125" style="35" customWidth="1"/>
    <col min="8454" max="8478" width="2.4140625" style="35" customWidth="1"/>
    <col min="8479" max="8480" width="3.33203125" style="35" customWidth="1"/>
    <col min="8481" max="8481" width="14.33203125" style="35" customWidth="1"/>
    <col min="8482" max="8706" width="8.6640625" style="35"/>
    <col min="8707" max="8707" width="14.33203125" style="35" customWidth="1"/>
    <col min="8708" max="8709" width="3.33203125" style="35" customWidth="1"/>
    <col min="8710" max="8734" width="2.4140625" style="35" customWidth="1"/>
    <col min="8735" max="8736" width="3.33203125" style="35" customWidth="1"/>
    <col min="8737" max="8737" width="14.33203125" style="35" customWidth="1"/>
    <col min="8738" max="8962" width="8.6640625" style="35"/>
    <col min="8963" max="8963" width="14.33203125" style="35" customWidth="1"/>
    <col min="8964" max="8965" width="3.33203125" style="35" customWidth="1"/>
    <col min="8966" max="8990" width="2.4140625" style="35" customWidth="1"/>
    <col min="8991" max="8992" width="3.33203125" style="35" customWidth="1"/>
    <col min="8993" max="8993" width="14.33203125" style="35" customWidth="1"/>
    <col min="8994" max="9218" width="8.6640625" style="35"/>
    <col min="9219" max="9219" width="14.33203125" style="35" customWidth="1"/>
    <col min="9220" max="9221" width="3.33203125" style="35" customWidth="1"/>
    <col min="9222" max="9246" width="2.4140625" style="35" customWidth="1"/>
    <col min="9247" max="9248" width="3.33203125" style="35" customWidth="1"/>
    <col min="9249" max="9249" width="14.33203125" style="35" customWidth="1"/>
    <col min="9250" max="9474" width="8.6640625" style="35"/>
    <col min="9475" max="9475" width="14.33203125" style="35" customWidth="1"/>
    <col min="9476" max="9477" width="3.33203125" style="35" customWidth="1"/>
    <col min="9478" max="9502" width="2.4140625" style="35" customWidth="1"/>
    <col min="9503" max="9504" width="3.33203125" style="35" customWidth="1"/>
    <col min="9505" max="9505" width="14.33203125" style="35" customWidth="1"/>
    <col min="9506" max="9730" width="8.6640625" style="35"/>
    <col min="9731" max="9731" width="14.33203125" style="35" customWidth="1"/>
    <col min="9732" max="9733" width="3.33203125" style="35" customWidth="1"/>
    <col min="9734" max="9758" width="2.4140625" style="35" customWidth="1"/>
    <col min="9759" max="9760" width="3.33203125" style="35" customWidth="1"/>
    <col min="9761" max="9761" width="14.33203125" style="35" customWidth="1"/>
    <col min="9762" max="9986" width="8.6640625" style="35"/>
    <col min="9987" max="9987" width="14.33203125" style="35" customWidth="1"/>
    <col min="9988" max="9989" width="3.33203125" style="35" customWidth="1"/>
    <col min="9990" max="10014" width="2.4140625" style="35" customWidth="1"/>
    <col min="10015" max="10016" width="3.33203125" style="35" customWidth="1"/>
    <col min="10017" max="10017" width="14.33203125" style="35" customWidth="1"/>
    <col min="10018" max="10242" width="8.6640625" style="35"/>
    <col min="10243" max="10243" width="14.33203125" style="35" customWidth="1"/>
    <col min="10244" max="10245" width="3.33203125" style="35" customWidth="1"/>
    <col min="10246" max="10270" width="2.4140625" style="35" customWidth="1"/>
    <col min="10271" max="10272" width="3.33203125" style="35" customWidth="1"/>
    <col min="10273" max="10273" width="14.33203125" style="35" customWidth="1"/>
    <col min="10274" max="10498" width="8.6640625" style="35"/>
    <col min="10499" max="10499" width="14.33203125" style="35" customWidth="1"/>
    <col min="10500" max="10501" width="3.33203125" style="35" customWidth="1"/>
    <col min="10502" max="10526" width="2.4140625" style="35" customWidth="1"/>
    <col min="10527" max="10528" width="3.33203125" style="35" customWidth="1"/>
    <col min="10529" max="10529" width="14.33203125" style="35" customWidth="1"/>
    <col min="10530" max="10754" width="8.6640625" style="35"/>
    <col min="10755" max="10755" width="14.33203125" style="35" customWidth="1"/>
    <col min="10756" max="10757" width="3.33203125" style="35" customWidth="1"/>
    <col min="10758" max="10782" width="2.4140625" style="35" customWidth="1"/>
    <col min="10783" max="10784" width="3.33203125" style="35" customWidth="1"/>
    <col min="10785" max="10785" width="14.33203125" style="35" customWidth="1"/>
    <col min="10786" max="11010" width="8.6640625" style="35"/>
    <col min="11011" max="11011" width="14.33203125" style="35" customWidth="1"/>
    <col min="11012" max="11013" width="3.33203125" style="35" customWidth="1"/>
    <col min="11014" max="11038" width="2.4140625" style="35" customWidth="1"/>
    <col min="11039" max="11040" width="3.33203125" style="35" customWidth="1"/>
    <col min="11041" max="11041" width="14.33203125" style="35" customWidth="1"/>
    <col min="11042" max="11266" width="8.6640625" style="35"/>
    <col min="11267" max="11267" width="14.33203125" style="35" customWidth="1"/>
    <col min="11268" max="11269" width="3.33203125" style="35" customWidth="1"/>
    <col min="11270" max="11294" width="2.4140625" style="35" customWidth="1"/>
    <col min="11295" max="11296" width="3.33203125" style="35" customWidth="1"/>
    <col min="11297" max="11297" width="14.33203125" style="35" customWidth="1"/>
    <col min="11298" max="11522" width="8.6640625" style="35"/>
    <col min="11523" max="11523" width="14.33203125" style="35" customWidth="1"/>
    <col min="11524" max="11525" width="3.33203125" style="35" customWidth="1"/>
    <col min="11526" max="11550" width="2.4140625" style="35" customWidth="1"/>
    <col min="11551" max="11552" width="3.33203125" style="35" customWidth="1"/>
    <col min="11553" max="11553" width="14.33203125" style="35" customWidth="1"/>
    <col min="11554" max="11778" width="8.6640625" style="35"/>
    <col min="11779" max="11779" width="14.33203125" style="35" customWidth="1"/>
    <col min="11780" max="11781" width="3.33203125" style="35" customWidth="1"/>
    <col min="11782" max="11806" width="2.4140625" style="35" customWidth="1"/>
    <col min="11807" max="11808" width="3.33203125" style="35" customWidth="1"/>
    <col min="11809" max="11809" width="14.33203125" style="35" customWidth="1"/>
    <col min="11810" max="12034" width="8.6640625" style="35"/>
    <col min="12035" max="12035" width="14.33203125" style="35" customWidth="1"/>
    <col min="12036" max="12037" width="3.33203125" style="35" customWidth="1"/>
    <col min="12038" max="12062" width="2.4140625" style="35" customWidth="1"/>
    <col min="12063" max="12064" width="3.33203125" style="35" customWidth="1"/>
    <col min="12065" max="12065" width="14.33203125" style="35" customWidth="1"/>
    <col min="12066" max="12290" width="8.6640625" style="35"/>
    <col min="12291" max="12291" width="14.33203125" style="35" customWidth="1"/>
    <col min="12292" max="12293" width="3.33203125" style="35" customWidth="1"/>
    <col min="12294" max="12318" width="2.4140625" style="35" customWidth="1"/>
    <col min="12319" max="12320" width="3.33203125" style="35" customWidth="1"/>
    <col min="12321" max="12321" width="14.33203125" style="35" customWidth="1"/>
    <col min="12322" max="12546" width="8.6640625" style="35"/>
    <col min="12547" max="12547" width="14.33203125" style="35" customWidth="1"/>
    <col min="12548" max="12549" width="3.33203125" style="35" customWidth="1"/>
    <col min="12550" max="12574" width="2.4140625" style="35" customWidth="1"/>
    <col min="12575" max="12576" width="3.33203125" style="35" customWidth="1"/>
    <col min="12577" max="12577" width="14.33203125" style="35" customWidth="1"/>
    <col min="12578" max="12802" width="8.6640625" style="35"/>
    <col min="12803" max="12803" width="14.33203125" style="35" customWidth="1"/>
    <col min="12804" max="12805" width="3.33203125" style="35" customWidth="1"/>
    <col min="12806" max="12830" width="2.4140625" style="35" customWidth="1"/>
    <col min="12831" max="12832" width="3.33203125" style="35" customWidth="1"/>
    <col min="12833" max="12833" width="14.33203125" style="35" customWidth="1"/>
    <col min="12834" max="13058" width="8.6640625" style="35"/>
    <col min="13059" max="13059" width="14.33203125" style="35" customWidth="1"/>
    <col min="13060" max="13061" width="3.33203125" style="35" customWidth="1"/>
    <col min="13062" max="13086" width="2.4140625" style="35" customWidth="1"/>
    <col min="13087" max="13088" width="3.33203125" style="35" customWidth="1"/>
    <col min="13089" max="13089" width="14.33203125" style="35" customWidth="1"/>
    <col min="13090" max="13314" width="8.6640625" style="35"/>
    <col min="13315" max="13315" width="14.33203125" style="35" customWidth="1"/>
    <col min="13316" max="13317" width="3.33203125" style="35" customWidth="1"/>
    <col min="13318" max="13342" width="2.4140625" style="35" customWidth="1"/>
    <col min="13343" max="13344" width="3.33203125" style="35" customWidth="1"/>
    <col min="13345" max="13345" width="14.33203125" style="35" customWidth="1"/>
    <col min="13346" max="13570" width="8.6640625" style="35"/>
    <col min="13571" max="13571" width="14.33203125" style="35" customWidth="1"/>
    <col min="13572" max="13573" width="3.33203125" style="35" customWidth="1"/>
    <col min="13574" max="13598" width="2.4140625" style="35" customWidth="1"/>
    <col min="13599" max="13600" width="3.33203125" style="35" customWidth="1"/>
    <col min="13601" max="13601" width="14.33203125" style="35" customWidth="1"/>
    <col min="13602" max="13826" width="8.6640625" style="35"/>
    <col min="13827" max="13827" width="14.33203125" style="35" customWidth="1"/>
    <col min="13828" max="13829" width="3.33203125" style="35" customWidth="1"/>
    <col min="13830" max="13854" width="2.4140625" style="35" customWidth="1"/>
    <col min="13855" max="13856" width="3.33203125" style="35" customWidth="1"/>
    <col min="13857" max="13857" width="14.33203125" style="35" customWidth="1"/>
    <col min="13858" max="14082" width="8.6640625" style="35"/>
    <col min="14083" max="14083" width="14.33203125" style="35" customWidth="1"/>
    <col min="14084" max="14085" width="3.33203125" style="35" customWidth="1"/>
    <col min="14086" max="14110" width="2.4140625" style="35" customWidth="1"/>
    <col min="14111" max="14112" width="3.33203125" style="35" customWidth="1"/>
    <col min="14113" max="14113" width="14.33203125" style="35" customWidth="1"/>
    <col min="14114" max="14338" width="8.6640625" style="35"/>
    <col min="14339" max="14339" width="14.33203125" style="35" customWidth="1"/>
    <col min="14340" max="14341" width="3.33203125" style="35" customWidth="1"/>
    <col min="14342" max="14366" width="2.4140625" style="35" customWidth="1"/>
    <col min="14367" max="14368" width="3.33203125" style="35" customWidth="1"/>
    <col min="14369" max="14369" width="14.33203125" style="35" customWidth="1"/>
    <col min="14370" max="14594" width="8.6640625" style="35"/>
    <col min="14595" max="14595" width="14.33203125" style="35" customWidth="1"/>
    <col min="14596" max="14597" width="3.33203125" style="35" customWidth="1"/>
    <col min="14598" max="14622" width="2.4140625" style="35" customWidth="1"/>
    <col min="14623" max="14624" width="3.33203125" style="35" customWidth="1"/>
    <col min="14625" max="14625" width="14.33203125" style="35" customWidth="1"/>
    <col min="14626" max="14850" width="8.6640625" style="35"/>
    <col min="14851" max="14851" width="14.33203125" style="35" customWidth="1"/>
    <col min="14852" max="14853" width="3.33203125" style="35" customWidth="1"/>
    <col min="14854" max="14878" width="2.4140625" style="35" customWidth="1"/>
    <col min="14879" max="14880" width="3.33203125" style="35" customWidth="1"/>
    <col min="14881" max="14881" width="14.33203125" style="35" customWidth="1"/>
    <col min="14882" max="15106" width="8.6640625" style="35"/>
    <col min="15107" max="15107" width="14.33203125" style="35" customWidth="1"/>
    <col min="15108" max="15109" width="3.33203125" style="35" customWidth="1"/>
    <col min="15110" max="15134" width="2.4140625" style="35" customWidth="1"/>
    <col min="15135" max="15136" width="3.33203125" style="35" customWidth="1"/>
    <col min="15137" max="15137" width="14.33203125" style="35" customWidth="1"/>
    <col min="15138" max="15362" width="8.6640625" style="35"/>
    <col min="15363" max="15363" width="14.33203125" style="35" customWidth="1"/>
    <col min="15364" max="15365" width="3.33203125" style="35" customWidth="1"/>
    <col min="15366" max="15390" width="2.4140625" style="35" customWidth="1"/>
    <col min="15391" max="15392" width="3.33203125" style="35" customWidth="1"/>
    <col min="15393" max="15393" width="14.33203125" style="35" customWidth="1"/>
    <col min="15394" max="15618" width="8.6640625" style="35"/>
    <col min="15619" max="15619" width="14.33203125" style="35" customWidth="1"/>
    <col min="15620" max="15621" width="3.33203125" style="35" customWidth="1"/>
    <col min="15622" max="15646" width="2.4140625" style="35" customWidth="1"/>
    <col min="15647" max="15648" width="3.33203125" style="35" customWidth="1"/>
    <col min="15649" max="15649" width="14.33203125" style="35" customWidth="1"/>
    <col min="15650" max="15874" width="8.6640625" style="35"/>
    <col min="15875" max="15875" width="14.33203125" style="35" customWidth="1"/>
    <col min="15876" max="15877" width="3.33203125" style="35" customWidth="1"/>
    <col min="15878" max="15902" width="2.4140625" style="35" customWidth="1"/>
    <col min="15903" max="15904" width="3.33203125" style="35" customWidth="1"/>
    <col min="15905" max="15905" width="14.33203125" style="35" customWidth="1"/>
    <col min="15906" max="16130" width="8.6640625" style="35"/>
    <col min="16131" max="16131" width="14.33203125" style="35" customWidth="1"/>
    <col min="16132" max="16133" width="3.33203125" style="35" customWidth="1"/>
    <col min="16134" max="16158" width="2.4140625" style="35" customWidth="1"/>
    <col min="16159" max="16160" width="3.33203125" style="35" customWidth="1"/>
    <col min="16161" max="16161" width="14.33203125" style="35" customWidth="1"/>
    <col min="16162" max="16384" width="8.6640625" style="35"/>
  </cols>
  <sheetData>
    <row r="1" spans="1:36" ht="25" customHeight="1" x14ac:dyDescent="0.55000000000000004">
      <c r="A1" s="34" t="s">
        <v>364</v>
      </c>
      <c r="AH1" s="4"/>
      <c r="AI1" s="4"/>
      <c r="AJ1" s="4"/>
    </row>
    <row r="2" spans="1:36" ht="25" customHeight="1" x14ac:dyDescent="0.55000000000000004">
      <c r="A2" s="34"/>
      <c r="AH2" s="4"/>
      <c r="AI2" s="4"/>
      <c r="AJ2" s="4"/>
    </row>
    <row r="3" spans="1:36" ht="25" customHeight="1" x14ac:dyDescent="0.55000000000000004">
      <c r="A3" s="34"/>
      <c r="AH3" s="4"/>
      <c r="AI3" s="4"/>
      <c r="AJ3" s="4"/>
    </row>
    <row r="4" spans="1:36" ht="25" customHeight="1" x14ac:dyDescent="0.55000000000000004">
      <c r="A4" s="34"/>
      <c r="AH4" s="4"/>
      <c r="AI4" s="4"/>
      <c r="AJ4" s="4"/>
    </row>
    <row r="5" spans="1:36" ht="25" customHeight="1" x14ac:dyDescent="0.55000000000000004">
      <c r="A5" s="34"/>
      <c r="AH5" s="4"/>
      <c r="AI5" s="4"/>
      <c r="AJ5" s="24" t="s">
        <v>1185</v>
      </c>
    </row>
    <row r="7" spans="1:36" ht="105" customHeight="1" x14ac:dyDescent="0.55000000000000004">
      <c r="F7" s="68" t="str">
        <f>'PF100'!V109</f>
        <v>VDDD</v>
      </c>
      <c r="G7" s="69">
        <f>'PF100'!V108</f>
        <v>0</v>
      </c>
      <c r="H7" s="69">
        <f>'PF100'!V107</f>
        <v>0</v>
      </c>
      <c r="I7" s="69">
        <f>'PF100'!V106</f>
        <v>0</v>
      </c>
      <c r="J7" s="69">
        <f>'PF100'!V105</f>
        <v>0</v>
      </c>
      <c r="K7" s="69">
        <f>'PF100'!V104</f>
        <v>0</v>
      </c>
      <c r="L7" s="69">
        <f>'PF100'!V103</f>
        <v>0</v>
      </c>
      <c r="M7" s="69">
        <f>'PF100'!V102</f>
        <v>0</v>
      </c>
      <c r="N7" s="69">
        <f>'PF100'!V101</f>
        <v>0</v>
      </c>
      <c r="O7" s="69">
        <f>'PF100'!V100</f>
        <v>0</v>
      </c>
      <c r="P7" s="69">
        <f>'PF100'!V99</f>
        <v>0</v>
      </c>
      <c r="Q7" s="68" t="str">
        <f>'PF100'!V98</f>
        <v>VCCD</v>
      </c>
      <c r="R7" s="70" t="str">
        <f>'PF100'!V97</f>
        <v>VSSD</v>
      </c>
      <c r="S7" s="70" t="str">
        <f>'PF100'!V96</f>
        <v>VSSD</v>
      </c>
      <c r="T7" s="68" t="str">
        <f>'PF100'!V95</f>
        <v>VDDD</v>
      </c>
      <c r="U7" s="71" t="str">
        <f>'PF100'!V94</f>
        <v>XRES_L</v>
      </c>
      <c r="V7" s="69">
        <f>'PF100'!V93</f>
        <v>0</v>
      </c>
      <c r="W7" s="69">
        <f>'PF100'!V92</f>
        <v>0</v>
      </c>
      <c r="X7" s="69">
        <f>'PF100'!V91</f>
        <v>0</v>
      </c>
      <c r="Y7" s="69">
        <f>'PF100'!V90</f>
        <v>0</v>
      </c>
      <c r="Z7" s="69">
        <f>'PF100'!V89</f>
        <v>0</v>
      </c>
      <c r="AA7" s="69">
        <f>'PF100'!V88</f>
        <v>0</v>
      </c>
      <c r="AB7" s="69">
        <f>'PF100'!V87</f>
        <v>0</v>
      </c>
      <c r="AC7" s="69">
        <f>'PF100'!V86</f>
        <v>0</v>
      </c>
      <c r="AD7" s="70" t="str">
        <f>'PF100'!V85</f>
        <v>VSSD</v>
      </c>
    </row>
    <row r="8" spans="1:36" ht="15" customHeight="1" x14ac:dyDescent="0.55000000000000004">
      <c r="D8" s="72"/>
      <c r="E8" s="73"/>
      <c r="F8" s="73">
        <v>100</v>
      </c>
      <c r="G8" s="73">
        <v>99</v>
      </c>
      <c r="H8" s="73">
        <v>98</v>
      </c>
      <c r="I8" s="73">
        <v>97</v>
      </c>
      <c r="J8" s="73">
        <v>96</v>
      </c>
      <c r="K8" s="73">
        <v>95</v>
      </c>
      <c r="L8" s="73">
        <v>94</v>
      </c>
      <c r="M8" s="73">
        <v>93</v>
      </c>
      <c r="N8" s="73">
        <v>92</v>
      </c>
      <c r="O8" s="73">
        <v>91</v>
      </c>
      <c r="P8" s="73">
        <v>90</v>
      </c>
      <c r="Q8" s="73">
        <v>89</v>
      </c>
      <c r="R8" s="73">
        <v>88</v>
      </c>
      <c r="S8" s="73">
        <v>87</v>
      </c>
      <c r="T8" s="73">
        <v>86</v>
      </c>
      <c r="U8" s="73">
        <v>85</v>
      </c>
      <c r="V8" s="73">
        <v>84</v>
      </c>
      <c r="W8" s="73">
        <v>83</v>
      </c>
      <c r="X8" s="73">
        <v>82</v>
      </c>
      <c r="Y8" s="73">
        <v>81</v>
      </c>
      <c r="Z8" s="73">
        <v>80</v>
      </c>
      <c r="AA8" s="73">
        <v>79</v>
      </c>
      <c r="AB8" s="73">
        <v>78</v>
      </c>
      <c r="AC8" s="73">
        <v>77</v>
      </c>
      <c r="AD8" s="73">
        <v>76</v>
      </c>
      <c r="AE8" s="73"/>
      <c r="AF8" s="74"/>
    </row>
    <row r="9" spans="1:36" ht="15" customHeight="1" x14ac:dyDescent="0.55000000000000004">
      <c r="D9" s="75"/>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7"/>
    </row>
    <row r="10" spans="1:36" ht="15" customHeight="1" x14ac:dyDescent="0.55000000000000004">
      <c r="B10" s="78"/>
      <c r="C10" s="79" t="str">
        <f>'PF100'!V10</f>
        <v>VSSD</v>
      </c>
      <c r="D10" s="75">
        <v>1</v>
      </c>
      <c r="E10" s="76"/>
      <c r="F10" s="136" t="s">
        <v>356</v>
      </c>
      <c r="G10" s="136"/>
      <c r="H10" s="136"/>
      <c r="I10" s="136"/>
      <c r="J10" s="136"/>
      <c r="K10" s="136"/>
      <c r="L10" s="136"/>
      <c r="M10" s="136"/>
      <c r="N10" s="136"/>
      <c r="O10" s="136"/>
      <c r="P10" s="136"/>
      <c r="Q10" s="136"/>
      <c r="R10" s="136"/>
      <c r="S10" s="136"/>
      <c r="T10" s="136"/>
      <c r="U10" s="136"/>
      <c r="V10" s="136"/>
      <c r="W10" s="136"/>
      <c r="X10" s="136"/>
      <c r="Y10" s="136"/>
      <c r="Z10" s="136"/>
      <c r="AA10" s="136"/>
      <c r="AB10" s="136"/>
      <c r="AC10" s="136"/>
      <c r="AD10" s="136"/>
      <c r="AE10" s="76"/>
      <c r="AF10" s="77">
        <v>75</v>
      </c>
      <c r="AG10" s="80" t="str">
        <f>'PF100'!V84</f>
        <v>VDDD</v>
      </c>
    </row>
    <row r="11" spans="1:36" ht="15" customHeight="1" x14ac:dyDescent="0.55000000000000004">
      <c r="B11" s="78"/>
      <c r="C11" s="81">
        <f>'PF100'!V11</f>
        <v>0</v>
      </c>
      <c r="D11" s="75">
        <v>2</v>
      </c>
      <c r="E11" s="76"/>
      <c r="F11" s="136"/>
      <c r="G11" s="136"/>
      <c r="H11" s="136"/>
      <c r="I11" s="136"/>
      <c r="J11" s="136"/>
      <c r="K11" s="136"/>
      <c r="L11" s="136"/>
      <c r="M11" s="136"/>
      <c r="N11" s="136"/>
      <c r="O11" s="136"/>
      <c r="P11" s="136"/>
      <c r="Q11" s="136"/>
      <c r="R11" s="136"/>
      <c r="S11" s="136"/>
      <c r="T11" s="136"/>
      <c r="U11" s="136"/>
      <c r="V11" s="136"/>
      <c r="W11" s="136"/>
      <c r="X11" s="136"/>
      <c r="Y11" s="136"/>
      <c r="Z11" s="136"/>
      <c r="AA11" s="136"/>
      <c r="AB11" s="136"/>
      <c r="AC11" s="136"/>
      <c r="AD11" s="136"/>
      <c r="AE11" s="76"/>
      <c r="AF11" s="77">
        <v>74</v>
      </c>
      <c r="AG11" s="82">
        <f>'PF100'!V83</f>
        <v>0</v>
      </c>
    </row>
    <row r="12" spans="1:36" ht="15" customHeight="1" x14ac:dyDescent="0.55000000000000004">
      <c r="B12" s="78"/>
      <c r="C12" s="81">
        <f>'PF100'!V12</f>
        <v>0</v>
      </c>
      <c r="D12" s="75">
        <v>3</v>
      </c>
      <c r="E12" s="7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76"/>
      <c r="AF12" s="77">
        <v>73</v>
      </c>
      <c r="AG12" s="82">
        <f>'PF100'!V82</f>
        <v>0</v>
      </c>
    </row>
    <row r="13" spans="1:36" ht="15" customHeight="1" x14ac:dyDescent="0.55000000000000004">
      <c r="B13" s="78"/>
      <c r="C13" s="81">
        <f>'PF100'!V13</f>
        <v>0</v>
      </c>
      <c r="D13" s="75">
        <v>4</v>
      </c>
      <c r="E13" s="76"/>
      <c r="F13" s="136"/>
      <c r="G13" s="136"/>
      <c r="H13" s="136"/>
      <c r="I13" s="136"/>
      <c r="J13" s="136"/>
      <c r="K13" s="136"/>
      <c r="L13" s="136"/>
      <c r="M13" s="136"/>
      <c r="N13" s="136"/>
      <c r="O13" s="136"/>
      <c r="P13" s="136"/>
      <c r="Q13" s="136"/>
      <c r="R13" s="136"/>
      <c r="S13" s="136"/>
      <c r="T13" s="136"/>
      <c r="U13" s="136"/>
      <c r="V13" s="136"/>
      <c r="W13" s="136"/>
      <c r="X13" s="136"/>
      <c r="Y13" s="136"/>
      <c r="Z13" s="136"/>
      <c r="AA13" s="136"/>
      <c r="AB13" s="136"/>
      <c r="AC13" s="136"/>
      <c r="AD13" s="136"/>
      <c r="AE13" s="76"/>
      <c r="AF13" s="77">
        <v>72</v>
      </c>
      <c r="AG13" s="82">
        <f>'PF100'!V81</f>
        <v>0</v>
      </c>
    </row>
    <row r="14" spans="1:36" ht="15" customHeight="1" x14ac:dyDescent="0.55000000000000004">
      <c r="B14" s="78"/>
      <c r="C14" s="81">
        <f>'PF100'!V14</f>
        <v>0</v>
      </c>
      <c r="D14" s="75">
        <v>5</v>
      </c>
      <c r="E14" s="7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c r="AE14" s="76"/>
      <c r="AF14" s="77">
        <v>71</v>
      </c>
      <c r="AG14" s="82">
        <f>'PF100'!V80</f>
        <v>0</v>
      </c>
    </row>
    <row r="15" spans="1:36" ht="15" customHeight="1" x14ac:dyDescent="0.55000000000000004">
      <c r="B15" s="78"/>
      <c r="C15" s="81">
        <f>'PF100'!V15</f>
        <v>0</v>
      </c>
      <c r="D15" s="75">
        <v>6</v>
      </c>
      <c r="E15" s="76"/>
      <c r="F15" s="136"/>
      <c r="G15" s="136"/>
      <c r="H15" s="136"/>
      <c r="I15" s="136"/>
      <c r="J15" s="136"/>
      <c r="K15" s="136"/>
      <c r="L15" s="136"/>
      <c r="M15" s="136"/>
      <c r="N15" s="136"/>
      <c r="O15" s="136"/>
      <c r="P15" s="136"/>
      <c r="Q15" s="136"/>
      <c r="R15" s="136"/>
      <c r="S15" s="136"/>
      <c r="T15" s="136"/>
      <c r="U15" s="136"/>
      <c r="V15" s="136"/>
      <c r="W15" s="136"/>
      <c r="X15" s="136"/>
      <c r="Y15" s="136"/>
      <c r="Z15" s="136"/>
      <c r="AA15" s="136"/>
      <c r="AB15" s="136"/>
      <c r="AC15" s="136"/>
      <c r="AD15" s="136"/>
      <c r="AE15" s="76"/>
      <c r="AF15" s="77">
        <v>70</v>
      </c>
      <c r="AG15" s="82">
        <f>'PF100'!V79</f>
        <v>0</v>
      </c>
    </row>
    <row r="16" spans="1:36" ht="15" customHeight="1" x14ac:dyDescent="0.55000000000000004">
      <c r="B16" s="78"/>
      <c r="C16" s="81">
        <f>'PF100'!V16</f>
        <v>0</v>
      </c>
      <c r="D16" s="75">
        <v>7</v>
      </c>
      <c r="E16" s="76"/>
      <c r="F16" s="136"/>
      <c r="G16" s="136"/>
      <c r="H16" s="136"/>
      <c r="I16" s="136"/>
      <c r="J16" s="136"/>
      <c r="K16" s="136"/>
      <c r="L16" s="136"/>
      <c r="M16" s="136"/>
      <c r="N16" s="136"/>
      <c r="O16" s="136"/>
      <c r="P16" s="136"/>
      <c r="Q16" s="136"/>
      <c r="R16" s="136"/>
      <c r="S16" s="136"/>
      <c r="T16" s="136"/>
      <c r="U16" s="136"/>
      <c r="V16" s="136"/>
      <c r="W16" s="136"/>
      <c r="X16" s="136"/>
      <c r="Y16" s="136"/>
      <c r="Z16" s="136"/>
      <c r="AA16" s="136"/>
      <c r="AB16" s="136"/>
      <c r="AC16" s="136"/>
      <c r="AD16" s="136"/>
      <c r="AE16" s="76"/>
      <c r="AF16" s="77">
        <v>69</v>
      </c>
      <c r="AG16" s="82">
        <f>'PF100'!V78</f>
        <v>0</v>
      </c>
    </row>
    <row r="17" spans="2:33" ht="15" customHeight="1" x14ac:dyDescent="0.55000000000000004">
      <c r="B17" s="78"/>
      <c r="C17" s="81">
        <f>'PF100'!V17</f>
        <v>0</v>
      </c>
      <c r="D17" s="75">
        <v>8</v>
      </c>
      <c r="E17" s="76"/>
      <c r="F17" s="136"/>
      <c r="G17" s="136"/>
      <c r="H17" s="136"/>
      <c r="I17" s="136"/>
      <c r="J17" s="136"/>
      <c r="K17" s="136"/>
      <c r="L17" s="136"/>
      <c r="M17" s="136"/>
      <c r="N17" s="136"/>
      <c r="O17" s="136"/>
      <c r="P17" s="136"/>
      <c r="Q17" s="136"/>
      <c r="R17" s="136"/>
      <c r="S17" s="136"/>
      <c r="T17" s="136"/>
      <c r="U17" s="136"/>
      <c r="V17" s="136"/>
      <c r="W17" s="136"/>
      <c r="X17" s="136"/>
      <c r="Y17" s="136"/>
      <c r="Z17" s="136"/>
      <c r="AA17" s="136"/>
      <c r="AB17" s="136"/>
      <c r="AC17" s="136"/>
      <c r="AD17" s="136"/>
      <c r="AE17" s="76"/>
      <c r="AF17" s="77">
        <v>68</v>
      </c>
      <c r="AG17" s="82">
        <f>'PF100'!V77</f>
        <v>0</v>
      </c>
    </row>
    <row r="18" spans="2:33" ht="15" customHeight="1" x14ac:dyDescent="0.55000000000000004">
      <c r="B18" s="78"/>
      <c r="C18" s="81">
        <f>'PF100'!V18</f>
        <v>0</v>
      </c>
      <c r="D18" s="75">
        <v>9</v>
      </c>
      <c r="E18" s="76"/>
      <c r="F18" s="136"/>
      <c r="G18" s="136"/>
      <c r="H18" s="136"/>
      <c r="I18" s="136"/>
      <c r="J18" s="136"/>
      <c r="K18" s="136"/>
      <c r="L18" s="136"/>
      <c r="M18" s="136"/>
      <c r="N18" s="136"/>
      <c r="O18" s="136"/>
      <c r="P18" s="136"/>
      <c r="Q18" s="136"/>
      <c r="R18" s="136"/>
      <c r="S18" s="136"/>
      <c r="T18" s="136"/>
      <c r="U18" s="136"/>
      <c r="V18" s="136"/>
      <c r="W18" s="136"/>
      <c r="X18" s="136"/>
      <c r="Y18" s="136"/>
      <c r="Z18" s="136"/>
      <c r="AA18" s="136"/>
      <c r="AB18" s="136"/>
      <c r="AC18" s="136"/>
      <c r="AD18" s="136"/>
      <c r="AE18" s="76"/>
      <c r="AF18" s="77">
        <v>67</v>
      </c>
      <c r="AG18" s="82">
        <f>'PF100'!V76</f>
        <v>0</v>
      </c>
    </row>
    <row r="19" spans="2:33" ht="15" customHeight="1" x14ac:dyDescent="0.55000000000000004">
      <c r="B19" s="78"/>
      <c r="C19" s="81">
        <f>'PF100'!V19</f>
        <v>0</v>
      </c>
      <c r="D19" s="75">
        <v>10</v>
      </c>
      <c r="E19" s="76"/>
      <c r="F19" s="136"/>
      <c r="G19" s="136"/>
      <c r="H19" s="136"/>
      <c r="I19" s="136"/>
      <c r="J19" s="136"/>
      <c r="K19" s="136"/>
      <c r="L19" s="136"/>
      <c r="M19" s="136"/>
      <c r="N19" s="136"/>
      <c r="O19" s="136"/>
      <c r="P19" s="136"/>
      <c r="Q19" s="136"/>
      <c r="R19" s="136"/>
      <c r="S19" s="136"/>
      <c r="T19" s="136"/>
      <c r="U19" s="136"/>
      <c r="V19" s="136"/>
      <c r="W19" s="136"/>
      <c r="X19" s="136"/>
      <c r="Y19" s="136"/>
      <c r="Z19" s="136"/>
      <c r="AA19" s="136"/>
      <c r="AB19" s="136"/>
      <c r="AC19" s="136"/>
      <c r="AD19" s="136"/>
      <c r="AE19" s="76"/>
      <c r="AF19" s="77">
        <v>66</v>
      </c>
      <c r="AG19" s="82">
        <f>'PF100'!V75</f>
        <v>0</v>
      </c>
    </row>
    <row r="20" spans="2:33" ht="15" customHeight="1" x14ac:dyDescent="0.55000000000000004">
      <c r="B20" s="78"/>
      <c r="C20" s="81">
        <f>'PF100'!V20</f>
        <v>0</v>
      </c>
      <c r="D20" s="75">
        <v>11</v>
      </c>
      <c r="E20" s="7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76"/>
      <c r="AF20" s="77">
        <v>65</v>
      </c>
      <c r="AG20" s="82">
        <f>'PF100'!V74</f>
        <v>0</v>
      </c>
    </row>
    <row r="21" spans="2:33" ht="15" customHeight="1" x14ac:dyDescent="0.55000000000000004">
      <c r="B21" s="78"/>
      <c r="C21" s="83" t="str">
        <f>'PF100'!V21</f>
        <v>VDDD</v>
      </c>
      <c r="D21" s="75">
        <v>12</v>
      </c>
      <c r="E21" s="76"/>
      <c r="F21" s="136"/>
      <c r="G21" s="136"/>
      <c r="H21" s="136"/>
      <c r="I21" s="136"/>
      <c r="J21" s="136"/>
      <c r="K21" s="136"/>
      <c r="L21" s="136"/>
      <c r="M21" s="136"/>
      <c r="N21" s="136"/>
      <c r="O21" s="136"/>
      <c r="P21" s="136"/>
      <c r="Q21" s="136"/>
      <c r="R21" s="136"/>
      <c r="S21" s="136"/>
      <c r="T21" s="136"/>
      <c r="U21" s="136"/>
      <c r="V21" s="136"/>
      <c r="W21" s="136"/>
      <c r="X21" s="136"/>
      <c r="Y21" s="136"/>
      <c r="Z21" s="136"/>
      <c r="AA21" s="136"/>
      <c r="AB21" s="136"/>
      <c r="AC21" s="136"/>
      <c r="AD21" s="136"/>
      <c r="AE21" s="76"/>
      <c r="AF21" s="77">
        <v>64</v>
      </c>
      <c r="AG21" s="82">
        <f>'PF100'!V73</f>
        <v>0</v>
      </c>
    </row>
    <row r="22" spans="2:33" ht="15" customHeight="1" x14ac:dyDescent="0.55000000000000004">
      <c r="B22" s="78"/>
      <c r="C22" s="79" t="str">
        <f>'PF100'!V22</f>
        <v>VSSD</v>
      </c>
      <c r="D22" s="75">
        <v>13</v>
      </c>
      <c r="E22" s="7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c r="AE22" s="76"/>
      <c r="AF22" s="77">
        <v>63</v>
      </c>
      <c r="AG22" s="82">
        <f>'PF100'!V72</f>
        <v>0</v>
      </c>
    </row>
    <row r="23" spans="2:33" ht="15" customHeight="1" x14ac:dyDescent="0.55000000000000004">
      <c r="B23" s="78"/>
      <c r="C23" s="81">
        <f>'PF100'!V23</f>
        <v>0</v>
      </c>
      <c r="D23" s="75">
        <v>14</v>
      </c>
      <c r="E23" s="76"/>
      <c r="F23" s="136"/>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76"/>
      <c r="AF23" s="77">
        <v>62</v>
      </c>
      <c r="AG23" s="82">
        <f>'PF100'!V71</f>
        <v>0</v>
      </c>
    </row>
    <row r="24" spans="2:33" ht="15" customHeight="1" x14ac:dyDescent="0.55000000000000004">
      <c r="B24" s="78"/>
      <c r="C24" s="81">
        <f>'PF100'!V24</f>
        <v>0</v>
      </c>
      <c r="D24" s="75">
        <v>15</v>
      </c>
      <c r="E24" s="76"/>
      <c r="F24" s="136"/>
      <c r="G24" s="136"/>
      <c r="H24" s="136"/>
      <c r="I24" s="136"/>
      <c r="J24" s="136"/>
      <c r="K24" s="136"/>
      <c r="L24" s="136"/>
      <c r="M24" s="136"/>
      <c r="N24" s="136"/>
      <c r="O24" s="136"/>
      <c r="P24" s="136"/>
      <c r="Q24" s="136"/>
      <c r="R24" s="136"/>
      <c r="S24" s="136"/>
      <c r="T24" s="136"/>
      <c r="U24" s="136"/>
      <c r="V24" s="136"/>
      <c r="W24" s="136"/>
      <c r="X24" s="136"/>
      <c r="Y24" s="136"/>
      <c r="Z24" s="136"/>
      <c r="AA24" s="136"/>
      <c r="AB24" s="136"/>
      <c r="AC24" s="136"/>
      <c r="AD24" s="136"/>
      <c r="AE24" s="76"/>
      <c r="AF24" s="77">
        <v>61</v>
      </c>
      <c r="AG24" s="82">
        <f>'PF100'!V70</f>
        <v>0</v>
      </c>
    </row>
    <row r="25" spans="2:33" ht="15" customHeight="1" x14ac:dyDescent="0.55000000000000004">
      <c r="B25" s="78"/>
      <c r="C25" s="81">
        <f>'PF100'!V25</f>
        <v>0</v>
      </c>
      <c r="D25" s="75">
        <v>16</v>
      </c>
      <c r="E25" s="7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76"/>
      <c r="AF25" s="77">
        <v>60</v>
      </c>
      <c r="AG25" s="82">
        <f>'PF100'!V69</f>
        <v>0</v>
      </c>
    </row>
    <row r="26" spans="2:33" ht="15" customHeight="1" x14ac:dyDescent="0.55000000000000004">
      <c r="B26" s="78"/>
      <c r="C26" s="81">
        <f>'PF100'!V26</f>
        <v>0</v>
      </c>
      <c r="D26" s="75">
        <v>17</v>
      </c>
      <c r="E26" s="7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76"/>
      <c r="AF26" s="77">
        <v>59</v>
      </c>
      <c r="AG26" s="82">
        <f>'PF100'!V68</f>
        <v>0</v>
      </c>
    </row>
    <row r="27" spans="2:33" ht="15" customHeight="1" x14ac:dyDescent="0.55000000000000004">
      <c r="B27" s="78"/>
      <c r="C27" s="81">
        <f>'PF100'!V27</f>
        <v>0</v>
      </c>
      <c r="D27" s="75">
        <v>18</v>
      </c>
      <c r="E27" s="7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76"/>
      <c r="AF27" s="77">
        <v>58</v>
      </c>
      <c r="AG27" s="82">
        <f>'PF100'!V67</f>
        <v>0</v>
      </c>
    </row>
    <row r="28" spans="2:33" ht="15" customHeight="1" x14ac:dyDescent="0.55000000000000004">
      <c r="B28" s="78"/>
      <c r="C28" s="81">
        <f>'PF100'!V28</f>
        <v>0</v>
      </c>
      <c r="D28" s="75">
        <v>19</v>
      </c>
      <c r="E28" s="76"/>
      <c r="F28" s="136"/>
      <c r="G28" s="136"/>
      <c r="H28" s="136"/>
      <c r="I28" s="136"/>
      <c r="J28" s="136"/>
      <c r="K28" s="136"/>
      <c r="L28" s="136"/>
      <c r="M28" s="136"/>
      <c r="N28" s="136"/>
      <c r="O28" s="136"/>
      <c r="P28" s="136"/>
      <c r="Q28" s="136"/>
      <c r="R28" s="136"/>
      <c r="S28" s="136"/>
      <c r="T28" s="136"/>
      <c r="U28" s="136"/>
      <c r="V28" s="136"/>
      <c r="W28" s="136"/>
      <c r="X28" s="136"/>
      <c r="Y28" s="136"/>
      <c r="Z28" s="136"/>
      <c r="AA28" s="136"/>
      <c r="AB28" s="136"/>
      <c r="AC28" s="136"/>
      <c r="AD28" s="136"/>
      <c r="AE28" s="76"/>
      <c r="AF28" s="77">
        <v>57</v>
      </c>
      <c r="AG28" s="82">
        <f>'PF100'!V66</f>
        <v>0</v>
      </c>
    </row>
    <row r="29" spans="2:33" ht="15" customHeight="1" x14ac:dyDescent="0.55000000000000004">
      <c r="B29" s="78"/>
      <c r="C29" s="81">
        <f>'PF100'!V29</f>
        <v>0</v>
      </c>
      <c r="D29" s="75">
        <v>20</v>
      </c>
      <c r="E29" s="7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76"/>
      <c r="AF29" s="77">
        <v>56</v>
      </c>
      <c r="AG29" s="82">
        <f>'PF100'!V65</f>
        <v>0</v>
      </c>
    </row>
    <row r="30" spans="2:33" ht="15" customHeight="1" x14ac:dyDescent="0.55000000000000004">
      <c r="B30" s="78"/>
      <c r="C30" s="81">
        <f>'PF100'!V30</f>
        <v>0</v>
      </c>
      <c r="D30" s="75">
        <v>21</v>
      </c>
      <c r="E30" s="7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76"/>
      <c r="AF30" s="77">
        <v>55</v>
      </c>
      <c r="AG30" s="82">
        <f>'PF100'!V64</f>
        <v>0</v>
      </c>
    </row>
    <row r="31" spans="2:33" ht="15" customHeight="1" x14ac:dyDescent="0.55000000000000004">
      <c r="B31" s="78"/>
      <c r="C31" s="81">
        <f>'PF100'!V31</f>
        <v>0</v>
      </c>
      <c r="D31" s="75">
        <v>22</v>
      </c>
      <c r="E31" s="76"/>
      <c r="F31" s="136"/>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76"/>
      <c r="AF31" s="77">
        <v>54</v>
      </c>
      <c r="AG31" s="82">
        <f>'PF100'!V63</f>
        <v>0</v>
      </c>
    </row>
    <row r="32" spans="2:33" ht="15" customHeight="1" x14ac:dyDescent="0.55000000000000004">
      <c r="B32" s="78"/>
      <c r="C32" s="81">
        <f>'PF100'!V32</f>
        <v>0</v>
      </c>
      <c r="D32" s="75">
        <v>23</v>
      </c>
      <c r="E32" s="76"/>
      <c r="F32" s="136"/>
      <c r="G32" s="136"/>
      <c r="H32" s="136"/>
      <c r="I32" s="136"/>
      <c r="J32" s="136"/>
      <c r="K32" s="136"/>
      <c r="L32" s="136"/>
      <c r="M32" s="136"/>
      <c r="N32" s="136"/>
      <c r="O32" s="136"/>
      <c r="P32" s="136"/>
      <c r="Q32" s="136"/>
      <c r="R32" s="136"/>
      <c r="S32" s="136"/>
      <c r="T32" s="136"/>
      <c r="U32" s="136"/>
      <c r="V32" s="136"/>
      <c r="W32" s="136"/>
      <c r="X32" s="136"/>
      <c r="Y32" s="136"/>
      <c r="Z32" s="136"/>
      <c r="AA32" s="136"/>
      <c r="AB32" s="136"/>
      <c r="AC32" s="136"/>
      <c r="AD32" s="136"/>
      <c r="AE32" s="76"/>
      <c r="AF32" s="77">
        <v>53</v>
      </c>
      <c r="AG32" s="82">
        <f>'PF100'!V62</f>
        <v>0</v>
      </c>
    </row>
    <row r="33" spans="2:34" ht="15" customHeight="1" x14ac:dyDescent="0.55000000000000004">
      <c r="B33" s="78"/>
      <c r="C33" s="83" t="str">
        <f>'PF100'!V33</f>
        <v>VDDD</v>
      </c>
      <c r="D33" s="75">
        <v>24</v>
      </c>
      <c r="E33" s="76"/>
      <c r="F33" s="136"/>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76"/>
      <c r="AF33" s="77">
        <v>52</v>
      </c>
      <c r="AG33" s="82">
        <f>'PF100'!V61</f>
        <v>0</v>
      </c>
    </row>
    <row r="34" spans="2:34" ht="15" customHeight="1" x14ac:dyDescent="0.55000000000000004">
      <c r="B34" s="78"/>
      <c r="C34" s="83" t="str">
        <f>'PF100'!V34</f>
        <v>VDDIO_1</v>
      </c>
      <c r="D34" s="75">
        <v>25</v>
      </c>
      <c r="E34" s="76"/>
      <c r="F34" s="136"/>
      <c r="G34" s="136"/>
      <c r="H34" s="136"/>
      <c r="I34" s="136"/>
      <c r="J34" s="136"/>
      <c r="K34" s="136"/>
      <c r="L34" s="136"/>
      <c r="M34" s="136"/>
      <c r="N34" s="136"/>
      <c r="O34" s="136"/>
      <c r="P34" s="136"/>
      <c r="Q34" s="136"/>
      <c r="R34" s="136"/>
      <c r="S34" s="136"/>
      <c r="T34" s="136"/>
      <c r="U34" s="136"/>
      <c r="V34" s="136"/>
      <c r="W34" s="136"/>
      <c r="X34" s="136"/>
      <c r="Y34" s="136"/>
      <c r="Z34" s="136"/>
      <c r="AA34" s="136"/>
      <c r="AB34" s="136"/>
      <c r="AC34" s="136"/>
      <c r="AD34" s="136"/>
      <c r="AE34" s="76"/>
      <c r="AF34" s="77">
        <v>51</v>
      </c>
      <c r="AG34" s="84" t="str">
        <f>'PF100'!V60</f>
        <v>VSSD</v>
      </c>
    </row>
    <row r="35" spans="2:34" ht="15" customHeight="1" x14ac:dyDescent="0.55000000000000004">
      <c r="D35" s="75"/>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7"/>
    </row>
    <row r="36" spans="2:34" ht="15" customHeight="1" x14ac:dyDescent="0.55000000000000004">
      <c r="D36" s="74"/>
      <c r="E36" s="85"/>
      <c r="F36" s="85">
        <v>26</v>
      </c>
      <c r="G36" s="85">
        <v>27</v>
      </c>
      <c r="H36" s="85">
        <v>28</v>
      </c>
      <c r="I36" s="85">
        <v>29</v>
      </c>
      <c r="J36" s="85">
        <v>30</v>
      </c>
      <c r="K36" s="85">
        <v>31</v>
      </c>
      <c r="L36" s="85">
        <v>32</v>
      </c>
      <c r="M36" s="85">
        <v>33</v>
      </c>
      <c r="N36" s="85">
        <v>34</v>
      </c>
      <c r="O36" s="85">
        <v>35</v>
      </c>
      <c r="P36" s="85">
        <v>36</v>
      </c>
      <c r="Q36" s="85">
        <v>37</v>
      </c>
      <c r="R36" s="85">
        <v>38</v>
      </c>
      <c r="S36" s="85">
        <v>39</v>
      </c>
      <c r="T36" s="85">
        <v>40</v>
      </c>
      <c r="U36" s="85">
        <v>41</v>
      </c>
      <c r="V36" s="85">
        <v>42</v>
      </c>
      <c r="W36" s="85">
        <v>43</v>
      </c>
      <c r="X36" s="85">
        <v>44</v>
      </c>
      <c r="Y36" s="85">
        <v>45</v>
      </c>
      <c r="Z36" s="85">
        <v>46</v>
      </c>
      <c r="AA36" s="85">
        <v>47</v>
      </c>
      <c r="AB36" s="85">
        <v>48</v>
      </c>
      <c r="AC36" s="85">
        <v>49</v>
      </c>
      <c r="AD36" s="85">
        <v>50</v>
      </c>
      <c r="AE36" s="85"/>
      <c r="AF36" s="72"/>
    </row>
    <row r="37" spans="2:34" ht="105" customHeight="1" x14ac:dyDescent="0.55000000000000004">
      <c r="F37" s="86" t="str">
        <f>'PF100'!V35</f>
        <v>VSSD</v>
      </c>
      <c r="G37" s="86" t="str">
        <f>'PF100'!V36</f>
        <v>VSSD</v>
      </c>
      <c r="H37" s="87" t="str">
        <f>'PF100'!V37</f>
        <v>VCCD</v>
      </c>
      <c r="I37" s="88">
        <f>'PF100'!V38</f>
        <v>0</v>
      </c>
      <c r="J37" s="88">
        <f>'PF100'!V39</f>
        <v>0</v>
      </c>
      <c r="K37" s="88">
        <f>'PF100'!V40</f>
        <v>0</v>
      </c>
      <c r="L37" s="88">
        <f>'PF100'!V41</f>
        <v>0</v>
      </c>
      <c r="M37" s="88">
        <f>'PF100'!V42</f>
        <v>0</v>
      </c>
      <c r="N37" s="88">
        <f>'PF100'!V43</f>
        <v>0</v>
      </c>
      <c r="O37" s="88">
        <f>'PF100'!V44</f>
        <v>0</v>
      </c>
      <c r="P37" s="88">
        <f>'PF100'!V45</f>
        <v>0</v>
      </c>
      <c r="Q37" s="88">
        <f>'PF100'!V46</f>
        <v>0</v>
      </c>
      <c r="R37" s="88">
        <f>'PF100'!V47</f>
        <v>0</v>
      </c>
      <c r="S37" s="88">
        <f>'PF100'!V48</f>
        <v>0</v>
      </c>
      <c r="T37" s="88">
        <f>'PF100'!V49</f>
        <v>0</v>
      </c>
      <c r="U37" s="89" t="str">
        <f>'PF100'!V50</f>
        <v>VREFL</v>
      </c>
      <c r="V37" s="86" t="str">
        <f>'PF100'!V51</f>
        <v>VSSA</v>
      </c>
      <c r="W37" s="87" t="str">
        <f>'PF100'!V52</f>
        <v>VDDA</v>
      </c>
      <c r="X37" s="89" t="str">
        <f>'PF100'!V53</f>
        <v>VREFH</v>
      </c>
      <c r="Y37" s="88">
        <f>'PF100'!V54</f>
        <v>0</v>
      </c>
      <c r="Z37" s="88">
        <f>'PF100'!V55</f>
        <v>0</v>
      </c>
      <c r="AA37" s="88">
        <f>'PF100'!V56</f>
        <v>0</v>
      </c>
      <c r="AB37" s="88">
        <f>'PF100'!V57</f>
        <v>0</v>
      </c>
      <c r="AC37" s="88">
        <f>'PF100'!V58</f>
        <v>0</v>
      </c>
      <c r="AD37" s="87" t="str">
        <f>'PF100'!V59</f>
        <v>VDDIO_2</v>
      </c>
    </row>
    <row r="48" spans="2:34" ht="14.5" x14ac:dyDescent="0.55000000000000004">
      <c r="B48" s="137" t="s">
        <v>1216</v>
      </c>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c r="AA48" s="137"/>
      <c r="AB48" s="137"/>
      <c r="AC48" s="137"/>
      <c r="AD48" s="137"/>
      <c r="AE48" s="137"/>
      <c r="AF48" s="137"/>
      <c r="AG48" s="137"/>
      <c r="AH48" s="137"/>
    </row>
    <row r="49" spans="2:34" ht="196" customHeight="1" x14ac:dyDescent="0.55000000000000004">
      <c r="B49" s="119" t="s">
        <v>1217</v>
      </c>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row>
  </sheetData>
  <sheetProtection algorithmName="SHA-512" hashValue="vapJ5V7w5fNiuNccAh52PhK8y+erjfcsbQ828IpyLyLSY3ZEwZ9HozE8f7/WwKAs4brwBzXgckdKNEHPY2UjeQ==" saltValue="LMaMdxDtEK8b4P6wGlottg==" spinCount="100000" sheet="1" objects="1" scenarios="1" formatCells="0" formatColumns="0" formatRows="0" insertColumns="0" insertRows="0" insertHyperlinks="0" deleteColumns="0" deleteRows="0" selectLockedCells="1" sort="0" autoFilter="0" pivotTables="0"/>
  <mergeCells count="3">
    <mergeCell ref="F10:AD34"/>
    <mergeCell ref="B48:AH48"/>
    <mergeCell ref="B49:AH49"/>
  </mergeCells>
  <phoneticPr fontId="3"/>
  <pageMargins left="0.7" right="0.7" top="0.75" bottom="0.75" header="0.3" footer="0.3"/>
  <pageSetup paperSize="9" orientation="portrait" r:id="rId1"/>
  <ignoredErrors>
    <ignoredError sqref="F7:AE9 F35:AE37 F10:AE34 C10:E34 AF10:AG34" unlockedFormula="1"/>
  </ignoredErrors>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D61D2-19AF-48E6-84C0-0116AABC7E66}">
  <dimension ref="A1:AF157"/>
  <sheetViews>
    <sheetView zoomScale="96" zoomScaleNormal="96" workbookViewId="0">
      <pane xSplit="3" ySplit="9" topLeftCell="V10" activePane="bottomRight" state="frozen"/>
      <selection pane="topRight" activeCell="D1" sqref="D1"/>
      <selection pane="bottomLeft" activeCell="A6" sqref="A6"/>
      <selection pane="bottomRight" activeCell="V2" sqref="V2"/>
    </sheetView>
  </sheetViews>
  <sheetFormatPr defaultColWidth="8.6640625" defaultRowHeight="10" x14ac:dyDescent="0.55000000000000004"/>
  <cols>
    <col min="1" max="1" width="4.58203125" style="4" customWidth="1"/>
    <col min="2" max="2" width="8.6640625" style="4"/>
    <col min="3" max="3" width="3.58203125" style="4" customWidth="1"/>
    <col min="4" max="4" width="9.58203125" style="4" customWidth="1"/>
    <col min="5" max="5" width="8.83203125" style="4" customWidth="1"/>
    <col min="6" max="7" width="11.08203125" style="4" customWidth="1"/>
    <col min="8" max="8" width="11.6640625" style="4" customWidth="1"/>
    <col min="9" max="9" width="11.5" style="4" customWidth="1"/>
    <col min="10" max="10" width="11.1640625" style="4" customWidth="1"/>
    <col min="11" max="11" width="12.08203125" style="4" customWidth="1"/>
    <col min="12" max="12" width="11.83203125" style="4" customWidth="1"/>
    <col min="13" max="16" width="8.83203125" style="4" customWidth="1"/>
    <col min="17" max="20" width="14.08203125" style="4" customWidth="1"/>
    <col min="21" max="21" width="17.6640625" style="4" customWidth="1"/>
    <col min="22" max="22" width="16.4140625" style="4" bestFit="1" customWidth="1"/>
    <col min="23" max="23" width="16.4140625" style="4" customWidth="1"/>
    <col min="24" max="24" width="24.83203125" style="4" bestFit="1" customWidth="1"/>
    <col min="25" max="25" width="24.83203125" style="4" customWidth="1"/>
    <col min="26" max="26" width="7.83203125" style="4" bestFit="1" customWidth="1"/>
    <col min="27" max="27" width="6.83203125" style="4" bestFit="1" customWidth="1"/>
    <col min="28" max="29" width="12.58203125" style="4" customWidth="1"/>
    <col min="30" max="32" width="8.58203125" style="4" customWidth="1"/>
    <col min="33" max="16384" width="8.6640625" style="4"/>
  </cols>
  <sheetData>
    <row r="1" spans="1:32" ht="25" customHeight="1" x14ac:dyDescent="0.55000000000000004">
      <c r="A1" s="1" t="s">
        <v>362</v>
      </c>
      <c r="AD1" s="23"/>
      <c r="AE1" s="23"/>
      <c r="AF1" s="23"/>
    </row>
    <row r="2" spans="1:32" ht="25" customHeight="1" x14ac:dyDescent="0.55000000000000004">
      <c r="A2" s="1"/>
      <c r="AD2" s="23"/>
      <c r="AE2" s="23"/>
      <c r="AF2" s="23"/>
    </row>
    <row r="3" spans="1:32" ht="25" customHeight="1" x14ac:dyDescent="0.55000000000000004">
      <c r="A3" s="1"/>
      <c r="AD3" s="23"/>
      <c r="AE3" s="23"/>
      <c r="AF3" s="23"/>
    </row>
    <row r="4" spans="1:32" ht="25" customHeight="1" x14ac:dyDescent="0.55000000000000004">
      <c r="A4" s="1"/>
      <c r="AD4" s="23"/>
      <c r="AE4" s="23"/>
      <c r="AF4" s="23"/>
    </row>
    <row r="5" spans="1:32" ht="25" customHeight="1" x14ac:dyDescent="0.55000000000000004">
      <c r="A5" s="1"/>
      <c r="AC5" s="5"/>
      <c r="AD5" s="23"/>
      <c r="AE5" s="23"/>
      <c r="AF5" s="24" t="s">
        <v>1185</v>
      </c>
    </row>
    <row r="6" spans="1:32" x14ac:dyDescent="0.55000000000000004">
      <c r="B6" s="4" t="s">
        <v>519</v>
      </c>
      <c r="E6" s="4" t="s">
        <v>529</v>
      </c>
      <c r="F6" s="4" t="s">
        <v>529</v>
      </c>
      <c r="G6" s="4" t="s">
        <v>520</v>
      </c>
      <c r="H6" s="4" t="s">
        <v>520</v>
      </c>
      <c r="I6" s="4" t="s">
        <v>529</v>
      </c>
      <c r="J6" s="4" t="s">
        <v>521</v>
      </c>
      <c r="K6" s="4" t="s">
        <v>522</v>
      </c>
      <c r="L6" s="4" t="s">
        <v>523</v>
      </c>
      <c r="M6" s="4" t="s">
        <v>524</v>
      </c>
      <c r="N6" s="4" t="s">
        <v>525</v>
      </c>
      <c r="O6" s="4" t="s">
        <v>1130</v>
      </c>
      <c r="P6" s="4" t="s">
        <v>526</v>
      </c>
      <c r="Q6" s="4" t="s">
        <v>526</v>
      </c>
      <c r="R6" s="4" t="s">
        <v>522</v>
      </c>
      <c r="S6" s="4" t="s">
        <v>527</v>
      </c>
      <c r="T6" s="4" t="s">
        <v>523</v>
      </c>
      <c r="U6" s="4" t="s">
        <v>528</v>
      </c>
    </row>
    <row r="7" spans="1:32" ht="10.25" customHeight="1" x14ac:dyDescent="0.55000000000000004">
      <c r="B7" s="138" t="s">
        <v>1129</v>
      </c>
      <c r="C7" s="147" t="s">
        <v>252</v>
      </c>
      <c r="D7" s="141" t="s">
        <v>373</v>
      </c>
      <c r="E7" s="6"/>
      <c r="F7" s="7"/>
      <c r="G7" s="7"/>
      <c r="H7" s="7"/>
      <c r="I7" s="121" t="s">
        <v>1</v>
      </c>
      <c r="J7" s="121"/>
      <c r="K7" s="121"/>
      <c r="L7" s="7"/>
      <c r="M7" s="7"/>
      <c r="N7" s="7"/>
      <c r="O7" s="7"/>
      <c r="P7" s="7"/>
      <c r="Q7" s="8"/>
      <c r="R7" s="144" t="s">
        <v>346</v>
      </c>
      <c r="S7" s="121"/>
      <c r="T7" s="145"/>
      <c r="U7" s="138" t="s">
        <v>264</v>
      </c>
      <c r="V7" s="111" t="s">
        <v>262</v>
      </c>
      <c r="W7" s="112"/>
      <c r="X7" s="113"/>
      <c r="Y7" s="101" t="s">
        <v>1187</v>
      </c>
      <c r="Z7" s="114" t="s">
        <v>545</v>
      </c>
      <c r="AA7" s="115"/>
      <c r="AB7" s="106" t="s">
        <v>372</v>
      </c>
      <c r="AC7" s="107"/>
    </row>
    <row r="8" spans="1:32" ht="10.25" customHeight="1" x14ac:dyDescent="0.55000000000000004">
      <c r="B8" s="139"/>
      <c r="C8" s="148"/>
      <c r="D8" s="142"/>
      <c r="E8" s="67" t="s">
        <v>348</v>
      </c>
      <c r="F8" s="67" t="s">
        <v>2</v>
      </c>
      <c r="G8" s="67" t="s">
        <v>3</v>
      </c>
      <c r="H8" s="67" t="s">
        <v>4</v>
      </c>
      <c r="I8" s="67" t="s">
        <v>5</v>
      </c>
      <c r="J8" s="67" t="s">
        <v>6</v>
      </c>
      <c r="K8" s="67" t="s">
        <v>7</v>
      </c>
      <c r="L8" s="67" t="s">
        <v>8</v>
      </c>
      <c r="M8" s="67" t="s">
        <v>9</v>
      </c>
      <c r="N8" s="67" t="s">
        <v>10</v>
      </c>
      <c r="O8" s="67" t="s">
        <v>1128</v>
      </c>
      <c r="P8" s="67" t="s">
        <v>11</v>
      </c>
      <c r="Q8" s="67" t="s">
        <v>12</v>
      </c>
      <c r="R8" s="67" t="s">
        <v>265</v>
      </c>
      <c r="S8" s="67" t="s">
        <v>266</v>
      </c>
      <c r="T8" s="67" t="s">
        <v>267</v>
      </c>
      <c r="U8" s="139"/>
      <c r="V8" s="108" t="s">
        <v>263</v>
      </c>
      <c r="W8" s="108" t="s">
        <v>1186</v>
      </c>
      <c r="X8" s="109" t="s">
        <v>370</v>
      </c>
      <c r="Y8" s="102"/>
      <c r="Z8" s="116" t="s">
        <v>544</v>
      </c>
      <c r="AA8" s="116" t="s">
        <v>542</v>
      </c>
      <c r="AB8" s="104" t="s">
        <v>1183</v>
      </c>
      <c r="AC8" s="104" t="s">
        <v>1184</v>
      </c>
    </row>
    <row r="9" spans="1:32" ht="10.25" customHeight="1" x14ac:dyDescent="0.55000000000000004">
      <c r="B9" s="146"/>
      <c r="C9" s="149"/>
      <c r="D9" s="143"/>
      <c r="E9" s="67" t="s">
        <v>349</v>
      </c>
      <c r="F9" s="67" t="s">
        <v>13</v>
      </c>
      <c r="G9" s="67" t="s">
        <v>14</v>
      </c>
      <c r="H9" s="67" t="s">
        <v>15</v>
      </c>
      <c r="I9" s="67" t="s">
        <v>16</v>
      </c>
      <c r="J9" s="67" t="s">
        <v>17</v>
      </c>
      <c r="K9" s="67" t="s">
        <v>18</v>
      </c>
      <c r="L9" s="67" t="s">
        <v>19</v>
      </c>
      <c r="M9" s="67" t="s">
        <v>20</v>
      </c>
      <c r="N9" s="67" t="s">
        <v>21</v>
      </c>
      <c r="O9" s="67" t="s">
        <v>22</v>
      </c>
      <c r="P9" s="67" t="s">
        <v>1126</v>
      </c>
      <c r="Q9" s="67" t="s">
        <v>1127</v>
      </c>
      <c r="R9" s="67" t="s">
        <v>347</v>
      </c>
      <c r="S9" s="67" t="s">
        <v>268</v>
      </c>
      <c r="T9" s="67" t="s">
        <v>269</v>
      </c>
      <c r="U9" s="140"/>
      <c r="V9" s="108"/>
      <c r="W9" s="108"/>
      <c r="X9" s="110"/>
      <c r="Y9" s="103"/>
      <c r="Z9" s="117"/>
      <c r="AA9" s="117"/>
      <c r="AB9" s="105"/>
      <c r="AC9" s="105"/>
    </row>
    <row r="10" spans="1:32" x14ac:dyDescent="0.2">
      <c r="B10" s="10" t="s">
        <v>253</v>
      </c>
      <c r="C10" s="11">
        <v>1</v>
      </c>
      <c r="D10" s="12" t="s">
        <v>272</v>
      </c>
      <c r="E10" s="12" t="s">
        <v>272</v>
      </c>
      <c r="F10" s="12" t="s">
        <v>272</v>
      </c>
      <c r="G10" s="12" t="s">
        <v>272</v>
      </c>
      <c r="H10" s="12" t="s">
        <v>272</v>
      </c>
      <c r="I10" s="12" t="s">
        <v>272</v>
      </c>
      <c r="J10" s="12" t="s">
        <v>272</v>
      </c>
      <c r="K10" s="12" t="s">
        <v>272</v>
      </c>
      <c r="L10" s="12" t="s">
        <v>272</v>
      </c>
      <c r="M10" s="12" t="s">
        <v>272</v>
      </c>
      <c r="N10" s="12" t="s">
        <v>272</v>
      </c>
      <c r="O10" s="12" t="s">
        <v>272</v>
      </c>
      <c r="P10" s="12" t="s">
        <v>272</v>
      </c>
      <c r="Q10" s="12" t="s">
        <v>272</v>
      </c>
      <c r="R10" s="12" t="s">
        <v>272</v>
      </c>
      <c r="S10" s="12" t="s">
        <v>272</v>
      </c>
      <c r="T10" s="12" t="s">
        <v>272</v>
      </c>
      <c r="U10" s="12" t="s">
        <v>272</v>
      </c>
      <c r="V10" s="10" t="s">
        <v>253</v>
      </c>
      <c r="W10" s="12" t="s">
        <v>272</v>
      </c>
      <c r="X10" s="25"/>
      <c r="Y10" s="13" t="s">
        <v>531</v>
      </c>
      <c r="Z10" s="90" t="s">
        <v>543</v>
      </c>
      <c r="AA10" s="90" t="s">
        <v>543</v>
      </c>
      <c r="AB10" s="13"/>
      <c r="AC10" s="13"/>
    </row>
    <row r="11" spans="1:32" x14ac:dyDescent="0.2">
      <c r="B11" s="14" t="s">
        <v>23</v>
      </c>
      <c r="C11" s="14">
        <v>2</v>
      </c>
      <c r="D11" s="15" t="s">
        <v>23</v>
      </c>
      <c r="E11" s="14" t="s">
        <v>564</v>
      </c>
      <c r="F11" s="14" t="s">
        <v>565</v>
      </c>
      <c r="G11" s="14" t="s">
        <v>566</v>
      </c>
      <c r="H11" s="14" t="s">
        <v>567</v>
      </c>
      <c r="I11" s="12" t="s">
        <v>272</v>
      </c>
      <c r="J11" s="14" t="s">
        <v>568</v>
      </c>
      <c r="K11" s="14" t="s">
        <v>569</v>
      </c>
      <c r="L11" s="12" t="s">
        <v>272</v>
      </c>
      <c r="M11" s="14" t="s">
        <v>24</v>
      </c>
      <c r="N11" s="12" t="s">
        <v>272</v>
      </c>
      <c r="O11" s="12" t="s">
        <v>272</v>
      </c>
      <c r="P11" s="12" t="s">
        <v>272</v>
      </c>
      <c r="Q11" s="12" t="s">
        <v>272</v>
      </c>
      <c r="R11" s="12" t="s">
        <v>272</v>
      </c>
      <c r="S11" s="12" t="s">
        <v>272</v>
      </c>
      <c r="T11" s="14" t="s">
        <v>1111</v>
      </c>
      <c r="U11" s="12" t="s">
        <v>272</v>
      </c>
      <c r="V11" s="16"/>
      <c r="W11" s="12" t="s">
        <v>272</v>
      </c>
      <c r="X11" s="25" t="str">
        <f>_xlfn.IFS(AND(COUNTIF(V11,"SCB0*")=1, 'PCH80'!D60&gt;=2), "See the Notice *2", AND(COUNTIF(V11,"SCB7*")=1, 'PCH80'!K60&gt;=2), "See the Notice *2", TRUE, "")</f>
        <v/>
      </c>
      <c r="Y11" s="13"/>
      <c r="Z11" s="90" t="s">
        <v>270</v>
      </c>
      <c r="AA11" s="90" t="s">
        <v>254</v>
      </c>
      <c r="AB11" s="13"/>
      <c r="AC11" s="13"/>
    </row>
    <row r="12" spans="1:32" ht="10.25" customHeight="1" x14ac:dyDescent="0.2">
      <c r="B12" s="14" t="s">
        <v>25</v>
      </c>
      <c r="C12" s="14">
        <v>3</v>
      </c>
      <c r="D12" s="15" t="s">
        <v>25</v>
      </c>
      <c r="E12" s="14" t="s">
        <v>570</v>
      </c>
      <c r="F12" s="14" t="s">
        <v>571</v>
      </c>
      <c r="G12" s="14" t="s">
        <v>572</v>
      </c>
      <c r="H12" s="14" t="s">
        <v>573</v>
      </c>
      <c r="I12" s="12" t="s">
        <v>272</v>
      </c>
      <c r="J12" s="14" t="s">
        <v>574</v>
      </c>
      <c r="K12" s="14" t="s">
        <v>575</v>
      </c>
      <c r="L12" s="12" t="s">
        <v>272</v>
      </c>
      <c r="M12" s="14" t="s">
        <v>26</v>
      </c>
      <c r="N12" s="12" t="s">
        <v>272</v>
      </c>
      <c r="O12" s="12" t="s">
        <v>272</v>
      </c>
      <c r="P12" s="12" t="s">
        <v>272</v>
      </c>
      <c r="Q12" s="12" t="s">
        <v>272</v>
      </c>
      <c r="R12" s="12" t="s">
        <v>272</v>
      </c>
      <c r="S12" s="12" t="s">
        <v>272</v>
      </c>
      <c r="T12" s="14" t="s">
        <v>1112</v>
      </c>
      <c r="U12" s="12" t="s">
        <v>272</v>
      </c>
      <c r="V12" s="18"/>
      <c r="W12" s="12" t="s">
        <v>272</v>
      </c>
      <c r="X12" s="25" t="str">
        <f>_xlfn.IFS(AND(COUNTIF(V12,"SCB0*")=1, 'PCH80'!D60&gt;=2), "See the Notice *2", AND(COUNTIF(V12,"SCB7*")=1, 'PCH80'!K60&gt;=2), "See the Notice *2", TRUE, "")</f>
        <v/>
      </c>
      <c r="Y12" s="13"/>
      <c r="Z12" s="90" t="s">
        <v>270</v>
      </c>
      <c r="AA12" s="90" t="s">
        <v>254</v>
      </c>
      <c r="AB12" s="13"/>
      <c r="AC12" s="13"/>
    </row>
    <row r="13" spans="1:32" ht="10.25" customHeight="1" x14ac:dyDescent="0.2">
      <c r="B13" s="14" t="s">
        <v>27</v>
      </c>
      <c r="C13" s="14">
        <v>4</v>
      </c>
      <c r="D13" s="15" t="s">
        <v>27</v>
      </c>
      <c r="E13" s="14" t="s">
        <v>576</v>
      </c>
      <c r="F13" s="14" t="s">
        <v>577</v>
      </c>
      <c r="G13" s="14" t="s">
        <v>578</v>
      </c>
      <c r="H13" s="14" t="s">
        <v>579</v>
      </c>
      <c r="I13" s="12" t="s">
        <v>272</v>
      </c>
      <c r="J13" s="14" t="s">
        <v>580</v>
      </c>
      <c r="K13" s="12" t="s">
        <v>272</v>
      </c>
      <c r="L13" s="12" t="s">
        <v>272</v>
      </c>
      <c r="M13" s="14" t="s">
        <v>28</v>
      </c>
      <c r="N13" s="14" t="s">
        <v>29</v>
      </c>
      <c r="O13" s="12" t="s">
        <v>272</v>
      </c>
      <c r="P13" s="12" t="s">
        <v>272</v>
      </c>
      <c r="Q13" s="12" t="s">
        <v>272</v>
      </c>
      <c r="R13" s="14" t="s">
        <v>1113</v>
      </c>
      <c r="S13" s="12" t="s">
        <v>272</v>
      </c>
      <c r="T13" s="14" t="s">
        <v>1114</v>
      </c>
      <c r="U13" s="12" t="s">
        <v>272</v>
      </c>
      <c r="V13" s="18"/>
      <c r="W13" s="12" t="s">
        <v>272</v>
      </c>
      <c r="X13" s="25" t="str">
        <f>_xlfn.IFS(AND(COUNTIF(V13,"SCB*")=1, 'PCH80'!D60&gt;=2), "See the Notice *2", TRUE, "")</f>
        <v/>
      </c>
      <c r="Y13" s="13"/>
      <c r="Z13" s="90" t="s">
        <v>270</v>
      </c>
      <c r="AA13" s="90" t="s">
        <v>254</v>
      </c>
      <c r="AB13" s="13"/>
      <c r="AC13" s="13"/>
    </row>
    <row r="14" spans="1:32" ht="10.25" customHeight="1" x14ac:dyDescent="0.2">
      <c r="B14" s="14" t="s">
        <v>30</v>
      </c>
      <c r="C14" s="14">
        <v>5</v>
      </c>
      <c r="D14" s="15" t="s">
        <v>30</v>
      </c>
      <c r="E14" s="14" t="s">
        <v>581</v>
      </c>
      <c r="F14" s="14" t="s">
        <v>582</v>
      </c>
      <c r="G14" s="14" t="s">
        <v>583</v>
      </c>
      <c r="H14" s="14" t="s">
        <v>584</v>
      </c>
      <c r="I14" s="12" t="s">
        <v>272</v>
      </c>
      <c r="J14" s="14" t="s">
        <v>585</v>
      </c>
      <c r="K14" s="12" t="s">
        <v>272</v>
      </c>
      <c r="L14" s="12" t="s">
        <v>272</v>
      </c>
      <c r="M14" s="12" t="s">
        <v>272</v>
      </c>
      <c r="N14" s="14" t="s">
        <v>31</v>
      </c>
      <c r="O14" s="12" t="s">
        <v>272</v>
      </c>
      <c r="P14" s="12" t="s">
        <v>272</v>
      </c>
      <c r="Q14" s="12" t="s">
        <v>272</v>
      </c>
      <c r="R14" s="14" t="s">
        <v>1115</v>
      </c>
      <c r="S14" s="12" t="s">
        <v>272</v>
      </c>
      <c r="T14" s="14" t="s">
        <v>1116</v>
      </c>
      <c r="U14" s="12" t="s">
        <v>272</v>
      </c>
      <c r="V14" s="18"/>
      <c r="W14" s="12" t="s">
        <v>272</v>
      </c>
      <c r="X14" s="25" t="str">
        <f>_xlfn.IFS(AND(COUNTIF(V14,"SCB*")=1, 'PCH80'!D60&gt;=2), "See the Notice *2", TRUE, "")</f>
        <v/>
      </c>
      <c r="Y14" s="13"/>
      <c r="Z14" s="90" t="s">
        <v>270</v>
      </c>
      <c r="AA14" s="90" t="s">
        <v>254</v>
      </c>
      <c r="AB14" s="13"/>
      <c r="AC14" s="13"/>
    </row>
    <row r="15" spans="1:32" x14ac:dyDescent="0.2">
      <c r="B15" s="14" t="s">
        <v>38</v>
      </c>
      <c r="C15" s="14">
        <v>6</v>
      </c>
      <c r="D15" s="15" t="s">
        <v>38</v>
      </c>
      <c r="E15" s="14" t="s">
        <v>606</v>
      </c>
      <c r="F15" s="14" t="s">
        <v>607</v>
      </c>
      <c r="G15" s="14" t="s">
        <v>608</v>
      </c>
      <c r="H15" s="14" t="s">
        <v>609</v>
      </c>
      <c r="I15" s="14" t="s">
        <v>610</v>
      </c>
      <c r="J15" s="14" t="s">
        <v>611</v>
      </c>
      <c r="K15" s="12" t="s">
        <v>272</v>
      </c>
      <c r="L15" s="14" t="s">
        <v>612</v>
      </c>
      <c r="M15" s="14" t="s">
        <v>39</v>
      </c>
      <c r="N15" s="14" t="s">
        <v>40</v>
      </c>
      <c r="O15" s="12" t="s">
        <v>272</v>
      </c>
      <c r="P15" s="14" t="s">
        <v>41</v>
      </c>
      <c r="Q15" s="12" t="s">
        <v>272</v>
      </c>
      <c r="R15" s="12" t="s">
        <v>272</v>
      </c>
      <c r="S15" s="14" t="s">
        <v>273</v>
      </c>
      <c r="T15" s="14" t="s">
        <v>1123</v>
      </c>
      <c r="U15" s="12" t="s">
        <v>272</v>
      </c>
      <c r="V15" s="18"/>
      <c r="W15" s="12" t="s">
        <v>272</v>
      </c>
      <c r="X15" s="25" t="str">
        <f>_xlfn.IFS(AND(COUNTIF(V15,"SCB0*")=1, 'PCH80'!D60&gt;=2), "See the Notice *2", AND(COUNTIF(V15,"SCB7*")=1, 'PCH80'!K60&gt;=2), "See the Notice *2", TRUE, "")</f>
        <v/>
      </c>
      <c r="Y15" s="13"/>
      <c r="Z15" s="90" t="s">
        <v>271</v>
      </c>
      <c r="AA15" s="90" t="s">
        <v>254</v>
      </c>
      <c r="AB15" s="13"/>
      <c r="AC15" s="13"/>
    </row>
    <row r="16" spans="1:32" x14ac:dyDescent="0.2">
      <c r="B16" s="14" t="s">
        <v>42</v>
      </c>
      <c r="C16" s="14">
        <v>7</v>
      </c>
      <c r="D16" s="15" t="s">
        <v>42</v>
      </c>
      <c r="E16" s="14" t="s">
        <v>613</v>
      </c>
      <c r="F16" s="14" t="s">
        <v>614</v>
      </c>
      <c r="G16" s="14" t="s">
        <v>615</v>
      </c>
      <c r="H16" s="14" t="s">
        <v>616</v>
      </c>
      <c r="I16" s="14" t="s">
        <v>617</v>
      </c>
      <c r="J16" s="14" t="s">
        <v>618</v>
      </c>
      <c r="K16" s="14" t="s">
        <v>619</v>
      </c>
      <c r="L16" s="14" t="s">
        <v>620</v>
      </c>
      <c r="M16" s="14" t="s">
        <v>43</v>
      </c>
      <c r="N16" s="14" t="s">
        <v>44</v>
      </c>
      <c r="O16" s="12" t="s">
        <v>272</v>
      </c>
      <c r="P16" s="14" t="s">
        <v>45</v>
      </c>
      <c r="Q16" s="12" t="s">
        <v>272</v>
      </c>
      <c r="R16" s="12" t="s">
        <v>272</v>
      </c>
      <c r="S16" s="12" t="s">
        <v>272</v>
      </c>
      <c r="T16" s="14" t="s">
        <v>1124</v>
      </c>
      <c r="U16" s="12" t="s">
        <v>272</v>
      </c>
      <c r="V16" s="18"/>
      <c r="W16" s="12" t="s">
        <v>272</v>
      </c>
      <c r="X16" s="25" t="str">
        <f>_xlfn.IFS(AND(COUNTIF(V16,"SCB0*")=1, 'PCH80'!D60&gt;=2), "See the Notice *2", AND(COUNTIF(V16,"SCB7*")=1, 'PCH80'!K60&gt;=2), "See the Notice *2", TRUE, "")</f>
        <v/>
      </c>
      <c r="Y16" s="13"/>
      <c r="Z16" s="90" t="s">
        <v>271</v>
      </c>
      <c r="AA16" s="90" t="s">
        <v>254</v>
      </c>
      <c r="AB16" s="13"/>
      <c r="AC16" s="13"/>
    </row>
    <row r="17" spans="2:29" x14ac:dyDescent="0.2">
      <c r="B17" s="14" t="s">
        <v>46</v>
      </c>
      <c r="C17" s="14">
        <v>8</v>
      </c>
      <c r="D17" s="15" t="s">
        <v>46</v>
      </c>
      <c r="E17" s="14" t="s">
        <v>621</v>
      </c>
      <c r="F17" s="14" t="s">
        <v>622</v>
      </c>
      <c r="G17" s="14" t="s">
        <v>623</v>
      </c>
      <c r="H17" s="14" t="s">
        <v>624</v>
      </c>
      <c r="I17" s="14" t="s">
        <v>625</v>
      </c>
      <c r="J17" s="14" t="s">
        <v>626</v>
      </c>
      <c r="K17" s="14" t="s">
        <v>627</v>
      </c>
      <c r="L17" s="14" t="s">
        <v>628</v>
      </c>
      <c r="M17" s="14" t="s">
        <v>47</v>
      </c>
      <c r="N17" s="12" t="s">
        <v>272</v>
      </c>
      <c r="O17" s="12" t="s">
        <v>272</v>
      </c>
      <c r="P17" s="14" t="s">
        <v>48</v>
      </c>
      <c r="Q17" s="12" t="s">
        <v>272</v>
      </c>
      <c r="R17" s="12" t="s">
        <v>272</v>
      </c>
      <c r="S17" s="12" t="s">
        <v>272</v>
      </c>
      <c r="T17" s="14" t="s">
        <v>1125</v>
      </c>
      <c r="U17" s="12" t="s">
        <v>272</v>
      </c>
      <c r="V17" s="18"/>
      <c r="W17" s="12" t="s">
        <v>272</v>
      </c>
      <c r="X17" s="25" t="str">
        <f>_xlfn.IFS(AND(COUNTIF(V17,"SCB0*")=1, 'PCH80'!D60&gt;=2), "See the Notice *2", AND(COUNTIF(V17,"SCB7*")=1, 'PCH80'!K60&gt;=2), "See the Notice *2", TRUE, "")</f>
        <v/>
      </c>
      <c r="Y17" s="13"/>
      <c r="Z17" s="90" t="s">
        <v>271</v>
      </c>
      <c r="AA17" s="90" t="s">
        <v>254</v>
      </c>
      <c r="AB17" s="13"/>
      <c r="AC17" s="13"/>
    </row>
    <row r="18" spans="2:29" x14ac:dyDescent="0.2">
      <c r="B18" s="14" t="s">
        <v>49</v>
      </c>
      <c r="C18" s="14">
        <v>9</v>
      </c>
      <c r="D18" s="15" t="s">
        <v>49</v>
      </c>
      <c r="E18" s="14" t="s">
        <v>629</v>
      </c>
      <c r="F18" s="14" t="s">
        <v>630</v>
      </c>
      <c r="G18" s="14" t="s">
        <v>631</v>
      </c>
      <c r="H18" s="14" t="s">
        <v>632</v>
      </c>
      <c r="I18" s="14" t="s">
        <v>633</v>
      </c>
      <c r="J18" s="14" t="s">
        <v>634</v>
      </c>
      <c r="K18" s="12" t="s">
        <v>272</v>
      </c>
      <c r="L18" s="14" t="s">
        <v>635</v>
      </c>
      <c r="M18" s="14" t="s">
        <v>50</v>
      </c>
      <c r="N18" s="12" t="s">
        <v>272</v>
      </c>
      <c r="O18" s="12" t="s">
        <v>272</v>
      </c>
      <c r="P18" s="14" t="s">
        <v>51</v>
      </c>
      <c r="Q18" s="12" t="s">
        <v>272</v>
      </c>
      <c r="R18" s="12" t="s">
        <v>272</v>
      </c>
      <c r="S18" s="12" t="s">
        <v>272</v>
      </c>
      <c r="T18" s="12" t="s">
        <v>272</v>
      </c>
      <c r="U18" s="12" t="s">
        <v>272</v>
      </c>
      <c r="V18" s="16"/>
      <c r="W18" s="12" t="s">
        <v>272</v>
      </c>
      <c r="X18" s="25" t="str">
        <f>_xlfn.IFS(AND(COUNTIF(V18,"SCB*")=1, 'PCH80'!K60&gt;=2), "See the Notice *2", TRUE, "")</f>
        <v/>
      </c>
      <c r="Y18" s="13"/>
      <c r="Z18" s="90" t="s">
        <v>271</v>
      </c>
      <c r="AA18" s="90" t="s">
        <v>254</v>
      </c>
      <c r="AB18" s="13"/>
      <c r="AC18" s="13"/>
    </row>
    <row r="19" spans="2:29" x14ac:dyDescent="0.2">
      <c r="B19" s="14" t="s">
        <v>79</v>
      </c>
      <c r="C19" s="14">
        <v>10</v>
      </c>
      <c r="D19" s="15" t="s">
        <v>79</v>
      </c>
      <c r="E19" s="14" t="s">
        <v>705</v>
      </c>
      <c r="F19" s="14" t="s">
        <v>607</v>
      </c>
      <c r="G19" s="14" t="s">
        <v>706</v>
      </c>
      <c r="H19" s="14" t="s">
        <v>609</v>
      </c>
      <c r="I19" s="12" t="s">
        <v>272</v>
      </c>
      <c r="J19" s="12" t="s">
        <v>272</v>
      </c>
      <c r="K19" s="12" t="s">
        <v>272</v>
      </c>
      <c r="L19" s="14" t="s">
        <v>707</v>
      </c>
      <c r="M19" s="14" t="s">
        <v>80</v>
      </c>
      <c r="N19" s="12" t="s">
        <v>272</v>
      </c>
      <c r="O19" s="12" t="s">
        <v>272</v>
      </c>
      <c r="P19" s="12" t="s">
        <v>272</v>
      </c>
      <c r="Q19" s="12" t="s">
        <v>272</v>
      </c>
      <c r="R19" s="12" t="s">
        <v>272</v>
      </c>
      <c r="S19" s="12" t="s">
        <v>272</v>
      </c>
      <c r="T19" s="12" t="s">
        <v>272</v>
      </c>
      <c r="U19" s="12" t="s">
        <v>272</v>
      </c>
      <c r="V19" s="16"/>
      <c r="W19" s="12" t="s">
        <v>272</v>
      </c>
      <c r="X19" s="25" t="str">
        <f>_xlfn.IFS(AND(COUNTIF(V19,"SCB*")=1, 'PCH80'!I60&gt;=2), "See the Notice *2", TRUE, "")</f>
        <v/>
      </c>
      <c r="Y19" s="13"/>
      <c r="Z19" s="90" t="s">
        <v>271</v>
      </c>
      <c r="AA19" s="90" t="s">
        <v>254</v>
      </c>
      <c r="AB19" s="13"/>
      <c r="AC19" s="13"/>
    </row>
    <row r="20" spans="2:29" x14ac:dyDescent="0.2">
      <c r="B20" s="14" t="s">
        <v>81</v>
      </c>
      <c r="C20" s="14">
        <v>11</v>
      </c>
      <c r="D20" s="15" t="s">
        <v>81</v>
      </c>
      <c r="E20" s="14" t="s">
        <v>596</v>
      </c>
      <c r="F20" s="14" t="s">
        <v>708</v>
      </c>
      <c r="G20" s="14" t="s">
        <v>598</v>
      </c>
      <c r="H20" s="14" t="s">
        <v>709</v>
      </c>
      <c r="I20" s="12" t="s">
        <v>272</v>
      </c>
      <c r="J20" s="12" t="s">
        <v>272</v>
      </c>
      <c r="K20" s="12" t="s">
        <v>272</v>
      </c>
      <c r="L20" s="12" t="s">
        <v>272</v>
      </c>
      <c r="M20" s="14" t="s">
        <v>82</v>
      </c>
      <c r="N20" s="12" t="s">
        <v>272</v>
      </c>
      <c r="O20" s="12" t="s">
        <v>272</v>
      </c>
      <c r="P20" s="12" t="s">
        <v>272</v>
      </c>
      <c r="Q20" s="12" t="s">
        <v>272</v>
      </c>
      <c r="R20" s="12" t="s">
        <v>272</v>
      </c>
      <c r="S20" s="12" t="s">
        <v>272</v>
      </c>
      <c r="T20" s="12" t="s">
        <v>272</v>
      </c>
      <c r="U20" s="12" t="s">
        <v>272</v>
      </c>
      <c r="V20" s="16"/>
      <c r="W20" s="12" t="s">
        <v>272</v>
      </c>
      <c r="X20" s="25"/>
      <c r="Y20" s="13"/>
      <c r="Z20" s="90" t="s">
        <v>271</v>
      </c>
      <c r="AA20" s="90" t="s">
        <v>254</v>
      </c>
      <c r="AB20" s="13"/>
      <c r="AC20" s="13"/>
    </row>
    <row r="21" spans="2:29" x14ac:dyDescent="0.2">
      <c r="B21" s="14" t="s">
        <v>83</v>
      </c>
      <c r="C21" s="14">
        <v>12</v>
      </c>
      <c r="D21" s="15" t="s">
        <v>83</v>
      </c>
      <c r="E21" s="14" t="s">
        <v>591</v>
      </c>
      <c r="F21" s="14" t="s">
        <v>602</v>
      </c>
      <c r="G21" s="14" t="s">
        <v>593</v>
      </c>
      <c r="H21" s="14" t="s">
        <v>604</v>
      </c>
      <c r="I21" s="12" t="s">
        <v>272</v>
      </c>
      <c r="J21" s="12" t="s">
        <v>272</v>
      </c>
      <c r="K21" s="12" t="s">
        <v>272</v>
      </c>
      <c r="L21" s="12" t="s">
        <v>272</v>
      </c>
      <c r="M21" s="14" t="s">
        <v>84</v>
      </c>
      <c r="N21" s="12" t="s">
        <v>272</v>
      </c>
      <c r="O21" s="12" t="s">
        <v>272</v>
      </c>
      <c r="P21" s="12" t="s">
        <v>272</v>
      </c>
      <c r="Q21" s="12" t="s">
        <v>272</v>
      </c>
      <c r="R21" s="12" t="s">
        <v>272</v>
      </c>
      <c r="S21" s="12" t="s">
        <v>272</v>
      </c>
      <c r="T21" s="12" t="s">
        <v>272</v>
      </c>
      <c r="U21" s="12" t="s">
        <v>272</v>
      </c>
      <c r="V21" s="16"/>
      <c r="W21" s="12" t="s">
        <v>272</v>
      </c>
      <c r="X21" s="25"/>
      <c r="Y21" s="13"/>
      <c r="Z21" s="90" t="s">
        <v>271</v>
      </c>
      <c r="AA21" s="90" t="s">
        <v>254</v>
      </c>
      <c r="AB21" s="13"/>
      <c r="AC21" s="13"/>
    </row>
    <row r="22" spans="2:29" x14ac:dyDescent="0.2">
      <c r="B22" s="14" t="s">
        <v>85</v>
      </c>
      <c r="C22" s="14">
        <v>13</v>
      </c>
      <c r="D22" s="15" t="s">
        <v>85</v>
      </c>
      <c r="E22" s="14" t="s">
        <v>586</v>
      </c>
      <c r="F22" s="14" t="s">
        <v>597</v>
      </c>
      <c r="G22" s="14" t="s">
        <v>588</v>
      </c>
      <c r="H22" s="14" t="s">
        <v>599</v>
      </c>
      <c r="I22" s="12" t="s">
        <v>272</v>
      </c>
      <c r="J22" s="12" t="s">
        <v>272</v>
      </c>
      <c r="K22" s="12" t="s">
        <v>272</v>
      </c>
      <c r="L22" s="12" t="s">
        <v>272</v>
      </c>
      <c r="M22" s="14" t="s">
        <v>86</v>
      </c>
      <c r="N22" s="12" t="s">
        <v>272</v>
      </c>
      <c r="O22" s="12" t="s">
        <v>272</v>
      </c>
      <c r="P22" s="12" t="s">
        <v>272</v>
      </c>
      <c r="Q22" s="12" t="s">
        <v>272</v>
      </c>
      <c r="R22" s="12" t="s">
        <v>272</v>
      </c>
      <c r="S22" s="12" t="s">
        <v>272</v>
      </c>
      <c r="T22" s="12" t="s">
        <v>272</v>
      </c>
      <c r="U22" s="12" t="s">
        <v>272</v>
      </c>
      <c r="V22" s="18"/>
      <c r="W22" s="12" t="s">
        <v>272</v>
      </c>
      <c r="X22" s="25"/>
      <c r="Y22" s="13"/>
      <c r="Z22" s="90" t="s">
        <v>271</v>
      </c>
      <c r="AA22" s="90" t="s">
        <v>254</v>
      </c>
      <c r="AB22" s="13"/>
      <c r="AC22" s="13"/>
    </row>
    <row r="23" spans="2:29" x14ac:dyDescent="0.2">
      <c r="B23" s="14" t="s">
        <v>91</v>
      </c>
      <c r="C23" s="14">
        <v>14</v>
      </c>
      <c r="D23" s="15" t="s">
        <v>91</v>
      </c>
      <c r="E23" s="14" t="s">
        <v>686</v>
      </c>
      <c r="F23" s="14" t="s">
        <v>582</v>
      </c>
      <c r="G23" s="14" t="s">
        <v>688</v>
      </c>
      <c r="H23" s="14" t="s">
        <v>584</v>
      </c>
      <c r="I23" s="12" t="s">
        <v>272</v>
      </c>
      <c r="J23" s="14" t="s">
        <v>710</v>
      </c>
      <c r="K23" s="12" t="s">
        <v>272</v>
      </c>
      <c r="L23" s="14" t="s">
        <v>711</v>
      </c>
      <c r="M23" s="14" t="s">
        <v>92</v>
      </c>
      <c r="N23" s="12" t="s">
        <v>272</v>
      </c>
      <c r="O23" s="12" t="s">
        <v>272</v>
      </c>
      <c r="P23" s="12" t="s">
        <v>272</v>
      </c>
      <c r="Q23" s="12" t="s">
        <v>272</v>
      </c>
      <c r="R23" s="12" t="s">
        <v>272</v>
      </c>
      <c r="S23" s="12" t="s">
        <v>272</v>
      </c>
      <c r="T23" s="12" t="s">
        <v>272</v>
      </c>
      <c r="U23" s="14" t="s">
        <v>274</v>
      </c>
      <c r="V23" s="18"/>
      <c r="W23" s="12" t="s">
        <v>272</v>
      </c>
      <c r="X23" s="25" t="str">
        <f>_xlfn.IFS(AND(COUNTIF(V23,"SCB*")=1, 'PCH80'!H60&gt;=2), "See the Notice *2", TRUE, "")</f>
        <v/>
      </c>
      <c r="Y23" s="13"/>
      <c r="Z23" s="90" t="s">
        <v>271</v>
      </c>
      <c r="AA23" s="13" t="s">
        <v>255</v>
      </c>
      <c r="AB23" s="13"/>
      <c r="AC23" s="13"/>
    </row>
    <row r="24" spans="2:29" x14ac:dyDescent="0.2">
      <c r="B24" s="14" t="s">
        <v>93</v>
      </c>
      <c r="C24" s="14">
        <v>15</v>
      </c>
      <c r="D24" s="15" t="s">
        <v>93</v>
      </c>
      <c r="E24" s="14" t="s">
        <v>656</v>
      </c>
      <c r="F24" s="14" t="s">
        <v>692</v>
      </c>
      <c r="G24" s="14" t="s">
        <v>658</v>
      </c>
      <c r="H24" s="14" t="s">
        <v>693</v>
      </c>
      <c r="I24" s="12" t="s">
        <v>272</v>
      </c>
      <c r="J24" s="14" t="s">
        <v>712</v>
      </c>
      <c r="K24" s="14" t="s">
        <v>713</v>
      </c>
      <c r="L24" s="14" t="s">
        <v>714</v>
      </c>
      <c r="M24" s="14" t="s">
        <v>94</v>
      </c>
      <c r="N24" s="12" t="s">
        <v>272</v>
      </c>
      <c r="O24" s="12" t="s">
        <v>272</v>
      </c>
      <c r="P24" s="12" t="s">
        <v>272</v>
      </c>
      <c r="Q24" s="12" t="s">
        <v>272</v>
      </c>
      <c r="R24" s="12" t="s">
        <v>272</v>
      </c>
      <c r="S24" s="12" t="s">
        <v>272</v>
      </c>
      <c r="T24" s="12" t="s">
        <v>272</v>
      </c>
      <c r="U24" s="14" t="s">
        <v>275</v>
      </c>
      <c r="V24" s="18"/>
      <c r="W24" s="12" t="s">
        <v>272</v>
      </c>
      <c r="X24" s="25" t="str">
        <f>_xlfn.IFS(AND(COUNTIF(V24,"SCB*")=1, 'PCH80'!H60&gt;=2), "See the Notice *2", TRUE, "")</f>
        <v/>
      </c>
      <c r="Y24" s="13"/>
      <c r="Z24" s="90" t="s">
        <v>271</v>
      </c>
      <c r="AA24" s="13" t="s">
        <v>255</v>
      </c>
      <c r="AB24" s="13"/>
      <c r="AC24" s="13"/>
    </row>
    <row r="25" spans="2:29" x14ac:dyDescent="0.2">
      <c r="B25" s="14" t="s">
        <v>95</v>
      </c>
      <c r="C25" s="14">
        <v>16</v>
      </c>
      <c r="D25" s="15" t="s">
        <v>95</v>
      </c>
      <c r="E25" s="14" t="s">
        <v>680</v>
      </c>
      <c r="F25" s="14" t="s">
        <v>666</v>
      </c>
      <c r="G25" s="14" t="s">
        <v>682</v>
      </c>
      <c r="H25" s="14" t="s">
        <v>668</v>
      </c>
      <c r="I25" s="12" t="s">
        <v>272</v>
      </c>
      <c r="J25" s="14" t="s">
        <v>715</v>
      </c>
      <c r="K25" s="14" t="s">
        <v>716</v>
      </c>
      <c r="L25" s="14" t="s">
        <v>717</v>
      </c>
      <c r="M25" s="14" t="s">
        <v>96</v>
      </c>
      <c r="N25" s="14" t="s">
        <v>97</v>
      </c>
      <c r="O25" s="12" t="s">
        <v>272</v>
      </c>
      <c r="P25" s="12" t="s">
        <v>272</v>
      </c>
      <c r="Q25" s="12" t="s">
        <v>272</v>
      </c>
      <c r="R25" s="12" t="s">
        <v>272</v>
      </c>
      <c r="S25" s="12" t="s">
        <v>272</v>
      </c>
      <c r="T25" s="12" t="s">
        <v>272</v>
      </c>
      <c r="U25" s="14" t="s">
        <v>276</v>
      </c>
      <c r="V25" s="18"/>
      <c r="W25" s="12" t="s">
        <v>272</v>
      </c>
      <c r="X25" s="25" t="str">
        <f>_xlfn.IFS(AND(COUNTIF(V25,"SCB*")=1, 'PCH80'!H60&gt;=2), "See the Notice *2", TRUE, "")</f>
        <v/>
      </c>
      <c r="Y25" s="13"/>
      <c r="Z25" s="90" t="s">
        <v>271</v>
      </c>
      <c r="AA25" s="13" t="s">
        <v>255</v>
      </c>
      <c r="AB25" s="13"/>
      <c r="AC25" s="13"/>
    </row>
    <row r="26" spans="2:29" x14ac:dyDescent="0.2">
      <c r="B26" s="14" t="s">
        <v>98</v>
      </c>
      <c r="C26" s="14">
        <v>17</v>
      </c>
      <c r="D26" s="15" t="s">
        <v>98</v>
      </c>
      <c r="E26" s="14" t="s">
        <v>648</v>
      </c>
      <c r="F26" s="14" t="s">
        <v>687</v>
      </c>
      <c r="G26" s="14" t="s">
        <v>650</v>
      </c>
      <c r="H26" s="14" t="s">
        <v>689</v>
      </c>
      <c r="I26" s="12" t="s">
        <v>272</v>
      </c>
      <c r="J26" s="14" t="s">
        <v>718</v>
      </c>
      <c r="K26" s="12" t="s">
        <v>272</v>
      </c>
      <c r="L26" s="14" t="s">
        <v>719</v>
      </c>
      <c r="M26" s="14" t="s">
        <v>99</v>
      </c>
      <c r="N26" s="14" t="s">
        <v>100</v>
      </c>
      <c r="O26" s="12" t="s">
        <v>272</v>
      </c>
      <c r="P26" s="12" t="s">
        <v>272</v>
      </c>
      <c r="Q26" s="14" t="s">
        <v>101</v>
      </c>
      <c r="R26" s="12" t="s">
        <v>272</v>
      </c>
      <c r="S26" s="12" t="s">
        <v>272</v>
      </c>
      <c r="T26" s="12" t="s">
        <v>272</v>
      </c>
      <c r="U26" s="14" t="s">
        <v>277</v>
      </c>
      <c r="V26" s="18"/>
      <c r="W26" s="12" t="s">
        <v>272</v>
      </c>
      <c r="X26" s="25" t="str">
        <f>_xlfn.IFS(AND(COUNTIF(V26,"SCB*")=1, 'PCH80'!H60&gt;=2), "See the Notice *2", TRUE, "")</f>
        <v/>
      </c>
      <c r="Y26" s="13"/>
      <c r="Z26" s="90" t="s">
        <v>271</v>
      </c>
      <c r="AA26" s="13" t="s">
        <v>255</v>
      </c>
      <c r="AB26" s="13"/>
      <c r="AC26" s="13"/>
    </row>
    <row r="27" spans="2:29" x14ac:dyDescent="0.2">
      <c r="B27" s="14" t="s">
        <v>102</v>
      </c>
      <c r="C27" s="14">
        <v>18</v>
      </c>
      <c r="D27" s="15" t="s">
        <v>102</v>
      </c>
      <c r="E27" s="14" t="s">
        <v>673</v>
      </c>
      <c r="F27" s="14" t="s">
        <v>657</v>
      </c>
      <c r="G27" s="14" t="s">
        <v>675</v>
      </c>
      <c r="H27" s="14" t="s">
        <v>659</v>
      </c>
      <c r="I27" s="12" t="s">
        <v>272</v>
      </c>
      <c r="J27" s="12" t="s">
        <v>272</v>
      </c>
      <c r="K27" s="12" t="s">
        <v>272</v>
      </c>
      <c r="L27" s="14" t="s">
        <v>720</v>
      </c>
      <c r="M27" s="14" t="s">
        <v>103</v>
      </c>
      <c r="N27" s="12" t="s">
        <v>272</v>
      </c>
      <c r="O27" s="12" t="s">
        <v>272</v>
      </c>
      <c r="P27" s="12" t="s">
        <v>272</v>
      </c>
      <c r="Q27" s="12" t="s">
        <v>272</v>
      </c>
      <c r="R27" s="12" t="s">
        <v>272</v>
      </c>
      <c r="S27" s="12" t="s">
        <v>272</v>
      </c>
      <c r="T27" s="12" t="s">
        <v>272</v>
      </c>
      <c r="U27" s="14" t="s">
        <v>278</v>
      </c>
      <c r="V27" s="18"/>
      <c r="W27" s="12" t="s">
        <v>272</v>
      </c>
      <c r="X27" s="25" t="str">
        <f>_xlfn.IFS(AND(COUNTIF(V27,"SCB*")=1, 'PCH80'!H60&gt;=2), "See the Notice *2", TRUE, "")</f>
        <v/>
      </c>
      <c r="Y27" s="13"/>
      <c r="Z27" s="90" t="s">
        <v>271</v>
      </c>
      <c r="AA27" s="13" t="s">
        <v>255</v>
      </c>
      <c r="AB27" s="13"/>
      <c r="AC27" s="13"/>
    </row>
    <row r="28" spans="2:29" x14ac:dyDescent="0.2">
      <c r="B28" s="14" t="s">
        <v>104</v>
      </c>
      <c r="C28" s="14">
        <v>19</v>
      </c>
      <c r="D28" s="15" t="s">
        <v>104</v>
      </c>
      <c r="E28" s="14" t="s">
        <v>642</v>
      </c>
      <c r="F28" s="14" t="s">
        <v>681</v>
      </c>
      <c r="G28" s="14" t="s">
        <v>644</v>
      </c>
      <c r="H28" s="14" t="s">
        <v>683</v>
      </c>
      <c r="I28" s="12" t="s">
        <v>272</v>
      </c>
      <c r="J28" s="12" t="s">
        <v>272</v>
      </c>
      <c r="K28" s="12" t="s">
        <v>272</v>
      </c>
      <c r="L28" s="14" t="s">
        <v>721</v>
      </c>
      <c r="M28" s="14" t="s">
        <v>105</v>
      </c>
      <c r="N28" s="12" t="s">
        <v>272</v>
      </c>
      <c r="O28" s="12" t="s">
        <v>272</v>
      </c>
      <c r="P28" s="12" t="s">
        <v>272</v>
      </c>
      <c r="Q28" s="12" t="s">
        <v>272</v>
      </c>
      <c r="R28" s="12" t="s">
        <v>272</v>
      </c>
      <c r="S28" s="12" t="s">
        <v>272</v>
      </c>
      <c r="T28" s="12" t="s">
        <v>272</v>
      </c>
      <c r="U28" s="14" t="s">
        <v>279</v>
      </c>
      <c r="V28" s="18"/>
      <c r="W28" s="12" t="s">
        <v>272</v>
      </c>
      <c r="X28" s="25" t="str">
        <f>_xlfn.IFS(AND(COUNTIF(V28,"SCB*")=1, 'PCH80'!H60&gt;=2), "See the Notice *2", TRUE, "")</f>
        <v/>
      </c>
      <c r="Y28" s="13"/>
      <c r="Z28" s="90" t="s">
        <v>271</v>
      </c>
      <c r="AA28" s="13" t="s">
        <v>255</v>
      </c>
      <c r="AB28" s="13"/>
      <c r="AC28" s="13"/>
    </row>
    <row r="29" spans="2:29" x14ac:dyDescent="0.2">
      <c r="B29" s="17" t="s">
        <v>255</v>
      </c>
      <c r="C29" s="92">
        <v>20</v>
      </c>
      <c r="D29" s="12" t="s">
        <v>272</v>
      </c>
      <c r="E29" s="12" t="s">
        <v>272</v>
      </c>
      <c r="F29" s="12" t="s">
        <v>272</v>
      </c>
      <c r="G29" s="12" t="s">
        <v>272</v>
      </c>
      <c r="H29" s="12" t="s">
        <v>272</v>
      </c>
      <c r="I29" s="12" t="s">
        <v>272</v>
      </c>
      <c r="J29" s="12" t="s">
        <v>272</v>
      </c>
      <c r="K29" s="12" t="s">
        <v>272</v>
      </c>
      <c r="L29" s="12" t="s">
        <v>272</v>
      </c>
      <c r="M29" s="12" t="s">
        <v>272</v>
      </c>
      <c r="N29" s="12" t="s">
        <v>272</v>
      </c>
      <c r="O29" s="12" t="s">
        <v>272</v>
      </c>
      <c r="P29" s="12" t="s">
        <v>272</v>
      </c>
      <c r="Q29" s="12" t="s">
        <v>272</v>
      </c>
      <c r="R29" s="12" t="s">
        <v>272</v>
      </c>
      <c r="S29" s="12" t="s">
        <v>272</v>
      </c>
      <c r="T29" s="12" t="s">
        <v>272</v>
      </c>
      <c r="U29" s="12" t="s">
        <v>272</v>
      </c>
      <c r="V29" s="17" t="s">
        <v>255</v>
      </c>
      <c r="W29" s="12" t="s">
        <v>272</v>
      </c>
      <c r="X29" s="25"/>
      <c r="Y29" s="13" t="s">
        <v>532</v>
      </c>
      <c r="Z29" s="90" t="s">
        <v>543</v>
      </c>
      <c r="AA29" s="90" t="s">
        <v>543</v>
      </c>
      <c r="AB29" s="13"/>
      <c r="AC29" s="13"/>
    </row>
    <row r="30" spans="2:29" x14ac:dyDescent="0.2">
      <c r="B30" s="10" t="s">
        <v>253</v>
      </c>
      <c r="C30" s="92">
        <v>21</v>
      </c>
      <c r="D30" s="12" t="s">
        <v>272</v>
      </c>
      <c r="E30" s="12" t="s">
        <v>272</v>
      </c>
      <c r="F30" s="12" t="s">
        <v>272</v>
      </c>
      <c r="G30" s="12" t="s">
        <v>272</v>
      </c>
      <c r="H30" s="12" t="s">
        <v>272</v>
      </c>
      <c r="I30" s="12" t="s">
        <v>272</v>
      </c>
      <c r="J30" s="12" t="s">
        <v>272</v>
      </c>
      <c r="K30" s="12" t="s">
        <v>272</v>
      </c>
      <c r="L30" s="12" t="s">
        <v>272</v>
      </c>
      <c r="M30" s="12" t="s">
        <v>272</v>
      </c>
      <c r="N30" s="12" t="s">
        <v>272</v>
      </c>
      <c r="O30" s="12" t="s">
        <v>272</v>
      </c>
      <c r="P30" s="12" t="s">
        <v>272</v>
      </c>
      <c r="Q30" s="12" t="s">
        <v>272</v>
      </c>
      <c r="R30" s="12" t="s">
        <v>272</v>
      </c>
      <c r="S30" s="12" t="s">
        <v>272</v>
      </c>
      <c r="T30" s="12" t="s">
        <v>272</v>
      </c>
      <c r="U30" s="12" t="s">
        <v>272</v>
      </c>
      <c r="V30" s="10" t="s">
        <v>253</v>
      </c>
      <c r="W30" s="12" t="s">
        <v>272</v>
      </c>
      <c r="X30" s="25"/>
      <c r="Y30" s="13" t="s">
        <v>531</v>
      </c>
      <c r="Z30" s="90" t="s">
        <v>543</v>
      </c>
      <c r="AA30" s="90" t="s">
        <v>543</v>
      </c>
      <c r="AB30" s="13"/>
      <c r="AC30" s="13"/>
    </row>
    <row r="31" spans="2:29" x14ac:dyDescent="0.2">
      <c r="B31" s="14" t="s">
        <v>110</v>
      </c>
      <c r="C31" s="14">
        <v>22</v>
      </c>
      <c r="D31" s="15" t="s">
        <v>110</v>
      </c>
      <c r="E31" s="14" t="s">
        <v>723</v>
      </c>
      <c r="F31" s="14" t="s">
        <v>643</v>
      </c>
      <c r="G31" s="14" t="s">
        <v>724</v>
      </c>
      <c r="H31" s="14" t="s">
        <v>645</v>
      </c>
      <c r="I31" s="12" t="s">
        <v>272</v>
      </c>
      <c r="J31" s="14" t="s">
        <v>725</v>
      </c>
      <c r="K31" s="12" t="s">
        <v>272</v>
      </c>
      <c r="L31" s="14" t="s">
        <v>726</v>
      </c>
      <c r="M31" s="14" t="s">
        <v>99</v>
      </c>
      <c r="N31" s="12" t="s">
        <v>272</v>
      </c>
      <c r="O31" s="14" t="s">
        <v>727</v>
      </c>
      <c r="P31" s="12" t="s">
        <v>272</v>
      </c>
      <c r="Q31" s="12" t="s">
        <v>272</v>
      </c>
      <c r="R31" s="12" t="s">
        <v>272</v>
      </c>
      <c r="S31" s="12" t="s">
        <v>272</v>
      </c>
      <c r="T31" s="12" t="s">
        <v>272</v>
      </c>
      <c r="U31" s="14" t="s">
        <v>282</v>
      </c>
      <c r="V31" s="66"/>
      <c r="W31" s="12" t="s">
        <v>272</v>
      </c>
      <c r="X31" s="25" t="str">
        <f>_xlfn.IFS(AND(COUNTIF(V31,"SCB*")=1, 'PCH80'!I60&gt;=2), "See the Notice *2", TRUE, "")</f>
        <v/>
      </c>
      <c r="Y31" s="13"/>
      <c r="Z31" s="90" t="s">
        <v>271</v>
      </c>
      <c r="AA31" s="13" t="s">
        <v>255</v>
      </c>
      <c r="AB31" s="13"/>
      <c r="AC31" s="13"/>
    </row>
    <row r="32" spans="2:29" x14ac:dyDescent="0.2">
      <c r="B32" s="14" t="s">
        <v>111</v>
      </c>
      <c r="C32" s="14">
        <v>23</v>
      </c>
      <c r="D32" s="15" t="s">
        <v>111</v>
      </c>
      <c r="E32" s="14" t="s">
        <v>728</v>
      </c>
      <c r="F32" s="14" t="s">
        <v>729</v>
      </c>
      <c r="G32" s="14" t="s">
        <v>730</v>
      </c>
      <c r="H32" s="14" t="s">
        <v>731</v>
      </c>
      <c r="I32" s="12" t="s">
        <v>272</v>
      </c>
      <c r="J32" s="14" t="s">
        <v>732</v>
      </c>
      <c r="K32" s="14" t="s">
        <v>733</v>
      </c>
      <c r="L32" s="14" t="s">
        <v>734</v>
      </c>
      <c r="M32" s="14" t="s">
        <v>103</v>
      </c>
      <c r="N32" s="12" t="s">
        <v>272</v>
      </c>
      <c r="O32" s="14" t="s">
        <v>735</v>
      </c>
      <c r="P32" s="12" t="s">
        <v>272</v>
      </c>
      <c r="Q32" s="12" t="s">
        <v>272</v>
      </c>
      <c r="R32" s="12" t="s">
        <v>272</v>
      </c>
      <c r="S32" s="12" t="s">
        <v>272</v>
      </c>
      <c r="T32" s="12" t="s">
        <v>272</v>
      </c>
      <c r="U32" s="14" t="s">
        <v>283</v>
      </c>
      <c r="V32" s="16"/>
      <c r="W32" s="12" t="s">
        <v>272</v>
      </c>
      <c r="X32" s="25" t="str">
        <f>_xlfn.IFS(AND(COUNTIF(V32,"SCB*")=1, 'PCH80'!I60&gt;=2), "See the Notice *2", TRUE, "")</f>
        <v/>
      </c>
      <c r="Y32" s="13"/>
      <c r="Z32" s="90" t="s">
        <v>271</v>
      </c>
      <c r="AA32" s="13" t="s">
        <v>255</v>
      </c>
      <c r="AB32" s="13"/>
      <c r="AC32" s="13"/>
    </row>
    <row r="33" spans="2:29" x14ac:dyDescent="0.2">
      <c r="B33" s="14" t="s">
        <v>112</v>
      </c>
      <c r="C33" s="14">
        <v>24</v>
      </c>
      <c r="D33" s="15" t="s">
        <v>112</v>
      </c>
      <c r="E33" s="14" t="s">
        <v>736</v>
      </c>
      <c r="F33" s="14" t="s">
        <v>737</v>
      </c>
      <c r="G33" s="14" t="s">
        <v>738</v>
      </c>
      <c r="H33" s="14" t="s">
        <v>739</v>
      </c>
      <c r="I33" s="12" t="s">
        <v>272</v>
      </c>
      <c r="J33" s="14" t="s">
        <v>740</v>
      </c>
      <c r="K33" s="14" t="s">
        <v>741</v>
      </c>
      <c r="L33" s="14" t="s">
        <v>742</v>
      </c>
      <c r="M33" s="14" t="s">
        <v>105</v>
      </c>
      <c r="N33" s="12" t="s">
        <v>272</v>
      </c>
      <c r="O33" s="14" t="s">
        <v>743</v>
      </c>
      <c r="P33" s="12" t="s">
        <v>272</v>
      </c>
      <c r="Q33" s="12" t="s">
        <v>272</v>
      </c>
      <c r="R33" s="12" t="s">
        <v>272</v>
      </c>
      <c r="S33" s="12" t="s">
        <v>272</v>
      </c>
      <c r="T33" s="12" t="s">
        <v>272</v>
      </c>
      <c r="U33" s="14" t="s">
        <v>284</v>
      </c>
      <c r="V33" s="16"/>
      <c r="W33" s="12" t="s">
        <v>272</v>
      </c>
      <c r="X33" s="25" t="str">
        <f>_xlfn.IFS(AND(COUNTIF(V33,"SCB*")=1, 'PCH80'!I60&gt;=2), "See the Notice *2", TRUE, "")</f>
        <v/>
      </c>
      <c r="Y33" s="13"/>
      <c r="Z33" s="90" t="s">
        <v>271</v>
      </c>
      <c r="AA33" s="13" t="s">
        <v>255</v>
      </c>
      <c r="AB33" s="13"/>
      <c r="AC33" s="13"/>
    </row>
    <row r="34" spans="2:29" x14ac:dyDescent="0.2">
      <c r="B34" s="14" t="s">
        <v>113</v>
      </c>
      <c r="C34" s="14">
        <v>25</v>
      </c>
      <c r="D34" s="15" t="s">
        <v>113</v>
      </c>
      <c r="E34" s="14" t="s">
        <v>744</v>
      </c>
      <c r="F34" s="14" t="s">
        <v>745</v>
      </c>
      <c r="G34" s="14" t="s">
        <v>746</v>
      </c>
      <c r="H34" s="14" t="s">
        <v>747</v>
      </c>
      <c r="I34" s="12" t="s">
        <v>272</v>
      </c>
      <c r="J34" s="14" t="s">
        <v>748</v>
      </c>
      <c r="K34" s="12" t="s">
        <v>272</v>
      </c>
      <c r="L34" s="14" t="s">
        <v>749</v>
      </c>
      <c r="M34" s="12" t="s">
        <v>272</v>
      </c>
      <c r="N34" s="12" t="s">
        <v>272</v>
      </c>
      <c r="O34" s="12" t="s">
        <v>272</v>
      </c>
      <c r="P34" s="12" t="s">
        <v>272</v>
      </c>
      <c r="Q34" s="12" t="s">
        <v>272</v>
      </c>
      <c r="R34" s="12" t="s">
        <v>272</v>
      </c>
      <c r="S34" s="12" t="s">
        <v>272</v>
      </c>
      <c r="T34" s="12" t="s">
        <v>272</v>
      </c>
      <c r="U34" s="14" t="s">
        <v>285</v>
      </c>
      <c r="V34" s="16"/>
      <c r="W34" s="12" t="s">
        <v>272</v>
      </c>
      <c r="X34" s="25" t="str">
        <f>_xlfn.IFS(AND(COUNTIF(V34,"SCB*")=1, 'PCH80'!I60&gt;=2), "See the Notice *2", TRUE, "")</f>
        <v/>
      </c>
      <c r="Y34" s="13"/>
      <c r="Z34" s="90" t="s">
        <v>271</v>
      </c>
      <c r="AA34" s="13" t="s">
        <v>255</v>
      </c>
      <c r="AB34" s="13"/>
      <c r="AC34" s="13"/>
    </row>
    <row r="35" spans="2:29" x14ac:dyDescent="0.2">
      <c r="B35" s="14" t="s">
        <v>120</v>
      </c>
      <c r="C35" s="14">
        <v>26</v>
      </c>
      <c r="D35" s="15" t="s">
        <v>120</v>
      </c>
      <c r="E35" s="14" t="s">
        <v>765</v>
      </c>
      <c r="F35" s="14" t="s">
        <v>571</v>
      </c>
      <c r="G35" s="14" t="s">
        <v>766</v>
      </c>
      <c r="H35" s="14" t="s">
        <v>573</v>
      </c>
      <c r="I35" s="12" t="s">
        <v>272</v>
      </c>
      <c r="J35" s="12" t="s">
        <v>272</v>
      </c>
      <c r="K35" s="12" t="s">
        <v>272</v>
      </c>
      <c r="L35" s="12" t="s">
        <v>272</v>
      </c>
      <c r="M35" s="14" t="s">
        <v>86</v>
      </c>
      <c r="N35" s="14" t="s">
        <v>40</v>
      </c>
      <c r="O35" s="12" t="s">
        <v>272</v>
      </c>
      <c r="P35" s="12" t="s">
        <v>272</v>
      </c>
      <c r="Q35" s="12" t="s">
        <v>272</v>
      </c>
      <c r="R35" s="12" t="s">
        <v>272</v>
      </c>
      <c r="S35" s="12" t="s">
        <v>272</v>
      </c>
      <c r="T35" s="12" t="s">
        <v>272</v>
      </c>
      <c r="U35" s="12" t="s">
        <v>272</v>
      </c>
      <c r="V35" s="18"/>
      <c r="W35" s="12" t="s">
        <v>272</v>
      </c>
      <c r="X35" s="25"/>
      <c r="Y35" s="13"/>
      <c r="Z35" s="90" t="s">
        <v>271</v>
      </c>
      <c r="AA35" s="13" t="s">
        <v>255</v>
      </c>
      <c r="AB35" s="13"/>
      <c r="AC35" s="13"/>
    </row>
    <row r="36" spans="2:29" x14ac:dyDescent="0.2">
      <c r="B36" s="14" t="s">
        <v>121</v>
      </c>
      <c r="C36" s="14">
        <v>27</v>
      </c>
      <c r="D36" s="15" t="s">
        <v>121</v>
      </c>
      <c r="E36" s="14" t="s">
        <v>767</v>
      </c>
      <c r="F36" s="14" t="s">
        <v>768</v>
      </c>
      <c r="G36" s="14" t="s">
        <v>769</v>
      </c>
      <c r="H36" s="14" t="s">
        <v>770</v>
      </c>
      <c r="I36" s="12" t="s">
        <v>272</v>
      </c>
      <c r="J36" s="12" t="s">
        <v>272</v>
      </c>
      <c r="K36" s="12" t="s">
        <v>272</v>
      </c>
      <c r="L36" s="12" t="s">
        <v>272</v>
      </c>
      <c r="M36" s="14" t="s">
        <v>88</v>
      </c>
      <c r="N36" s="14" t="s">
        <v>44</v>
      </c>
      <c r="O36" s="12" t="s">
        <v>272</v>
      </c>
      <c r="P36" s="14" t="s">
        <v>122</v>
      </c>
      <c r="Q36" s="12" t="s">
        <v>272</v>
      </c>
      <c r="R36" s="12" t="s">
        <v>272</v>
      </c>
      <c r="S36" s="12" t="s">
        <v>272</v>
      </c>
      <c r="T36" s="12" t="s">
        <v>272</v>
      </c>
      <c r="U36" s="14" t="s">
        <v>290</v>
      </c>
      <c r="V36" s="18"/>
      <c r="W36" s="12" t="s">
        <v>272</v>
      </c>
      <c r="X36" s="25"/>
      <c r="Y36" s="13"/>
      <c r="Z36" s="90" t="s">
        <v>271</v>
      </c>
      <c r="AA36" s="13" t="s">
        <v>255</v>
      </c>
      <c r="AB36" s="13"/>
      <c r="AC36" s="13"/>
    </row>
    <row r="37" spans="2:29" x14ac:dyDescent="0.2">
      <c r="B37" s="14" t="s">
        <v>123</v>
      </c>
      <c r="C37" s="14">
        <v>28</v>
      </c>
      <c r="D37" s="15" t="s">
        <v>123</v>
      </c>
      <c r="E37" s="14" t="s">
        <v>771</v>
      </c>
      <c r="F37" s="14" t="s">
        <v>772</v>
      </c>
      <c r="G37" s="14" t="s">
        <v>773</v>
      </c>
      <c r="H37" s="14" t="s">
        <v>774</v>
      </c>
      <c r="I37" s="12" t="s">
        <v>272</v>
      </c>
      <c r="J37" s="12" t="s">
        <v>272</v>
      </c>
      <c r="K37" s="12" t="s">
        <v>272</v>
      </c>
      <c r="L37" s="12" t="s">
        <v>272</v>
      </c>
      <c r="M37" s="14" t="s">
        <v>90</v>
      </c>
      <c r="N37" s="12" t="s">
        <v>272</v>
      </c>
      <c r="O37" s="12" t="s">
        <v>272</v>
      </c>
      <c r="P37" s="14" t="s">
        <v>124</v>
      </c>
      <c r="Q37" s="12" t="s">
        <v>272</v>
      </c>
      <c r="R37" s="12" t="s">
        <v>272</v>
      </c>
      <c r="S37" s="12" t="s">
        <v>272</v>
      </c>
      <c r="T37" s="12" t="s">
        <v>272</v>
      </c>
      <c r="U37" s="14" t="s">
        <v>291</v>
      </c>
      <c r="V37" s="16"/>
      <c r="W37" s="12" t="s">
        <v>272</v>
      </c>
      <c r="X37" s="25"/>
      <c r="Y37" s="13"/>
      <c r="Z37" s="90" t="s">
        <v>271</v>
      </c>
      <c r="AA37" s="13" t="s">
        <v>255</v>
      </c>
      <c r="AB37" s="13"/>
      <c r="AC37" s="13"/>
    </row>
    <row r="38" spans="2:29" x14ac:dyDescent="0.2">
      <c r="B38" s="14" t="s">
        <v>548</v>
      </c>
      <c r="C38" s="14">
        <v>29</v>
      </c>
      <c r="D38" s="19" t="s">
        <v>546</v>
      </c>
      <c r="E38" s="12" t="s">
        <v>272</v>
      </c>
      <c r="F38" s="12" t="s">
        <v>272</v>
      </c>
      <c r="G38" s="12" t="s">
        <v>272</v>
      </c>
      <c r="H38" s="12" t="s">
        <v>272</v>
      </c>
      <c r="I38" s="12" t="s">
        <v>272</v>
      </c>
      <c r="J38" s="12" t="s">
        <v>272</v>
      </c>
      <c r="K38" s="12" t="s">
        <v>272</v>
      </c>
      <c r="L38" s="12" t="s">
        <v>272</v>
      </c>
      <c r="M38" s="12" t="s">
        <v>272</v>
      </c>
      <c r="N38" s="12" t="s">
        <v>272</v>
      </c>
      <c r="O38" s="12" t="s">
        <v>272</v>
      </c>
      <c r="P38" s="12" t="s">
        <v>272</v>
      </c>
      <c r="Q38" s="12" t="s">
        <v>272</v>
      </c>
      <c r="R38" s="12" t="s">
        <v>272</v>
      </c>
      <c r="S38" s="12" t="s">
        <v>272</v>
      </c>
      <c r="T38" s="12" t="s">
        <v>272</v>
      </c>
      <c r="U38" s="14" t="s">
        <v>302</v>
      </c>
      <c r="V38" s="18"/>
      <c r="W38" s="12" t="s">
        <v>272</v>
      </c>
      <c r="X38" s="25"/>
      <c r="Y38" s="13"/>
      <c r="Z38" s="90" t="s">
        <v>271</v>
      </c>
      <c r="AA38" s="13" t="s">
        <v>354</v>
      </c>
      <c r="AB38" s="13"/>
      <c r="AC38" s="13"/>
    </row>
    <row r="39" spans="2:29" x14ac:dyDescent="0.2">
      <c r="B39" s="14" t="s">
        <v>549</v>
      </c>
      <c r="C39" s="14">
        <v>30</v>
      </c>
      <c r="D39" s="19" t="s">
        <v>1160</v>
      </c>
      <c r="E39" s="12" t="s">
        <v>272</v>
      </c>
      <c r="F39" s="12" t="s">
        <v>272</v>
      </c>
      <c r="G39" s="12" t="s">
        <v>272</v>
      </c>
      <c r="H39" s="12" t="s">
        <v>272</v>
      </c>
      <c r="I39" s="12" t="s">
        <v>272</v>
      </c>
      <c r="J39" s="12" t="s">
        <v>272</v>
      </c>
      <c r="K39" s="12" t="s">
        <v>272</v>
      </c>
      <c r="L39" s="12" t="s">
        <v>272</v>
      </c>
      <c r="M39" s="12" t="s">
        <v>272</v>
      </c>
      <c r="N39" s="12" t="s">
        <v>272</v>
      </c>
      <c r="O39" s="12" t="s">
        <v>272</v>
      </c>
      <c r="P39" s="12" t="s">
        <v>272</v>
      </c>
      <c r="Q39" s="12" t="s">
        <v>272</v>
      </c>
      <c r="R39" s="12" t="s">
        <v>272</v>
      </c>
      <c r="S39" s="12" t="s">
        <v>272</v>
      </c>
      <c r="T39" s="12" t="s">
        <v>272</v>
      </c>
      <c r="U39" s="14" t="s">
        <v>303</v>
      </c>
      <c r="V39" s="18"/>
      <c r="W39" s="12" t="s">
        <v>272</v>
      </c>
      <c r="X39" s="25"/>
      <c r="Y39" s="13"/>
      <c r="Z39" s="90" t="s">
        <v>271</v>
      </c>
      <c r="AA39" s="13" t="s">
        <v>354</v>
      </c>
      <c r="AB39" s="13"/>
      <c r="AC39" s="13"/>
    </row>
    <row r="40" spans="2:29" x14ac:dyDescent="0.2">
      <c r="B40" s="14" t="s">
        <v>550</v>
      </c>
      <c r="C40" s="14">
        <v>31</v>
      </c>
      <c r="D40" s="19" t="s">
        <v>1161</v>
      </c>
      <c r="E40" s="12" t="s">
        <v>272</v>
      </c>
      <c r="F40" s="12" t="s">
        <v>272</v>
      </c>
      <c r="G40" s="12" t="s">
        <v>272</v>
      </c>
      <c r="H40" s="12" t="s">
        <v>272</v>
      </c>
      <c r="I40" s="12" t="s">
        <v>272</v>
      </c>
      <c r="J40" s="12" t="s">
        <v>272</v>
      </c>
      <c r="K40" s="12" t="s">
        <v>272</v>
      </c>
      <c r="L40" s="12" t="s">
        <v>272</v>
      </c>
      <c r="M40" s="12" t="s">
        <v>272</v>
      </c>
      <c r="N40" s="12" t="s">
        <v>272</v>
      </c>
      <c r="O40" s="12" t="s">
        <v>272</v>
      </c>
      <c r="P40" s="12" t="s">
        <v>272</v>
      </c>
      <c r="Q40" s="12" t="s">
        <v>272</v>
      </c>
      <c r="R40" s="12" t="s">
        <v>272</v>
      </c>
      <c r="S40" s="12" t="s">
        <v>272</v>
      </c>
      <c r="T40" s="12" t="s">
        <v>272</v>
      </c>
      <c r="U40" s="14" t="s">
        <v>304</v>
      </c>
      <c r="V40" s="18"/>
      <c r="W40" s="12" t="s">
        <v>272</v>
      </c>
      <c r="X40" s="25"/>
      <c r="Y40" s="13"/>
      <c r="Z40" s="90" t="s">
        <v>271</v>
      </c>
      <c r="AA40" s="13" t="s">
        <v>354</v>
      </c>
      <c r="AB40" s="13"/>
      <c r="AC40" s="13"/>
    </row>
    <row r="41" spans="2:29" x14ac:dyDescent="0.2">
      <c r="B41" s="20" t="s">
        <v>257</v>
      </c>
      <c r="C41" s="92">
        <v>32</v>
      </c>
      <c r="D41" s="12" t="s">
        <v>272</v>
      </c>
      <c r="E41" s="12" t="s">
        <v>272</v>
      </c>
      <c r="F41" s="12" t="s">
        <v>272</v>
      </c>
      <c r="G41" s="12" t="s">
        <v>272</v>
      </c>
      <c r="H41" s="12" t="s">
        <v>272</v>
      </c>
      <c r="I41" s="12" t="s">
        <v>272</v>
      </c>
      <c r="J41" s="12" t="s">
        <v>272</v>
      </c>
      <c r="K41" s="12" t="s">
        <v>272</v>
      </c>
      <c r="L41" s="12" t="s">
        <v>272</v>
      </c>
      <c r="M41" s="12" t="s">
        <v>272</v>
      </c>
      <c r="N41" s="12" t="s">
        <v>272</v>
      </c>
      <c r="O41" s="12" t="s">
        <v>272</v>
      </c>
      <c r="P41" s="12" t="s">
        <v>272</v>
      </c>
      <c r="Q41" s="12" t="s">
        <v>272</v>
      </c>
      <c r="R41" s="12" t="s">
        <v>272</v>
      </c>
      <c r="S41" s="12" t="s">
        <v>272</v>
      </c>
      <c r="T41" s="12" t="s">
        <v>272</v>
      </c>
      <c r="U41" s="12" t="s">
        <v>272</v>
      </c>
      <c r="V41" s="20" t="s">
        <v>257</v>
      </c>
      <c r="W41" s="12" t="s">
        <v>272</v>
      </c>
      <c r="X41" s="25"/>
      <c r="Y41" s="13" t="s">
        <v>534</v>
      </c>
      <c r="Z41" s="90" t="s">
        <v>543</v>
      </c>
      <c r="AA41" s="90" t="s">
        <v>543</v>
      </c>
      <c r="AB41" s="13"/>
      <c r="AC41" s="13"/>
    </row>
    <row r="42" spans="2:29" x14ac:dyDescent="0.2">
      <c r="B42" s="10" t="s">
        <v>258</v>
      </c>
      <c r="C42" s="92">
        <v>33</v>
      </c>
      <c r="D42" s="12" t="s">
        <v>272</v>
      </c>
      <c r="E42" s="12" t="s">
        <v>272</v>
      </c>
      <c r="F42" s="12" t="s">
        <v>272</v>
      </c>
      <c r="G42" s="12" t="s">
        <v>272</v>
      </c>
      <c r="H42" s="12" t="s">
        <v>272</v>
      </c>
      <c r="I42" s="12" t="s">
        <v>272</v>
      </c>
      <c r="J42" s="12" t="s">
        <v>272</v>
      </c>
      <c r="K42" s="12" t="s">
        <v>272</v>
      </c>
      <c r="L42" s="12" t="s">
        <v>272</v>
      </c>
      <c r="M42" s="12" t="s">
        <v>272</v>
      </c>
      <c r="N42" s="12" t="s">
        <v>272</v>
      </c>
      <c r="O42" s="12" t="s">
        <v>272</v>
      </c>
      <c r="P42" s="12" t="s">
        <v>272</v>
      </c>
      <c r="Q42" s="12" t="s">
        <v>272</v>
      </c>
      <c r="R42" s="12" t="s">
        <v>272</v>
      </c>
      <c r="S42" s="12" t="s">
        <v>272</v>
      </c>
      <c r="T42" s="12" t="s">
        <v>272</v>
      </c>
      <c r="U42" s="12" t="s">
        <v>272</v>
      </c>
      <c r="V42" s="10" t="s">
        <v>258</v>
      </c>
      <c r="W42" s="12" t="s">
        <v>272</v>
      </c>
      <c r="X42" s="25"/>
      <c r="Y42" s="13" t="s">
        <v>536</v>
      </c>
      <c r="Z42" s="90" t="s">
        <v>543</v>
      </c>
      <c r="AA42" s="90" t="s">
        <v>543</v>
      </c>
      <c r="AB42" s="13"/>
      <c r="AC42" s="13"/>
    </row>
    <row r="43" spans="2:29" x14ac:dyDescent="0.2">
      <c r="B43" s="17" t="s">
        <v>259</v>
      </c>
      <c r="C43" s="92">
        <v>34</v>
      </c>
      <c r="D43" s="12" t="s">
        <v>272</v>
      </c>
      <c r="E43" s="12" t="s">
        <v>272</v>
      </c>
      <c r="F43" s="12" t="s">
        <v>272</v>
      </c>
      <c r="G43" s="12" t="s">
        <v>272</v>
      </c>
      <c r="H43" s="12" t="s">
        <v>272</v>
      </c>
      <c r="I43" s="12" t="s">
        <v>272</v>
      </c>
      <c r="J43" s="12" t="s">
        <v>272</v>
      </c>
      <c r="K43" s="12" t="s">
        <v>272</v>
      </c>
      <c r="L43" s="12" t="s">
        <v>272</v>
      </c>
      <c r="M43" s="12" t="s">
        <v>272</v>
      </c>
      <c r="N43" s="12" t="s">
        <v>272</v>
      </c>
      <c r="O43" s="12" t="s">
        <v>272</v>
      </c>
      <c r="P43" s="12" t="s">
        <v>272</v>
      </c>
      <c r="Q43" s="12" t="s">
        <v>272</v>
      </c>
      <c r="R43" s="12" t="s">
        <v>272</v>
      </c>
      <c r="S43" s="12" t="s">
        <v>272</v>
      </c>
      <c r="T43" s="12" t="s">
        <v>272</v>
      </c>
      <c r="U43" s="12" t="s">
        <v>272</v>
      </c>
      <c r="V43" s="17" t="s">
        <v>259</v>
      </c>
      <c r="W43" s="12" t="s">
        <v>272</v>
      </c>
      <c r="X43" s="25"/>
      <c r="Y43" s="13" t="s">
        <v>537</v>
      </c>
      <c r="Z43" s="90" t="s">
        <v>543</v>
      </c>
      <c r="AA43" s="90" t="s">
        <v>543</v>
      </c>
      <c r="AB43" s="13"/>
      <c r="AC43" s="13"/>
    </row>
    <row r="44" spans="2:29" x14ac:dyDescent="0.2">
      <c r="B44" s="20" t="s">
        <v>260</v>
      </c>
      <c r="C44" s="92">
        <v>35</v>
      </c>
      <c r="D44" s="12" t="s">
        <v>272</v>
      </c>
      <c r="E44" s="12" t="s">
        <v>272</v>
      </c>
      <c r="F44" s="12" t="s">
        <v>272</v>
      </c>
      <c r="G44" s="12" t="s">
        <v>272</v>
      </c>
      <c r="H44" s="12" t="s">
        <v>272</v>
      </c>
      <c r="I44" s="12" t="s">
        <v>272</v>
      </c>
      <c r="J44" s="12" t="s">
        <v>272</v>
      </c>
      <c r="K44" s="12" t="s">
        <v>272</v>
      </c>
      <c r="L44" s="12" t="s">
        <v>272</v>
      </c>
      <c r="M44" s="12" t="s">
        <v>272</v>
      </c>
      <c r="N44" s="12" t="s">
        <v>272</v>
      </c>
      <c r="O44" s="12" t="s">
        <v>272</v>
      </c>
      <c r="P44" s="12" t="s">
        <v>272</v>
      </c>
      <c r="Q44" s="12" t="s">
        <v>272</v>
      </c>
      <c r="R44" s="12" t="s">
        <v>272</v>
      </c>
      <c r="S44" s="12" t="s">
        <v>272</v>
      </c>
      <c r="T44" s="12" t="s">
        <v>272</v>
      </c>
      <c r="U44" s="12" t="s">
        <v>272</v>
      </c>
      <c r="V44" s="20" t="s">
        <v>260</v>
      </c>
      <c r="W44" s="12" t="s">
        <v>272</v>
      </c>
      <c r="X44" s="25"/>
      <c r="Y44" s="13" t="s">
        <v>535</v>
      </c>
      <c r="Z44" s="90" t="s">
        <v>543</v>
      </c>
      <c r="AA44" s="90" t="s">
        <v>543</v>
      </c>
      <c r="AB44" s="13"/>
      <c r="AC44" s="13"/>
    </row>
    <row r="45" spans="2:29" x14ac:dyDescent="0.2">
      <c r="B45" s="14" t="s">
        <v>141</v>
      </c>
      <c r="C45" s="14">
        <v>36</v>
      </c>
      <c r="D45" s="15" t="s">
        <v>141</v>
      </c>
      <c r="E45" s="14" t="s">
        <v>844</v>
      </c>
      <c r="F45" s="14" t="s">
        <v>845</v>
      </c>
      <c r="G45" s="14" t="s">
        <v>846</v>
      </c>
      <c r="H45" s="14" t="s">
        <v>847</v>
      </c>
      <c r="I45" s="12" t="s">
        <v>272</v>
      </c>
      <c r="J45" s="12" t="s">
        <v>272</v>
      </c>
      <c r="K45" s="12" t="s">
        <v>272</v>
      </c>
      <c r="L45" s="12" t="s">
        <v>272</v>
      </c>
      <c r="M45" s="12" t="s">
        <v>272</v>
      </c>
      <c r="N45" s="14" t="s">
        <v>97</v>
      </c>
      <c r="O45" s="12" t="s">
        <v>272</v>
      </c>
      <c r="P45" s="14" t="s">
        <v>142</v>
      </c>
      <c r="Q45" s="12" t="s">
        <v>272</v>
      </c>
      <c r="R45" s="12" t="s">
        <v>272</v>
      </c>
      <c r="S45" s="12" t="s">
        <v>272</v>
      </c>
      <c r="T45" s="12" t="s">
        <v>272</v>
      </c>
      <c r="U45" s="14" t="s">
        <v>305</v>
      </c>
      <c r="V45" s="18"/>
      <c r="W45" s="93"/>
      <c r="X45" s="25"/>
      <c r="Y45" s="13"/>
      <c r="Z45" s="90" t="s">
        <v>271</v>
      </c>
      <c r="AA45" s="13" t="s">
        <v>354</v>
      </c>
      <c r="AB45" s="13"/>
      <c r="AC45" s="13"/>
    </row>
    <row r="46" spans="2:29" x14ac:dyDescent="0.2">
      <c r="B46" s="14" t="s">
        <v>143</v>
      </c>
      <c r="C46" s="14">
        <v>37</v>
      </c>
      <c r="D46" s="15" t="s">
        <v>143</v>
      </c>
      <c r="E46" s="14" t="s">
        <v>848</v>
      </c>
      <c r="F46" s="14" t="s">
        <v>849</v>
      </c>
      <c r="G46" s="14" t="s">
        <v>850</v>
      </c>
      <c r="H46" s="14" t="s">
        <v>851</v>
      </c>
      <c r="I46" s="12" t="s">
        <v>272</v>
      </c>
      <c r="J46" s="12" t="s">
        <v>272</v>
      </c>
      <c r="K46" s="12" t="s">
        <v>272</v>
      </c>
      <c r="L46" s="12" t="s">
        <v>272</v>
      </c>
      <c r="M46" s="14" t="s">
        <v>144</v>
      </c>
      <c r="N46" s="14" t="s">
        <v>100</v>
      </c>
      <c r="O46" s="12" t="s">
        <v>272</v>
      </c>
      <c r="P46" s="14" t="s">
        <v>145</v>
      </c>
      <c r="Q46" s="12" t="s">
        <v>272</v>
      </c>
      <c r="R46" s="12" t="s">
        <v>272</v>
      </c>
      <c r="S46" s="12" t="s">
        <v>272</v>
      </c>
      <c r="T46" s="12" t="s">
        <v>272</v>
      </c>
      <c r="U46" s="14" t="s">
        <v>306</v>
      </c>
      <c r="V46" s="18"/>
      <c r="W46" s="93"/>
      <c r="X46" s="25"/>
      <c r="Y46" s="13"/>
      <c r="Z46" s="90" t="s">
        <v>271</v>
      </c>
      <c r="AA46" s="13" t="s">
        <v>354</v>
      </c>
      <c r="AB46" s="13"/>
      <c r="AC46" s="13"/>
    </row>
    <row r="47" spans="2:29" x14ac:dyDescent="0.2">
      <c r="B47" s="14" t="s">
        <v>146</v>
      </c>
      <c r="C47" s="14">
        <v>38</v>
      </c>
      <c r="D47" s="15" t="s">
        <v>146</v>
      </c>
      <c r="E47" s="14" t="s">
        <v>852</v>
      </c>
      <c r="F47" s="14" t="s">
        <v>853</v>
      </c>
      <c r="G47" s="14" t="s">
        <v>854</v>
      </c>
      <c r="H47" s="14" t="s">
        <v>855</v>
      </c>
      <c r="I47" s="14" t="s">
        <v>147</v>
      </c>
      <c r="J47" s="12" t="s">
        <v>272</v>
      </c>
      <c r="K47" s="12" t="s">
        <v>272</v>
      </c>
      <c r="L47" s="12" t="s">
        <v>272</v>
      </c>
      <c r="M47" s="14" t="s">
        <v>148</v>
      </c>
      <c r="N47" s="12" t="s">
        <v>272</v>
      </c>
      <c r="O47" s="12" t="s">
        <v>272</v>
      </c>
      <c r="P47" s="12" t="s">
        <v>272</v>
      </c>
      <c r="Q47" s="12" t="s">
        <v>272</v>
      </c>
      <c r="R47" s="12" t="s">
        <v>272</v>
      </c>
      <c r="S47" s="12" t="s">
        <v>272</v>
      </c>
      <c r="T47" s="12" t="s">
        <v>272</v>
      </c>
      <c r="U47" s="14" t="s">
        <v>307</v>
      </c>
      <c r="V47" s="18"/>
      <c r="W47" s="93"/>
      <c r="X47" s="25"/>
      <c r="Y47" s="13"/>
      <c r="Z47" s="90" t="s">
        <v>271</v>
      </c>
      <c r="AA47" s="13" t="s">
        <v>354</v>
      </c>
      <c r="AB47" s="13"/>
      <c r="AC47" s="13"/>
    </row>
    <row r="48" spans="2:29" x14ac:dyDescent="0.2">
      <c r="B48" s="14" t="s">
        <v>149</v>
      </c>
      <c r="C48" s="14">
        <v>39</v>
      </c>
      <c r="D48" s="15" t="s">
        <v>149</v>
      </c>
      <c r="E48" s="14" t="s">
        <v>856</v>
      </c>
      <c r="F48" s="14" t="s">
        <v>857</v>
      </c>
      <c r="G48" s="14" t="s">
        <v>858</v>
      </c>
      <c r="H48" s="14" t="s">
        <v>859</v>
      </c>
      <c r="I48" s="14" t="s">
        <v>150</v>
      </c>
      <c r="J48" s="12" t="s">
        <v>272</v>
      </c>
      <c r="K48" s="12" t="s">
        <v>272</v>
      </c>
      <c r="L48" s="12" t="s">
        <v>272</v>
      </c>
      <c r="M48" s="14" t="s">
        <v>151</v>
      </c>
      <c r="N48" s="12" t="s">
        <v>272</v>
      </c>
      <c r="O48" s="12" t="s">
        <v>272</v>
      </c>
      <c r="P48" s="12" t="s">
        <v>272</v>
      </c>
      <c r="Q48" s="12" t="s">
        <v>272</v>
      </c>
      <c r="R48" s="12" t="s">
        <v>272</v>
      </c>
      <c r="S48" s="12" t="s">
        <v>272</v>
      </c>
      <c r="T48" s="12" t="s">
        <v>272</v>
      </c>
      <c r="U48" s="14" t="s">
        <v>308</v>
      </c>
      <c r="V48" s="18"/>
      <c r="W48" s="93"/>
      <c r="X48" s="25"/>
      <c r="Y48" s="13"/>
      <c r="Z48" s="90" t="s">
        <v>271</v>
      </c>
      <c r="AA48" s="13" t="s">
        <v>354</v>
      </c>
      <c r="AB48" s="13"/>
      <c r="AC48" s="13"/>
    </row>
    <row r="49" spans="2:29" x14ac:dyDescent="0.2">
      <c r="B49" s="17" t="s">
        <v>354</v>
      </c>
      <c r="C49" s="92">
        <v>40</v>
      </c>
      <c r="D49" s="12" t="s">
        <v>272</v>
      </c>
      <c r="E49" s="12" t="s">
        <v>272</v>
      </c>
      <c r="F49" s="12" t="s">
        <v>272</v>
      </c>
      <c r="G49" s="12" t="s">
        <v>272</v>
      </c>
      <c r="H49" s="12" t="s">
        <v>272</v>
      </c>
      <c r="I49" s="12" t="s">
        <v>272</v>
      </c>
      <c r="J49" s="12" t="s">
        <v>272</v>
      </c>
      <c r="K49" s="12" t="s">
        <v>272</v>
      </c>
      <c r="L49" s="12" t="s">
        <v>272</v>
      </c>
      <c r="M49" s="12" t="s">
        <v>272</v>
      </c>
      <c r="N49" s="12" t="s">
        <v>272</v>
      </c>
      <c r="O49" s="12" t="s">
        <v>272</v>
      </c>
      <c r="P49" s="12" t="s">
        <v>272</v>
      </c>
      <c r="Q49" s="12" t="s">
        <v>272</v>
      </c>
      <c r="R49" s="12" t="s">
        <v>272</v>
      </c>
      <c r="S49" s="12" t="s">
        <v>272</v>
      </c>
      <c r="T49" s="12" t="s">
        <v>272</v>
      </c>
      <c r="U49" s="12" t="s">
        <v>272</v>
      </c>
      <c r="V49" s="17" t="s">
        <v>354</v>
      </c>
      <c r="W49" s="12" t="s">
        <v>272</v>
      </c>
      <c r="X49" s="25"/>
      <c r="Y49" s="13" t="s">
        <v>532</v>
      </c>
      <c r="Z49" s="90" t="s">
        <v>543</v>
      </c>
      <c r="AA49" s="90" t="s">
        <v>543</v>
      </c>
      <c r="AB49" s="13"/>
      <c r="AC49" s="13"/>
    </row>
    <row r="50" spans="2:29" x14ac:dyDescent="0.2">
      <c r="B50" s="10" t="s">
        <v>253</v>
      </c>
      <c r="C50" s="92">
        <v>41</v>
      </c>
      <c r="D50" s="12" t="s">
        <v>272</v>
      </c>
      <c r="E50" s="12" t="s">
        <v>272</v>
      </c>
      <c r="F50" s="12" t="s">
        <v>272</v>
      </c>
      <c r="G50" s="12" t="s">
        <v>272</v>
      </c>
      <c r="H50" s="12" t="s">
        <v>272</v>
      </c>
      <c r="I50" s="12" t="s">
        <v>272</v>
      </c>
      <c r="J50" s="12" t="s">
        <v>272</v>
      </c>
      <c r="K50" s="12" t="s">
        <v>272</v>
      </c>
      <c r="L50" s="12" t="s">
        <v>272</v>
      </c>
      <c r="M50" s="12" t="s">
        <v>272</v>
      </c>
      <c r="N50" s="12" t="s">
        <v>272</v>
      </c>
      <c r="O50" s="12" t="s">
        <v>272</v>
      </c>
      <c r="P50" s="12" t="s">
        <v>272</v>
      </c>
      <c r="Q50" s="12" t="s">
        <v>272</v>
      </c>
      <c r="R50" s="12" t="s">
        <v>272</v>
      </c>
      <c r="S50" s="12" t="s">
        <v>272</v>
      </c>
      <c r="T50" s="12" t="s">
        <v>272</v>
      </c>
      <c r="U50" s="12" t="s">
        <v>272</v>
      </c>
      <c r="V50" s="10" t="s">
        <v>253</v>
      </c>
      <c r="W50" s="12" t="s">
        <v>272</v>
      </c>
      <c r="X50" s="25"/>
      <c r="Y50" s="13" t="s">
        <v>531</v>
      </c>
      <c r="Z50" s="90" t="s">
        <v>543</v>
      </c>
      <c r="AA50" s="90" t="s">
        <v>543</v>
      </c>
      <c r="AB50" s="13"/>
      <c r="AC50" s="13"/>
    </row>
    <row r="51" spans="2:29" x14ac:dyDescent="0.2">
      <c r="B51" s="14" t="s">
        <v>158</v>
      </c>
      <c r="C51" s="14">
        <v>42</v>
      </c>
      <c r="D51" s="15" t="s">
        <v>158</v>
      </c>
      <c r="E51" s="14" t="s">
        <v>876</v>
      </c>
      <c r="F51" s="14" t="s">
        <v>877</v>
      </c>
      <c r="G51" s="14" t="s">
        <v>878</v>
      </c>
      <c r="H51" s="14" t="s">
        <v>879</v>
      </c>
      <c r="I51" s="14" t="s">
        <v>159</v>
      </c>
      <c r="J51" s="14" t="s">
        <v>880</v>
      </c>
      <c r="K51" s="12" t="s">
        <v>272</v>
      </c>
      <c r="L51" s="14" t="s">
        <v>881</v>
      </c>
      <c r="M51" s="14" t="s">
        <v>92</v>
      </c>
      <c r="N51" s="12" t="s">
        <v>272</v>
      </c>
      <c r="O51" s="14" t="s">
        <v>882</v>
      </c>
      <c r="P51" s="12" t="s">
        <v>272</v>
      </c>
      <c r="Q51" s="12" t="s">
        <v>272</v>
      </c>
      <c r="R51" s="12" t="s">
        <v>272</v>
      </c>
      <c r="S51" s="12" t="s">
        <v>272</v>
      </c>
      <c r="T51" s="12" t="s">
        <v>272</v>
      </c>
      <c r="U51" s="14" t="s">
        <v>313</v>
      </c>
      <c r="V51" s="16"/>
      <c r="W51" s="93"/>
      <c r="X51" s="25" t="str">
        <f>_xlfn.IFS(AND(COUNTIF(V51,"SCB*")=1, 'PCH80'!G60&gt;=2), "See the Notice *2", TRUE, "")</f>
        <v/>
      </c>
      <c r="Y51" s="13"/>
      <c r="Z51" s="90" t="s">
        <v>271</v>
      </c>
      <c r="AA51" s="13" t="s">
        <v>354</v>
      </c>
      <c r="AB51" s="13"/>
      <c r="AC51" s="13"/>
    </row>
    <row r="52" spans="2:29" x14ac:dyDescent="0.2">
      <c r="B52" s="14" t="s">
        <v>160</v>
      </c>
      <c r="C52" s="14">
        <v>43</v>
      </c>
      <c r="D52" s="15" t="s">
        <v>160</v>
      </c>
      <c r="E52" s="14" t="s">
        <v>883</v>
      </c>
      <c r="F52" s="14" t="s">
        <v>884</v>
      </c>
      <c r="G52" s="14" t="s">
        <v>885</v>
      </c>
      <c r="H52" s="14" t="s">
        <v>886</v>
      </c>
      <c r="I52" s="14" t="s">
        <v>161</v>
      </c>
      <c r="J52" s="14" t="s">
        <v>887</v>
      </c>
      <c r="K52" s="14" t="s">
        <v>888</v>
      </c>
      <c r="L52" s="14" t="s">
        <v>889</v>
      </c>
      <c r="M52" s="14" t="s">
        <v>94</v>
      </c>
      <c r="N52" s="12" t="s">
        <v>272</v>
      </c>
      <c r="O52" s="14" t="s">
        <v>890</v>
      </c>
      <c r="P52" s="12" t="s">
        <v>272</v>
      </c>
      <c r="Q52" s="12" t="s">
        <v>272</v>
      </c>
      <c r="R52" s="12" t="s">
        <v>272</v>
      </c>
      <c r="S52" s="12" t="s">
        <v>272</v>
      </c>
      <c r="T52" s="12" t="s">
        <v>272</v>
      </c>
      <c r="U52" s="14" t="s">
        <v>314</v>
      </c>
      <c r="V52" s="18"/>
      <c r="W52" s="93"/>
      <c r="X52" s="25" t="str">
        <f>_xlfn.IFS(AND(COUNTIF(V52,"SCB*")=1, 'PCH80'!G60&gt;=2), "See the Notice *2", TRUE, "")</f>
        <v/>
      </c>
      <c r="Y52" s="13"/>
      <c r="Z52" s="90" t="s">
        <v>271</v>
      </c>
      <c r="AA52" s="13" t="s">
        <v>354</v>
      </c>
      <c r="AB52" s="13"/>
      <c r="AC52" s="13"/>
    </row>
    <row r="53" spans="2:29" x14ac:dyDescent="0.2">
      <c r="B53" s="14" t="s">
        <v>162</v>
      </c>
      <c r="C53" s="14">
        <v>44</v>
      </c>
      <c r="D53" s="15" t="s">
        <v>162</v>
      </c>
      <c r="E53" s="14" t="s">
        <v>891</v>
      </c>
      <c r="F53" s="14" t="s">
        <v>892</v>
      </c>
      <c r="G53" s="14" t="s">
        <v>893</v>
      </c>
      <c r="H53" s="14" t="s">
        <v>894</v>
      </c>
      <c r="I53" s="14" t="s">
        <v>163</v>
      </c>
      <c r="J53" s="14" t="s">
        <v>895</v>
      </c>
      <c r="K53" s="14" t="s">
        <v>896</v>
      </c>
      <c r="L53" s="14" t="s">
        <v>897</v>
      </c>
      <c r="M53" s="14" t="s">
        <v>96</v>
      </c>
      <c r="N53" s="12" t="s">
        <v>272</v>
      </c>
      <c r="O53" s="14" t="s">
        <v>898</v>
      </c>
      <c r="P53" s="12" t="s">
        <v>272</v>
      </c>
      <c r="Q53" s="12" t="s">
        <v>272</v>
      </c>
      <c r="R53" s="12" t="s">
        <v>272</v>
      </c>
      <c r="S53" s="12" t="s">
        <v>272</v>
      </c>
      <c r="T53" s="12" t="s">
        <v>272</v>
      </c>
      <c r="U53" s="14" t="s">
        <v>315</v>
      </c>
      <c r="V53" s="18"/>
      <c r="W53" s="93"/>
      <c r="X53" s="25" t="str">
        <f>_xlfn.IFS(AND(COUNTIF(V53,"SCB*")=1, 'PCH80'!G60&gt;=2), "See the Notice *2", TRUE, "")</f>
        <v/>
      </c>
      <c r="Y53" s="13"/>
      <c r="Z53" s="90" t="s">
        <v>271</v>
      </c>
      <c r="AA53" s="13" t="s">
        <v>354</v>
      </c>
      <c r="AB53" s="13"/>
      <c r="AC53" s="13"/>
    </row>
    <row r="54" spans="2:29" x14ac:dyDescent="0.2">
      <c r="B54" s="14" t="s">
        <v>164</v>
      </c>
      <c r="C54" s="14">
        <v>45</v>
      </c>
      <c r="D54" s="15" t="s">
        <v>164</v>
      </c>
      <c r="E54" s="14" t="s">
        <v>899</v>
      </c>
      <c r="F54" s="14" t="s">
        <v>900</v>
      </c>
      <c r="G54" s="14" t="s">
        <v>901</v>
      </c>
      <c r="H54" s="14" t="s">
        <v>902</v>
      </c>
      <c r="I54" s="14" t="s">
        <v>165</v>
      </c>
      <c r="J54" s="14" t="s">
        <v>903</v>
      </c>
      <c r="K54" s="12" t="s">
        <v>272</v>
      </c>
      <c r="L54" s="14" t="s">
        <v>904</v>
      </c>
      <c r="M54" s="12" t="s">
        <v>272</v>
      </c>
      <c r="N54" s="12" t="s">
        <v>272</v>
      </c>
      <c r="O54" s="12" t="s">
        <v>272</v>
      </c>
      <c r="P54" s="12" t="s">
        <v>272</v>
      </c>
      <c r="Q54" s="12" t="s">
        <v>272</v>
      </c>
      <c r="R54" s="12" t="s">
        <v>272</v>
      </c>
      <c r="S54" s="12" t="s">
        <v>272</v>
      </c>
      <c r="T54" s="12" t="s">
        <v>272</v>
      </c>
      <c r="U54" s="14" t="s">
        <v>316</v>
      </c>
      <c r="V54" s="18"/>
      <c r="W54" s="93"/>
      <c r="X54" s="25" t="str">
        <f>_xlfn.IFS(AND(COUNTIF(V54,"SCB*")=1, 'PCH80'!G60&gt;=2), "See the Notice *2", TRUE, "")</f>
        <v/>
      </c>
      <c r="Y54" s="13"/>
      <c r="Z54" s="90" t="s">
        <v>271</v>
      </c>
      <c r="AA54" s="13" t="s">
        <v>354</v>
      </c>
      <c r="AB54" s="13"/>
      <c r="AC54" s="13"/>
    </row>
    <row r="55" spans="2:29" x14ac:dyDescent="0.2">
      <c r="B55" s="14" t="s">
        <v>166</v>
      </c>
      <c r="C55" s="14">
        <v>46</v>
      </c>
      <c r="D55" s="15" t="s">
        <v>166</v>
      </c>
      <c r="E55" s="14" t="s">
        <v>905</v>
      </c>
      <c r="F55" s="14" t="s">
        <v>906</v>
      </c>
      <c r="G55" s="14" t="s">
        <v>907</v>
      </c>
      <c r="H55" s="14" t="s">
        <v>908</v>
      </c>
      <c r="I55" s="14" t="s">
        <v>590</v>
      </c>
      <c r="J55" s="12" t="s">
        <v>272</v>
      </c>
      <c r="K55" s="12" t="s">
        <v>272</v>
      </c>
      <c r="L55" s="14" t="s">
        <v>909</v>
      </c>
      <c r="M55" s="14" t="s">
        <v>817</v>
      </c>
      <c r="N55" s="12" t="s">
        <v>272</v>
      </c>
      <c r="O55" s="12" t="s">
        <v>272</v>
      </c>
      <c r="P55" s="12" t="s">
        <v>272</v>
      </c>
      <c r="Q55" s="12" t="s">
        <v>272</v>
      </c>
      <c r="R55" s="12" t="s">
        <v>272</v>
      </c>
      <c r="S55" s="12" t="s">
        <v>272</v>
      </c>
      <c r="T55" s="12" t="s">
        <v>272</v>
      </c>
      <c r="U55" s="14" t="s">
        <v>317</v>
      </c>
      <c r="V55" s="18"/>
      <c r="W55" s="93"/>
      <c r="X55" s="25" t="str">
        <f>_xlfn.IFS(AND(COUNTIF(V55,"SCB*")=1, 'PCH80'!G60&gt;=2), "See the Notice *2", TRUE, "")</f>
        <v/>
      </c>
      <c r="Y55" s="13"/>
      <c r="Z55" s="90" t="s">
        <v>271</v>
      </c>
      <c r="AA55" s="13" t="s">
        <v>354</v>
      </c>
      <c r="AB55" s="13"/>
      <c r="AC55" s="13"/>
    </row>
    <row r="56" spans="2:29" x14ac:dyDescent="0.2">
      <c r="B56" s="14" t="s">
        <v>167</v>
      </c>
      <c r="C56" s="14">
        <v>47</v>
      </c>
      <c r="D56" s="15" t="s">
        <v>167</v>
      </c>
      <c r="E56" s="14" t="s">
        <v>910</v>
      </c>
      <c r="F56" s="14" t="s">
        <v>911</v>
      </c>
      <c r="G56" s="14" t="s">
        <v>912</v>
      </c>
      <c r="H56" s="14" t="s">
        <v>913</v>
      </c>
      <c r="I56" s="14" t="s">
        <v>640</v>
      </c>
      <c r="J56" s="12" t="s">
        <v>272</v>
      </c>
      <c r="K56" s="12" t="s">
        <v>272</v>
      </c>
      <c r="L56" s="14" t="s">
        <v>914</v>
      </c>
      <c r="M56" s="14" t="s">
        <v>824</v>
      </c>
      <c r="N56" s="12" t="s">
        <v>272</v>
      </c>
      <c r="O56" s="14" t="s">
        <v>915</v>
      </c>
      <c r="P56" s="12" t="s">
        <v>272</v>
      </c>
      <c r="Q56" s="12" t="s">
        <v>272</v>
      </c>
      <c r="R56" s="12" t="s">
        <v>272</v>
      </c>
      <c r="S56" s="12" t="s">
        <v>272</v>
      </c>
      <c r="T56" s="12" t="s">
        <v>272</v>
      </c>
      <c r="U56" s="14" t="s">
        <v>318</v>
      </c>
      <c r="V56" s="18"/>
      <c r="W56" s="93"/>
      <c r="X56" s="25" t="str">
        <f>_xlfn.IFS(AND(COUNTIF(V56,"SCB*")=1, 'PCH80'!G60&gt;=2), "See the Notice *2", TRUE, "")</f>
        <v/>
      </c>
      <c r="Y56" s="13"/>
      <c r="Z56" s="90" t="s">
        <v>271</v>
      </c>
      <c r="AA56" s="13" t="s">
        <v>354</v>
      </c>
      <c r="AB56" s="13"/>
      <c r="AC56" s="13"/>
    </row>
    <row r="57" spans="2:29" x14ac:dyDescent="0.2">
      <c r="B57" s="14" t="s">
        <v>168</v>
      </c>
      <c r="C57" s="14">
        <v>48</v>
      </c>
      <c r="D57" s="15" t="s">
        <v>168</v>
      </c>
      <c r="E57" s="14" t="s">
        <v>916</v>
      </c>
      <c r="F57" s="14" t="s">
        <v>917</v>
      </c>
      <c r="G57" s="14" t="s">
        <v>918</v>
      </c>
      <c r="H57" s="14" t="s">
        <v>919</v>
      </c>
      <c r="I57" s="14" t="s">
        <v>595</v>
      </c>
      <c r="J57" s="12" t="s">
        <v>272</v>
      </c>
      <c r="K57" s="12" t="s">
        <v>272</v>
      </c>
      <c r="L57" s="14" t="s">
        <v>920</v>
      </c>
      <c r="M57" s="14" t="s">
        <v>830</v>
      </c>
      <c r="N57" s="12" t="s">
        <v>272</v>
      </c>
      <c r="O57" s="14" t="s">
        <v>921</v>
      </c>
      <c r="P57" s="14" t="s">
        <v>169</v>
      </c>
      <c r="Q57" s="12" t="s">
        <v>272</v>
      </c>
      <c r="R57" s="12" t="s">
        <v>272</v>
      </c>
      <c r="S57" s="12" t="s">
        <v>272</v>
      </c>
      <c r="T57" s="12" t="s">
        <v>272</v>
      </c>
      <c r="U57" s="14" t="s">
        <v>319</v>
      </c>
      <c r="V57" s="18"/>
      <c r="W57" s="93"/>
      <c r="X57" s="25" t="str">
        <f>_xlfn.IFS(AND(COUNTIF(V57,"SCB*")=1, 'PCH80'!G60&gt;=2), "See the Notice *2", TRUE, "")</f>
        <v/>
      </c>
      <c r="Y57" s="13"/>
      <c r="Z57" s="90" t="s">
        <v>271</v>
      </c>
      <c r="AA57" s="13" t="s">
        <v>354</v>
      </c>
      <c r="AB57" s="13"/>
      <c r="AC57" s="13"/>
    </row>
    <row r="58" spans="2:29" x14ac:dyDescent="0.2">
      <c r="B58" s="14" t="s">
        <v>170</v>
      </c>
      <c r="C58" s="14">
        <v>49</v>
      </c>
      <c r="D58" s="15" t="s">
        <v>170</v>
      </c>
      <c r="E58" s="14" t="s">
        <v>922</v>
      </c>
      <c r="F58" s="14" t="s">
        <v>923</v>
      </c>
      <c r="G58" s="14" t="s">
        <v>924</v>
      </c>
      <c r="H58" s="14" t="s">
        <v>925</v>
      </c>
      <c r="I58" s="14" t="s">
        <v>646</v>
      </c>
      <c r="J58" s="12" t="s">
        <v>272</v>
      </c>
      <c r="K58" s="12" t="s">
        <v>272</v>
      </c>
      <c r="L58" s="12" t="s">
        <v>272</v>
      </c>
      <c r="M58" s="12" t="s">
        <v>272</v>
      </c>
      <c r="N58" s="12" t="s">
        <v>272</v>
      </c>
      <c r="O58" s="14" t="s">
        <v>926</v>
      </c>
      <c r="P58" s="14" t="s">
        <v>171</v>
      </c>
      <c r="Q58" s="12" t="s">
        <v>272</v>
      </c>
      <c r="R58" s="12" t="s">
        <v>272</v>
      </c>
      <c r="S58" s="12" t="s">
        <v>272</v>
      </c>
      <c r="T58" s="12" t="s">
        <v>272</v>
      </c>
      <c r="U58" s="14" t="s">
        <v>320</v>
      </c>
      <c r="V58" s="18"/>
      <c r="W58" s="93"/>
      <c r="X58" s="25"/>
      <c r="Y58" s="13"/>
      <c r="Z58" s="90" t="s">
        <v>271</v>
      </c>
      <c r="AA58" s="13" t="s">
        <v>354</v>
      </c>
      <c r="AB58" s="13"/>
      <c r="AC58" s="13"/>
    </row>
    <row r="59" spans="2:29" x14ac:dyDescent="0.2">
      <c r="B59" s="14" t="s">
        <v>172</v>
      </c>
      <c r="C59" s="14">
        <v>50</v>
      </c>
      <c r="D59" s="15" t="s">
        <v>172</v>
      </c>
      <c r="E59" s="14" t="s">
        <v>927</v>
      </c>
      <c r="F59" s="14" t="s">
        <v>928</v>
      </c>
      <c r="G59" s="14" t="s">
        <v>929</v>
      </c>
      <c r="H59" s="14" t="s">
        <v>930</v>
      </c>
      <c r="I59" s="14" t="s">
        <v>600</v>
      </c>
      <c r="J59" s="14" t="s">
        <v>931</v>
      </c>
      <c r="K59" s="12" t="s">
        <v>272</v>
      </c>
      <c r="L59" s="14" t="s">
        <v>932</v>
      </c>
      <c r="M59" s="12" t="s">
        <v>272</v>
      </c>
      <c r="N59" s="14" t="s">
        <v>173</v>
      </c>
      <c r="O59" s="12" t="s">
        <v>272</v>
      </c>
      <c r="P59" s="12" t="s">
        <v>272</v>
      </c>
      <c r="Q59" s="12" t="s">
        <v>272</v>
      </c>
      <c r="R59" s="12" t="s">
        <v>272</v>
      </c>
      <c r="S59" s="12" t="s">
        <v>272</v>
      </c>
      <c r="T59" s="12" t="s">
        <v>272</v>
      </c>
      <c r="U59" s="14" t="s">
        <v>321</v>
      </c>
      <c r="V59" s="18"/>
      <c r="W59" s="93"/>
      <c r="X59" s="25" t="str">
        <f>_xlfn.IFS(AND(COUNTIF(V59,"SCB*")=1, 'PCH80'!F60&gt;=2), "See the Notice *2", TRUE, "")</f>
        <v/>
      </c>
      <c r="Y59" s="13"/>
      <c r="Z59" s="90" t="s">
        <v>271</v>
      </c>
      <c r="AA59" s="13" t="s">
        <v>354</v>
      </c>
      <c r="AB59" s="13"/>
      <c r="AC59" s="13"/>
    </row>
    <row r="60" spans="2:29" x14ac:dyDescent="0.2">
      <c r="B60" s="14" t="s">
        <v>174</v>
      </c>
      <c r="C60" s="14">
        <v>51</v>
      </c>
      <c r="D60" s="15" t="s">
        <v>174</v>
      </c>
      <c r="E60" s="14" t="s">
        <v>933</v>
      </c>
      <c r="F60" s="14" t="s">
        <v>934</v>
      </c>
      <c r="G60" s="14" t="s">
        <v>935</v>
      </c>
      <c r="H60" s="14" t="s">
        <v>936</v>
      </c>
      <c r="I60" s="14" t="s">
        <v>652</v>
      </c>
      <c r="J60" s="14" t="s">
        <v>937</v>
      </c>
      <c r="K60" s="14" t="s">
        <v>938</v>
      </c>
      <c r="L60" s="14" t="s">
        <v>939</v>
      </c>
      <c r="M60" s="12" t="s">
        <v>272</v>
      </c>
      <c r="N60" s="14" t="s">
        <v>175</v>
      </c>
      <c r="O60" s="12" t="s">
        <v>272</v>
      </c>
      <c r="P60" s="12" t="s">
        <v>272</v>
      </c>
      <c r="Q60" s="12" t="s">
        <v>272</v>
      </c>
      <c r="R60" s="12" t="s">
        <v>272</v>
      </c>
      <c r="S60" s="12" t="s">
        <v>272</v>
      </c>
      <c r="T60" s="12" t="s">
        <v>272</v>
      </c>
      <c r="U60" s="14" t="s">
        <v>322</v>
      </c>
      <c r="V60" s="16"/>
      <c r="W60" s="93"/>
      <c r="X60" s="25" t="str">
        <f>_xlfn.IFS(AND(COUNTIF(V60,"SCB*")=1, 'PCH80'!F60&gt;=2), "See the Notice *2", TRUE, "")</f>
        <v/>
      </c>
      <c r="Y60" s="13"/>
      <c r="Z60" s="90" t="s">
        <v>271</v>
      </c>
      <c r="AA60" s="13" t="s">
        <v>354</v>
      </c>
      <c r="AB60" s="13"/>
      <c r="AC60" s="13"/>
    </row>
    <row r="61" spans="2:29" x14ac:dyDescent="0.2">
      <c r="B61" s="14" t="s">
        <v>204</v>
      </c>
      <c r="C61" s="14">
        <v>52</v>
      </c>
      <c r="D61" s="15" t="s">
        <v>204</v>
      </c>
      <c r="E61" s="14" t="s">
        <v>750</v>
      </c>
      <c r="F61" s="14" t="s">
        <v>745</v>
      </c>
      <c r="G61" s="14" t="s">
        <v>752</v>
      </c>
      <c r="H61" s="14" t="s">
        <v>747</v>
      </c>
      <c r="I61" s="14" t="s">
        <v>993</v>
      </c>
      <c r="J61" s="14" t="s">
        <v>1026</v>
      </c>
      <c r="K61" s="12" t="s">
        <v>272</v>
      </c>
      <c r="L61" s="14" t="s">
        <v>1027</v>
      </c>
      <c r="M61" s="12" t="s">
        <v>272</v>
      </c>
      <c r="N61" s="12" t="s">
        <v>272</v>
      </c>
      <c r="O61" s="12" t="s">
        <v>272</v>
      </c>
      <c r="P61" s="12" t="s">
        <v>272</v>
      </c>
      <c r="Q61" s="14" t="s">
        <v>205</v>
      </c>
      <c r="R61" s="12" t="s">
        <v>272</v>
      </c>
      <c r="S61" s="12" t="s">
        <v>272</v>
      </c>
      <c r="T61" s="12" t="s">
        <v>272</v>
      </c>
      <c r="U61" s="14" t="s">
        <v>333</v>
      </c>
      <c r="V61" s="16"/>
      <c r="W61" s="12" t="s">
        <v>272</v>
      </c>
      <c r="X61" s="25" t="str">
        <f>_xlfn.IFS(AND(COUNTIF(V61,"SCB*")=1, 'PCH80'!E60&gt;=2), "See the Notice *2", TRUE, "")</f>
        <v/>
      </c>
      <c r="Y61" s="13"/>
      <c r="Z61" s="90" t="s">
        <v>271</v>
      </c>
      <c r="AA61" s="13" t="s">
        <v>254</v>
      </c>
      <c r="AB61" s="13"/>
      <c r="AC61" s="13"/>
    </row>
    <row r="62" spans="2:29" x14ac:dyDescent="0.2">
      <c r="B62" s="14" t="s">
        <v>206</v>
      </c>
      <c r="C62" s="14">
        <v>53</v>
      </c>
      <c r="D62" s="15" t="s">
        <v>206</v>
      </c>
      <c r="E62" s="14" t="s">
        <v>759</v>
      </c>
      <c r="F62" s="14" t="s">
        <v>755</v>
      </c>
      <c r="G62" s="14" t="s">
        <v>760</v>
      </c>
      <c r="H62" s="14" t="s">
        <v>756</v>
      </c>
      <c r="I62" s="14" t="s">
        <v>999</v>
      </c>
      <c r="J62" s="14" t="s">
        <v>1028</v>
      </c>
      <c r="K62" s="14" t="s">
        <v>1029</v>
      </c>
      <c r="L62" s="14" t="s">
        <v>1030</v>
      </c>
      <c r="M62" s="12" t="s">
        <v>272</v>
      </c>
      <c r="N62" s="12" t="s">
        <v>272</v>
      </c>
      <c r="O62" s="12" t="s">
        <v>272</v>
      </c>
      <c r="P62" s="12" t="s">
        <v>272</v>
      </c>
      <c r="Q62" s="14" t="s">
        <v>207</v>
      </c>
      <c r="R62" s="12" t="s">
        <v>272</v>
      </c>
      <c r="S62" s="12" t="s">
        <v>272</v>
      </c>
      <c r="T62" s="12" t="s">
        <v>272</v>
      </c>
      <c r="U62" s="14" t="s">
        <v>334</v>
      </c>
      <c r="V62" s="16"/>
      <c r="W62" s="12" t="s">
        <v>272</v>
      </c>
      <c r="X62" s="25" t="str">
        <f>_xlfn.IFS(AND(COUNTIF(V62,"SCB*")=1, 'PCH80'!E60&gt;=2), "See the Notice *2", TRUE, "")</f>
        <v/>
      </c>
      <c r="Y62" s="13"/>
      <c r="Z62" s="90" t="s">
        <v>271</v>
      </c>
      <c r="AA62" s="13" t="s">
        <v>254</v>
      </c>
      <c r="AB62" s="13"/>
      <c r="AC62" s="13"/>
    </row>
    <row r="63" spans="2:29" x14ac:dyDescent="0.2">
      <c r="B63" s="14" t="s">
        <v>208</v>
      </c>
      <c r="C63" s="14">
        <v>54</v>
      </c>
      <c r="D63" s="15" t="s">
        <v>208</v>
      </c>
      <c r="E63" s="14" t="s">
        <v>967</v>
      </c>
      <c r="F63" s="14" t="s">
        <v>762</v>
      </c>
      <c r="G63" s="14" t="s">
        <v>969</v>
      </c>
      <c r="H63" s="14" t="s">
        <v>763</v>
      </c>
      <c r="I63" s="14" t="s">
        <v>1005</v>
      </c>
      <c r="J63" s="14" t="s">
        <v>1031</v>
      </c>
      <c r="K63" s="14" t="s">
        <v>1032</v>
      </c>
      <c r="L63" s="14" t="s">
        <v>1033</v>
      </c>
      <c r="M63" s="12" t="s">
        <v>272</v>
      </c>
      <c r="N63" s="12" t="s">
        <v>272</v>
      </c>
      <c r="O63" s="12" t="s">
        <v>272</v>
      </c>
      <c r="P63" s="12" t="s">
        <v>272</v>
      </c>
      <c r="Q63" s="12" t="s">
        <v>272</v>
      </c>
      <c r="R63" s="12" t="s">
        <v>272</v>
      </c>
      <c r="S63" s="12" t="s">
        <v>272</v>
      </c>
      <c r="T63" s="12" t="s">
        <v>272</v>
      </c>
      <c r="U63" s="14" t="s">
        <v>335</v>
      </c>
      <c r="V63" s="16"/>
      <c r="W63" s="12" t="s">
        <v>272</v>
      </c>
      <c r="X63" s="25" t="str">
        <f>_xlfn.IFS(AND(COUNTIF(V63,"SCB*")=1, 'PCH80'!E60&gt;=2), "See the Notice *2", TRUE, "")</f>
        <v/>
      </c>
      <c r="Y63" s="13"/>
      <c r="Z63" s="90" t="s">
        <v>271</v>
      </c>
      <c r="AA63" s="13" t="s">
        <v>254</v>
      </c>
      <c r="AB63" s="13"/>
      <c r="AC63" s="13"/>
    </row>
    <row r="64" spans="2:29" x14ac:dyDescent="0.2">
      <c r="B64" s="14" t="s">
        <v>209</v>
      </c>
      <c r="C64" s="14">
        <v>55</v>
      </c>
      <c r="D64" s="15" t="s">
        <v>209</v>
      </c>
      <c r="E64" s="14" t="s">
        <v>963</v>
      </c>
      <c r="F64" s="14" t="s">
        <v>972</v>
      </c>
      <c r="G64" s="14" t="s">
        <v>965</v>
      </c>
      <c r="H64" s="14" t="s">
        <v>974</v>
      </c>
      <c r="I64" s="14" t="s">
        <v>1009</v>
      </c>
      <c r="J64" s="14" t="s">
        <v>1034</v>
      </c>
      <c r="K64" s="12" t="s">
        <v>272</v>
      </c>
      <c r="L64" s="14" t="s">
        <v>1035</v>
      </c>
      <c r="M64" s="12" t="s">
        <v>272</v>
      </c>
      <c r="N64" s="12" t="s">
        <v>272</v>
      </c>
      <c r="O64" s="12" t="s">
        <v>272</v>
      </c>
      <c r="P64" s="12" t="s">
        <v>272</v>
      </c>
      <c r="Q64" s="14" t="s">
        <v>1036</v>
      </c>
      <c r="R64" s="12" t="s">
        <v>272</v>
      </c>
      <c r="S64" s="12" t="s">
        <v>272</v>
      </c>
      <c r="T64" s="12" t="s">
        <v>272</v>
      </c>
      <c r="U64" s="14" t="s">
        <v>336</v>
      </c>
      <c r="V64" s="16"/>
      <c r="W64" s="12" t="s">
        <v>272</v>
      </c>
      <c r="X64" s="25" t="str">
        <f>_xlfn.IFS(AND(COUNTIF(V64,"SCB*")=1, 'PCH80'!E60&gt;=2), "See the Notice *2", TRUE, "")</f>
        <v/>
      </c>
      <c r="Y64" s="13"/>
      <c r="Z64" s="90" t="s">
        <v>271</v>
      </c>
      <c r="AA64" s="13" t="s">
        <v>254</v>
      </c>
      <c r="AB64" s="13"/>
      <c r="AC64" s="13"/>
    </row>
    <row r="65" spans="2:29" x14ac:dyDescent="0.2">
      <c r="B65" s="14" t="s">
        <v>210</v>
      </c>
      <c r="C65" s="14">
        <v>56</v>
      </c>
      <c r="D65" s="15" t="s">
        <v>210</v>
      </c>
      <c r="E65" s="14" t="s">
        <v>958</v>
      </c>
      <c r="F65" s="14" t="s">
        <v>968</v>
      </c>
      <c r="G65" s="14" t="s">
        <v>960</v>
      </c>
      <c r="H65" s="14" t="s">
        <v>970</v>
      </c>
      <c r="I65" s="14" t="s">
        <v>1010</v>
      </c>
      <c r="J65" s="12" t="s">
        <v>272</v>
      </c>
      <c r="K65" s="12" t="s">
        <v>272</v>
      </c>
      <c r="L65" s="14" t="s">
        <v>1037</v>
      </c>
      <c r="M65" s="12" t="s">
        <v>272</v>
      </c>
      <c r="N65" s="12" t="s">
        <v>272</v>
      </c>
      <c r="O65" s="12" t="s">
        <v>272</v>
      </c>
      <c r="P65" s="12" t="s">
        <v>272</v>
      </c>
      <c r="Q65" s="14" t="s">
        <v>1038</v>
      </c>
      <c r="R65" s="12" t="s">
        <v>272</v>
      </c>
      <c r="S65" s="12" t="s">
        <v>272</v>
      </c>
      <c r="T65" s="12" t="s">
        <v>272</v>
      </c>
      <c r="U65" s="14" t="s">
        <v>337</v>
      </c>
      <c r="V65" s="16"/>
      <c r="W65" s="12" t="s">
        <v>272</v>
      </c>
      <c r="X65" s="25" t="str">
        <f>_xlfn.IFS(AND(COUNTIF(V65,"SCB*")=1, 'PCH80'!E60&gt;=2), "See the Notice *2", TRUE, "")</f>
        <v/>
      </c>
      <c r="Y65" s="13"/>
      <c r="Z65" s="90" t="s">
        <v>271</v>
      </c>
      <c r="AA65" s="13" t="s">
        <v>254</v>
      </c>
      <c r="AB65" s="13"/>
      <c r="AC65" s="13"/>
    </row>
    <row r="66" spans="2:29" x14ac:dyDescent="0.2">
      <c r="B66" s="14" t="s">
        <v>211</v>
      </c>
      <c r="C66" s="14">
        <v>57</v>
      </c>
      <c r="D66" s="15" t="s">
        <v>211</v>
      </c>
      <c r="E66" s="14" t="s">
        <v>953</v>
      </c>
      <c r="F66" s="14" t="s">
        <v>964</v>
      </c>
      <c r="G66" s="14" t="s">
        <v>955</v>
      </c>
      <c r="H66" s="14" t="s">
        <v>966</v>
      </c>
      <c r="I66" s="14" t="s">
        <v>1013</v>
      </c>
      <c r="J66" s="12" t="s">
        <v>272</v>
      </c>
      <c r="K66" s="12" t="s">
        <v>272</v>
      </c>
      <c r="L66" s="14" t="s">
        <v>1039</v>
      </c>
      <c r="M66" s="12" t="s">
        <v>272</v>
      </c>
      <c r="N66" s="12" t="s">
        <v>272</v>
      </c>
      <c r="O66" s="12" t="s">
        <v>272</v>
      </c>
      <c r="P66" s="12" t="s">
        <v>272</v>
      </c>
      <c r="Q66" s="14" t="s">
        <v>1040</v>
      </c>
      <c r="R66" s="12" t="s">
        <v>272</v>
      </c>
      <c r="S66" s="12" t="s">
        <v>272</v>
      </c>
      <c r="T66" s="12" t="s">
        <v>272</v>
      </c>
      <c r="U66" s="14" t="s">
        <v>338</v>
      </c>
      <c r="V66" s="16"/>
      <c r="W66" s="12" t="s">
        <v>272</v>
      </c>
      <c r="X66" s="25" t="str">
        <f>_xlfn.IFS(AND(COUNTIF(V66,"SCB*")=1, 'PCH80'!E60&gt;=2), "See the Notice *2", TRUE, "")</f>
        <v/>
      </c>
      <c r="Y66" s="13"/>
      <c r="Z66" s="90" t="s">
        <v>271</v>
      </c>
      <c r="AA66" s="13" t="s">
        <v>254</v>
      </c>
      <c r="AB66" s="13"/>
      <c r="AC66" s="13"/>
    </row>
    <row r="67" spans="2:29" x14ac:dyDescent="0.2">
      <c r="B67" s="14" t="s">
        <v>212</v>
      </c>
      <c r="C67" s="14">
        <v>58</v>
      </c>
      <c r="D67" s="15" t="s">
        <v>212</v>
      </c>
      <c r="E67" s="14" t="s">
        <v>947</v>
      </c>
      <c r="F67" s="14" t="s">
        <v>959</v>
      </c>
      <c r="G67" s="14" t="s">
        <v>949</v>
      </c>
      <c r="H67" s="14" t="s">
        <v>961</v>
      </c>
      <c r="I67" s="14" t="s">
        <v>1017</v>
      </c>
      <c r="J67" s="12" t="s">
        <v>272</v>
      </c>
      <c r="K67" s="12" t="s">
        <v>272</v>
      </c>
      <c r="L67" s="14" t="s">
        <v>1041</v>
      </c>
      <c r="M67" s="12" t="s">
        <v>272</v>
      </c>
      <c r="N67" s="14" t="s">
        <v>213</v>
      </c>
      <c r="O67" s="12" t="s">
        <v>272</v>
      </c>
      <c r="P67" s="12" t="s">
        <v>272</v>
      </c>
      <c r="Q67" s="14" t="s">
        <v>1042</v>
      </c>
      <c r="R67" s="12" t="s">
        <v>272</v>
      </c>
      <c r="S67" s="12" t="s">
        <v>272</v>
      </c>
      <c r="T67" s="12" t="s">
        <v>272</v>
      </c>
      <c r="U67" s="14" t="s">
        <v>339</v>
      </c>
      <c r="V67" s="16"/>
      <c r="W67" s="12" t="s">
        <v>272</v>
      </c>
      <c r="X67" s="25" t="str">
        <f>_xlfn.IFS(AND(COUNTIF(V67,"SCB*")=1, 'PCH80'!E60&gt;=2), "See the Notice *2", TRUE, "")</f>
        <v/>
      </c>
      <c r="Y67" s="13"/>
      <c r="Z67" s="90" t="s">
        <v>271</v>
      </c>
      <c r="AA67" s="13" t="s">
        <v>254</v>
      </c>
      <c r="AB67" s="13"/>
      <c r="AC67" s="13"/>
    </row>
    <row r="68" spans="2:29" x14ac:dyDescent="0.2">
      <c r="B68" s="14" t="s">
        <v>214</v>
      </c>
      <c r="C68" s="14">
        <v>59</v>
      </c>
      <c r="D68" s="15" t="s">
        <v>214</v>
      </c>
      <c r="E68" s="14" t="s">
        <v>940</v>
      </c>
      <c r="F68" s="14" t="s">
        <v>954</v>
      </c>
      <c r="G68" s="14" t="s">
        <v>942</v>
      </c>
      <c r="H68" s="14" t="s">
        <v>956</v>
      </c>
      <c r="I68" s="14" t="s">
        <v>1021</v>
      </c>
      <c r="J68" s="12" t="s">
        <v>272</v>
      </c>
      <c r="K68" s="12" t="s">
        <v>272</v>
      </c>
      <c r="L68" s="12" t="s">
        <v>272</v>
      </c>
      <c r="M68" s="12" t="s">
        <v>272</v>
      </c>
      <c r="N68" s="14" t="s">
        <v>215</v>
      </c>
      <c r="O68" s="12" t="s">
        <v>272</v>
      </c>
      <c r="P68" s="12" t="s">
        <v>272</v>
      </c>
      <c r="Q68" s="14" t="s">
        <v>1043</v>
      </c>
      <c r="R68" s="12" t="s">
        <v>272</v>
      </c>
      <c r="S68" s="12" t="s">
        <v>272</v>
      </c>
      <c r="T68" s="12" t="s">
        <v>272</v>
      </c>
      <c r="U68" s="14" t="s">
        <v>340</v>
      </c>
      <c r="V68" s="16"/>
      <c r="W68" s="12" t="s">
        <v>272</v>
      </c>
      <c r="X68" s="25"/>
      <c r="Y68" s="13"/>
      <c r="Z68" s="90" t="s">
        <v>271</v>
      </c>
      <c r="AA68" s="13" t="s">
        <v>254</v>
      </c>
      <c r="AB68" s="13"/>
      <c r="AC68" s="13"/>
    </row>
    <row r="69" spans="2:29" x14ac:dyDescent="0.2">
      <c r="B69" s="17" t="s">
        <v>254</v>
      </c>
      <c r="C69" s="92">
        <v>60</v>
      </c>
      <c r="D69" s="12" t="s">
        <v>272</v>
      </c>
      <c r="E69" s="12" t="s">
        <v>272</v>
      </c>
      <c r="F69" s="12" t="s">
        <v>272</v>
      </c>
      <c r="G69" s="12" t="s">
        <v>272</v>
      </c>
      <c r="H69" s="12" t="s">
        <v>272</v>
      </c>
      <c r="I69" s="12" t="s">
        <v>272</v>
      </c>
      <c r="J69" s="12" t="s">
        <v>272</v>
      </c>
      <c r="K69" s="12" t="s">
        <v>272</v>
      </c>
      <c r="L69" s="12" t="s">
        <v>272</v>
      </c>
      <c r="M69" s="12" t="s">
        <v>272</v>
      </c>
      <c r="N69" s="12" t="s">
        <v>272</v>
      </c>
      <c r="O69" s="12" t="s">
        <v>272</v>
      </c>
      <c r="P69" s="12" t="s">
        <v>272</v>
      </c>
      <c r="Q69" s="12" t="s">
        <v>272</v>
      </c>
      <c r="R69" s="12" t="s">
        <v>272</v>
      </c>
      <c r="S69" s="12" t="s">
        <v>272</v>
      </c>
      <c r="T69" s="12" t="s">
        <v>272</v>
      </c>
      <c r="U69" s="12" t="s">
        <v>272</v>
      </c>
      <c r="V69" s="17" t="s">
        <v>254</v>
      </c>
      <c r="W69" s="12" t="s">
        <v>272</v>
      </c>
      <c r="X69" s="25"/>
      <c r="Y69" s="13" t="s">
        <v>530</v>
      </c>
      <c r="Z69" s="90" t="s">
        <v>543</v>
      </c>
      <c r="AA69" s="90" t="s">
        <v>543</v>
      </c>
      <c r="AB69" s="13"/>
      <c r="AC69" s="13"/>
    </row>
    <row r="70" spans="2:29" x14ac:dyDescent="0.2">
      <c r="B70" s="10" t="s">
        <v>253</v>
      </c>
      <c r="C70" s="92">
        <v>61</v>
      </c>
      <c r="D70" s="12" t="s">
        <v>272</v>
      </c>
      <c r="E70" s="12" t="s">
        <v>272</v>
      </c>
      <c r="F70" s="12" t="s">
        <v>272</v>
      </c>
      <c r="G70" s="12" t="s">
        <v>272</v>
      </c>
      <c r="H70" s="12" t="s">
        <v>272</v>
      </c>
      <c r="I70" s="12" t="s">
        <v>272</v>
      </c>
      <c r="J70" s="12" t="s">
        <v>272</v>
      </c>
      <c r="K70" s="12" t="s">
        <v>272</v>
      </c>
      <c r="L70" s="12" t="s">
        <v>272</v>
      </c>
      <c r="M70" s="12" t="s">
        <v>272</v>
      </c>
      <c r="N70" s="12" t="s">
        <v>272</v>
      </c>
      <c r="O70" s="12" t="s">
        <v>272</v>
      </c>
      <c r="P70" s="12" t="s">
        <v>272</v>
      </c>
      <c r="Q70" s="12" t="s">
        <v>272</v>
      </c>
      <c r="R70" s="12" t="s">
        <v>272</v>
      </c>
      <c r="S70" s="12" t="s">
        <v>272</v>
      </c>
      <c r="T70" s="12" t="s">
        <v>272</v>
      </c>
      <c r="U70" s="12" t="s">
        <v>272</v>
      </c>
      <c r="V70" s="10" t="s">
        <v>253</v>
      </c>
      <c r="W70" s="12" t="s">
        <v>272</v>
      </c>
      <c r="X70" s="25"/>
      <c r="Y70" s="13" t="s">
        <v>531</v>
      </c>
      <c r="Z70" s="90" t="s">
        <v>543</v>
      </c>
      <c r="AA70" s="90" t="s">
        <v>543</v>
      </c>
      <c r="AB70" s="13"/>
      <c r="AC70" s="13"/>
    </row>
    <row r="71" spans="2:29" x14ac:dyDescent="0.2">
      <c r="B71" s="14" t="s">
        <v>216</v>
      </c>
      <c r="C71" s="14">
        <v>62</v>
      </c>
      <c r="D71" s="15" t="s">
        <v>216</v>
      </c>
      <c r="E71" s="14" t="s">
        <v>665</v>
      </c>
      <c r="F71" s="14" t="s">
        <v>948</v>
      </c>
      <c r="G71" s="14" t="s">
        <v>667</v>
      </c>
      <c r="H71" s="14" t="s">
        <v>950</v>
      </c>
      <c r="I71" s="14" t="s">
        <v>1044</v>
      </c>
      <c r="J71" s="14" t="s">
        <v>1045</v>
      </c>
      <c r="K71" s="12" t="s">
        <v>272</v>
      </c>
      <c r="L71" s="14" t="s">
        <v>1046</v>
      </c>
      <c r="M71" s="12" t="s">
        <v>272</v>
      </c>
      <c r="N71" s="14" t="s">
        <v>975</v>
      </c>
      <c r="O71" s="12" t="s">
        <v>272</v>
      </c>
      <c r="P71" s="12" t="s">
        <v>272</v>
      </c>
      <c r="Q71" s="14" t="s">
        <v>217</v>
      </c>
      <c r="R71" s="12" t="s">
        <v>272</v>
      </c>
      <c r="S71" s="12" t="s">
        <v>272</v>
      </c>
      <c r="T71" s="12" t="s">
        <v>272</v>
      </c>
      <c r="U71" s="12" t="s">
        <v>272</v>
      </c>
      <c r="V71" s="16"/>
      <c r="W71" s="12" t="s">
        <v>272</v>
      </c>
      <c r="X71" s="25" t="str">
        <f>_xlfn.IFS(AND(COUNTIF(V71,"SCB*")=1, 'PCH80'!F60&gt;=2), "See the Notice *2", TRUE, "")</f>
        <v/>
      </c>
      <c r="Y71" s="13"/>
      <c r="Z71" s="90" t="s">
        <v>271</v>
      </c>
      <c r="AA71" s="13" t="s">
        <v>254</v>
      </c>
      <c r="AB71" s="13"/>
      <c r="AC71" s="13"/>
    </row>
    <row r="72" spans="2:29" x14ac:dyDescent="0.2">
      <c r="B72" s="14" t="s">
        <v>218</v>
      </c>
      <c r="C72" s="14">
        <v>63</v>
      </c>
      <c r="D72" s="15" t="s">
        <v>218</v>
      </c>
      <c r="E72" s="14" t="s">
        <v>789</v>
      </c>
      <c r="F72" s="14" t="s">
        <v>674</v>
      </c>
      <c r="G72" s="14" t="s">
        <v>791</v>
      </c>
      <c r="H72" s="14" t="s">
        <v>676</v>
      </c>
      <c r="I72" s="14" t="s">
        <v>1047</v>
      </c>
      <c r="J72" s="14" t="s">
        <v>1048</v>
      </c>
      <c r="K72" s="14" t="s">
        <v>1049</v>
      </c>
      <c r="L72" s="14" t="s">
        <v>1050</v>
      </c>
      <c r="M72" s="12" t="s">
        <v>272</v>
      </c>
      <c r="N72" s="14" t="s">
        <v>980</v>
      </c>
      <c r="O72" s="14" t="s">
        <v>1051</v>
      </c>
      <c r="P72" s="12" t="s">
        <v>272</v>
      </c>
      <c r="Q72" s="14" t="s">
        <v>219</v>
      </c>
      <c r="R72" s="12" t="s">
        <v>272</v>
      </c>
      <c r="S72" s="12" t="s">
        <v>272</v>
      </c>
      <c r="T72" s="12" t="s">
        <v>272</v>
      </c>
      <c r="U72" s="12" t="s">
        <v>272</v>
      </c>
      <c r="V72" s="16"/>
      <c r="W72" s="12" t="s">
        <v>272</v>
      </c>
      <c r="X72" s="25" t="str">
        <f>_xlfn.IFS(AND(COUNTIF(V72,"SCB*")=1, 'PCH80'!F60&gt;=2), "See the Notice *2", TRUE, "")</f>
        <v/>
      </c>
      <c r="Y72" s="13"/>
      <c r="Z72" s="90" t="s">
        <v>271</v>
      </c>
      <c r="AA72" s="13" t="s">
        <v>254</v>
      </c>
      <c r="AB72" s="13"/>
      <c r="AC72" s="13"/>
    </row>
    <row r="73" spans="2:29" x14ac:dyDescent="0.2">
      <c r="B73" s="14" t="s">
        <v>551</v>
      </c>
      <c r="C73" s="14">
        <v>64</v>
      </c>
      <c r="D73" s="15" t="s">
        <v>1169</v>
      </c>
      <c r="E73" s="14" t="s">
        <v>868</v>
      </c>
      <c r="F73" s="14" t="s">
        <v>877</v>
      </c>
      <c r="G73" s="14" t="s">
        <v>870</v>
      </c>
      <c r="H73" s="14" t="s">
        <v>879</v>
      </c>
      <c r="I73" s="12" t="s">
        <v>272</v>
      </c>
      <c r="J73" s="12" t="s">
        <v>272</v>
      </c>
      <c r="K73" s="12" t="s">
        <v>272</v>
      </c>
      <c r="L73" s="14" t="s">
        <v>1078</v>
      </c>
      <c r="M73" s="12" t="s">
        <v>272</v>
      </c>
      <c r="N73" s="12" t="s">
        <v>272</v>
      </c>
      <c r="O73" s="12" t="s">
        <v>272</v>
      </c>
      <c r="P73" s="12" t="s">
        <v>272</v>
      </c>
      <c r="Q73" s="12" t="s">
        <v>272</v>
      </c>
      <c r="R73" s="12" t="s">
        <v>272</v>
      </c>
      <c r="S73" s="12" t="s">
        <v>272</v>
      </c>
      <c r="T73" s="12" t="s">
        <v>272</v>
      </c>
      <c r="U73" s="14" t="s">
        <v>350</v>
      </c>
      <c r="V73" s="16"/>
      <c r="W73" s="12" t="s">
        <v>272</v>
      </c>
      <c r="X73" s="25" t="str">
        <f>_xlfn.IFS(AND(COUNTIF(V73,"SCB*")=1, 'PCH80'!E60&gt;=2), "See the Notice *2", TRUE, "")</f>
        <v/>
      </c>
      <c r="Y73" s="13"/>
      <c r="Z73" s="90" t="s">
        <v>271</v>
      </c>
      <c r="AA73" s="13" t="s">
        <v>254</v>
      </c>
      <c r="AB73" s="13"/>
      <c r="AC73" s="13"/>
    </row>
    <row r="74" spans="2:29" x14ac:dyDescent="0.2">
      <c r="B74" s="14" t="s">
        <v>552</v>
      </c>
      <c r="C74" s="14">
        <v>65</v>
      </c>
      <c r="D74" s="15" t="s">
        <v>1168</v>
      </c>
      <c r="E74" s="14" t="s">
        <v>864</v>
      </c>
      <c r="F74" s="14" t="s">
        <v>873</v>
      </c>
      <c r="G74" s="14" t="s">
        <v>866</v>
      </c>
      <c r="H74" s="14" t="s">
        <v>875</v>
      </c>
      <c r="I74" s="12" t="s">
        <v>272</v>
      </c>
      <c r="J74" s="12" t="s">
        <v>272</v>
      </c>
      <c r="K74" s="12" t="s">
        <v>272</v>
      </c>
      <c r="L74" s="12" t="s">
        <v>272</v>
      </c>
      <c r="M74" s="12" t="s">
        <v>272</v>
      </c>
      <c r="N74" s="12" t="s">
        <v>272</v>
      </c>
      <c r="O74" s="12" t="s">
        <v>272</v>
      </c>
      <c r="P74" s="12" t="s">
        <v>272</v>
      </c>
      <c r="Q74" s="12" t="s">
        <v>272</v>
      </c>
      <c r="R74" s="12" t="s">
        <v>272</v>
      </c>
      <c r="S74" s="12" t="s">
        <v>272</v>
      </c>
      <c r="T74" s="12" t="s">
        <v>272</v>
      </c>
      <c r="U74" s="14" t="s">
        <v>351</v>
      </c>
      <c r="V74" s="16"/>
      <c r="W74" s="12" t="s">
        <v>272</v>
      </c>
      <c r="X74" s="25"/>
      <c r="Y74" s="13"/>
      <c r="Z74" s="90" t="s">
        <v>271</v>
      </c>
      <c r="AA74" s="13" t="s">
        <v>254</v>
      </c>
      <c r="AB74" s="13"/>
      <c r="AC74" s="13"/>
    </row>
    <row r="75" spans="2:29" x14ac:dyDescent="0.2">
      <c r="B75" s="14" t="s">
        <v>553</v>
      </c>
      <c r="C75" s="14">
        <v>66</v>
      </c>
      <c r="D75" s="15" t="s">
        <v>1167</v>
      </c>
      <c r="E75" s="14" t="s">
        <v>860</v>
      </c>
      <c r="F75" s="14" t="s">
        <v>869</v>
      </c>
      <c r="G75" s="14" t="s">
        <v>862</v>
      </c>
      <c r="H75" s="14" t="s">
        <v>871</v>
      </c>
      <c r="I75" s="12" t="s">
        <v>272</v>
      </c>
      <c r="J75" s="12" t="s">
        <v>272</v>
      </c>
      <c r="K75" s="12" t="s">
        <v>272</v>
      </c>
      <c r="L75" s="12" t="s">
        <v>272</v>
      </c>
      <c r="M75" s="12" t="s">
        <v>272</v>
      </c>
      <c r="N75" s="12" t="s">
        <v>272</v>
      </c>
      <c r="O75" s="12" t="s">
        <v>272</v>
      </c>
      <c r="P75" s="14" t="s">
        <v>233</v>
      </c>
      <c r="Q75" s="14" t="s">
        <v>61</v>
      </c>
      <c r="R75" s="12" t="s">
        <v>272</v>
      </c>
      <c r="S75" s="12" t="s">
        <v>272</v>
      </c>
      <c r="T75" s="12" t="s">
        <v>272</v>
      </c>
      <c r="U75" s="14" t="s">
        <v>352</v>
      </c>
      <c r="V75" s="16"/>
      <c r="W75" s="12" t="s">
        <v>272</v>
      </c>
      <c r="X75" s="25"/>
      <c r="Y75" s="13"/>
      <c r="Z75" s="90" t="s">
        <v>271</v>
      </c>
      <c r="AA75" s="13" t="s">
        <v>254</v>
      </c>
      <c r="AB75" s="13"/>
      <c r="AC75" s="13"/>
    </row>
    <row r="76" spans="2:29" x14ac:dyDescent="0.2">
      <c r="B76" s="14" t="s">
        <v>554</v>
      </c>
      <c r="C76" s="14">
        <v>67</v>
      </c>
      <c r="D76" s="15" t="s">
        <v>1166</v>
      </c>
      <c r="E76" s="14" t="s">
        <v>856</v>
      </c>
      <c r="F76" s="14" t="s">
        <v>865</v>
      </c>
      <c r="G76" s="14" t="s">
        <v>858</v>
      </c>
      <c r="H76" s="14" t="s">
        <v>867</v>
      </c>
      <c r="I76" s="12" t="s">
        <v>272</v>
      </c>
      <c r="J76" s="12" t="s">
        <v>272</v>
      </c>
      <c r="K76" s="12" t="s">
        <v>272</v>
      </c>
      <c r="L76" s="12" t="s">
        <v>272</v>
      </c>
      <c r="M76" s="12" t="s">
        <v>272</v>
      </c>
      <c r="N76" s="12" t="s">
        <v>272</v>
      </c>
      <c r="O76" s="12" t="s">
        <v>272</v>
      </c>
      <c r="P76" s="12" t="s">
        <v>272</v>
      </c>
      <c r="Q76" s="12" t="s">
        <v>272</v>
      </c>
      <c r="R76" s="12" t="s">
        <v>272</v>
      </c>
      <c r="S76" s="12" t="s">
        <v>272</v>
      </c>
      <c r="T76" s="12" t="s">
        <v>272</v>
      </c>
      <c r="U76" s="14" t="s">
        <v>353</v>
      </c>
      <c r="V76" s="16"/>
      <c r="W76" s="12" t="s">
        <v>272</v>
      </c>
      <c r="X76" s="25"/>
      <c r="Y76" s="13"/>
      <c r="Z76" s="90" t="s">
        <v>271</v>
      </c>
      <c r="AA76" s="13" t="s">
        <v>254</v>
      </c>
      <c r="AB76" s="13"/>
      <c r="AC76" s="13"/>
    </row>
    <row r="77" spans="2:29" x14ac:dyDescent="0.2">
      <c r="B77" s="22" t="s">
        <v>261</v>
      </c>
      <c r="C77" s="92">
        <v>68</v>
      </c>
      <c r="D77" s="22" t="s">
        <v>261</v>
      </c>
      <c r="E77" s="12" t="s">
        <v>272</v>
      </c>
      <c r="F77" s="12" t="s">
        <v>272</v>
      </c>
      <c r="G77" s="12" t="s">
        <v>272</v>
      </c>
      <c r="H77" s="12" t="s">
        <v>272</v>
      </c>
      <c r="I77" s="12" t="s">
        <v>272</v>
      </c>
      <c r="J77" s="12" t="s">
        <v>272</v>
      </c>
      <c r="K77" s="12" t="s">
        <v>272</v>
      </c>
      <c r="L77" s="12" t="s">
        <v>272</v>
      </c>
      <c r="M77" s="12" t="s">
        <v>272</v>
      </c>
      <c r="N77" s="12" t="s">
        <v>272</v>
      </c>
      <c r="O77" s="12" t="s">
        <v>272</v>
      </c>
      <c r="P77" s="12" t="s">
        <v>272</v>
      </c>
      <c r="Q77" s="12" t="s">
        <v>272</v>
      </c>
      <c r="R77" s="12" t="s">
        <v>272</v>
      </c>
      <c r="S77" s="12" t="s">
        <v>272</v>
      </c>
      <c r="T77" s="12" t="s">
        <v>272</v>
      </c>
      <c r="U77" s="12" t="s">
        <v>272</v>
      </c>
      <c r="V77" s="22" t="s">
        <v>261</v>
      </c>
      <c r="W77" s="12" t="s">
        <v>272</v>
      </c>
      <c r="X77" s="25"/>
      <c r="Y77" s="13" t="s">
        <v>538</v>
      </c>
      <c r="Z77" s="90" t="s">
        <v>543</v>
      </c>
      <c r="AA77" s="90" t="s">
        <v>543</v>
      </c>
      <c r="AB77" s="13"/>
      <c r="AC77" s="13"/>
    </row>
    <row r="78" spans="2:29" x14ac:dyDescent="0.2">
      <c r="B78" s="17" t="s">
        <v>254</v>
      </c>
      <c r="C78" s="92">
        <v>69</v>
      </c>
      <c r="D78" s="12" t="s">
        <v>272</v>
      </c>
      <c r="E78" s="12" t="s">
        <v>272</v>
      </c>
      <c r="F78" s="12" t="s">
        <v>272</v>
      </c>
      <c r="G78" s="12" t="s">
        <v>272</v>
      </c>
      <c r="H78" s="12" t="s">
        <v>272</v>
      </c>
      <c r="I78" s="12" t="s">
        <v>272</v>
      </c>
      <c r="J78" s="12" t="s">
        <v>272</v>
      </c>
      <c r="K78" s="12" t="s">
        <v>272</v>
      </c>
      <c r="L78" s="12" t="s">
        <v>272</v>
      </c>
      <c r="M78" s="12" t="s">
        <v>272</v>
      </c>
      <c r="N78" s="12" t="s">
        <v>272</v>
      </c>
      <c r="O78" s="12" t="s">
        <v>272</v>
      </c>
      <c r="P78" s="12" t="s">
        <v>272</v>
      </c>
      <c r="Q78" s="12" t="s">
        <v>272</v>
      </c>
      <c r="R78" s="12" t="s">
        <v>272</v>
      </c>
      <c r="S78" s="12" t="s">
        <v>272</v>
      </c>
      <c r="T78" s="12" t="s">
        <v>272</v>
      </c>
      <c r="U78" s="12" t="s">
        <v>272</v>
      </c>
      <c r="V78" s="17" t="s">
        <v>254</v>
      </c>
      <c r="W78" s="12" t="s">
        <v>272</v>
      </c>
      <c r="X78" s="25"/>
      <c r="Y78" s="13" t="s">
        <v>530</v>
      </c>
      <c r="Z78" s="90" t="s">
        <v>543</v>
      </c>
      <c r="AA78" s="90" t="s">
        <v>543</v>
      </c>
      <c r="AB78" s="13"/>
      <c r="AC78" s="13"/>
    </row>
    <row r="79" spans="2:29" x14ac:dyDescent="0.2">
      <c r="B79" s="10" t="s">
        <v>253</v>
      </c>
      <c r="C79" s="92">
        <v>70</v>
      </c>
      <c r="D79" s="12" t="s">
        <v>272</v>
      </c>
      <c r="E79" s="12" t="s">
        <v>272</v>
      </c>
      <c r="F79" s="12" t="s">
        <v>272</v>
      </c>
      <c r="G79" s="12" t="s">
        <v>272</v>
      </c>
      <c r="H79" s="12" t="s">
        <v>272</v>
      </c>
      <c r="I79" s="12" t="s">
        <v>272</v>
      </c>
      <c r="J79" s="12" t="s">
        <v>272</v>
      </c>
      <c r="K79" s="12" t="s">
        <v>272</v>
      </c>
      <c r="L79" s="12" t="s">
        <v>272</v>
      </c>
      <c r="M79" s="12" t="s">
        <v>272</v>
      </c>
      <c r="N79" s="12" t="s">
        <v>272</v>
      </c>
      <c r="O79" s="12" t="s">
        <v>272</v>
      </c>
      <c r="P79" s="12" t="s">
        <v>272</v>
      </c>
      <c r="Q79" s="12" t="s">
        <v>272</v>
      </c>
      <c r="R79" s="12" t="s">
        <v>272</v>
      </c>
      <c r="S79" s="12" t="s">
        <v>272</v>
      </c>
      <c r="T79" s="12" t="s">
        <v>272</v>
      </c>
      <c r="U79" s="12" t="s">
        <v>272</v>
      </c>
      <c r="V79" s="10" t="s">
        <v>253</v>
      </c>
      <c r="W79" s="12" t="s">
        <v>272</v>
      </c>
      <c r="X79" s="25"/>
      <c r="Y79" s="13" t="s">
        <v>531</v>
      </c>
      <c r="Z79" s="90" t="s">
        <v>543</v>
      </c>
      <c r="AA79" s="90" t="s">
        <v>543</v>
      </c>
      <c r="AB79" s="13"/>
      <c r="AC79" s="13"/>
    </row>
    <row r="80" spans="2:29" x14ac:dyDescent="0.2">
      <c r="B80" s="10" t="s">
        <v>253</v>
      </c>
      <c r="C80" s="92">
        <v>71</v>
      </c>
      <c r="D80" s="12" t="s">
        <v>272</v>
      </c>
      <c r="E80" s="12" t="s">
        <v>272</v>
      </c>
      <c r="F80" s="12" t="s">
        <v>272</v>
      </c>
      <c r="G80" s="12" t="s">
        <v>272</v>
      </c>
      <c r="H80" s="12" t="s">
        <v>272</v>
      </c>
      <c r="I80" s="12" t="s">
        <v>272</v>
      </c>
      <c r="J80" s="12" t="s">
        <v>272</v>
      </c>
      <c r="K80" s="12" t="s">
        <v>272</v>
      </c>
      <c r="L80" s="12" t="s">
        <v>272</v>
      </c>
      <c r="M80" s="12" t="s">
        <v>272</v>
      </c>
      <c r="N80" s="12" t="s">
        <v>272</v>
      </c>
      <c r="O80" s="12" t="s">
        <v>272</v>
      </c>
      <c r="P80" s="12" t="s">
        <v>272</v>
      </c>
      <c r="Q80" s="12" t="s">
        <v>272</v>
      </c>
      <c r="R80" s="12" t="s">
        <v>272</v>
      </c>
      <c r="S80" s="12" t="s">
        <v>272</v>
      </c>
      <c r="T80" s="12" t="s">
        <v>272</v>
      </c>
      <c r="U80" s="12" t="s">
        <v>272</v>
      </c>
      <c r="V80" s="10" t="s">
        <v>253</v>
      </c>
      <c r="W80" s="12" t="s">
        <v>272</v>
      </c>
      <c r="X80" s="25"/>
      <c r="Y80" s="13" t="s">
        <v>531</v>
      </c>
      <c r="Z80" s="90" t="s">
        <v>543</v>
      </c>
      <c r="AA80" s="90" t="s">
        <v>543</v>
      </c>
      <c r="AB80" s="13"/>
      <c r="AC80" s="13"/>
    </row>
    <row r="81" spans="2:29" x14ac:dyDescent="0.2">
      <c r="B81" s="17" t="s">
        <v>256</v>
      </c>
      <c r="C81" s="92">
        <v>72</v>
      </c>
      <c r="D81" s="12" t="s">
        <v>272</v>
      </c>
      <c r="E81" s="12" t="s">
        <v>272</v>
      </c>
      <c r="F81" s="12" t="s">
        <v>272</v>
      </c>
      <c r="G81" s="12" t="s">
        <v>272</v>
      </c>
      <c r="H81" s="12" t="s">
        <v>272</v>
      </c>
      <c r="I81" s="12" t="s">
        <v>272</v>
      </c>
      <c r="J81" s="12" t="s">
        <v>272</v>
      </c>
      <c r="K81" s="12" t="s">
        <v>272</v>
      </c>
      <c r="L81" s="12" t="s">
        <v>272</v>
      </c>
      <c r="M81" s="12" t="s">
        <v>272</v>
      </c>
      <c r="N81" s="12" t="s">
        <v>272</v>
      </c>
      <c r="O81" s="12" t="s">
        <v>272</v>
      </c>
      <c r="P81" s="12" t="s">
        <v>272</v>
      </c>
      <c r="Q81" s="12" t="s">
        <v>272</v>
      </c>
      <c r="R81" s="12" t="s">
        <v>272</v>
      </c>
      <c r="S81" s="12" t="s">
        <v>272</v>
      </c>
      <c r="T81" s="12" t="s">
        <v>272</v>
      </c>
      <c r="U81" s="12" t="s">
        <v>272</v>
      </c>
      <c r="V81" s="17" t="s">
        <v>256</v>
      </c>
      <c r="W81" s="12" t="s">
        <v>272</v>
      </c>
      <c r="X81" s="25"/>
      <c r="Y81" s="13" t="s">
        <v>533</v>
      </c>
      <c r="Z81" s="90" t="s">
        <v>543</v>
      </c>
      <c r="AA81" s="90" t="s">
        <v>543</v>
      </c>
      <c r="AB81" s="13"/>
      <c r="AC81" s="13"/>
    </row>
    <row r="82" spans="2:29" x14ac:dyDescent="0.2">
      <c r="B82" s="14" t="s">
        <v>234</v>
      </c>
      <c r="C82" s="14">
        <v>73</v>
      </c>
      <c r="D82" s="15" t="s">
        <v>234</v>
      </c>
      <c r="E82" s="14" t="s">
        <v>836</v>
      </c>
      <c r="F82" s="14" t="s">
        <v>845</v>
      </c>
      <c r="G82" s="14" t="s">
        <v>838</v>
      </c>
      <c r="H82" s="14" t="s">
        <v>847</v>
      </c>
      <c r="I82" s="12" t="s">
        <v>272</v>
      </c>
      <c r="J82" s="14" t="s">
        <v>1079</v>
      </c>
      <c r="K82" s="12" t="s">
        <v>272</v>
      </c>
      <c r="L82" s="14" t="s">
        <v>1080</v>
      </c>
      <c r="M82" s="12" t="s">
        <v>272</v>
      </c>
      <c r="N82" s="14" t="s">
        <v>193</v>
      </c>
      <c r="O82" s="12" t="s">
        <v>272</v>
      </c>
      <c r="P82" s="12" t="s">
        <v>272</v>
      </c>
      <c r="Q82" s="14" t="s">
        <v>1081</v>
      </c>
      <c r="R82" s="12" t="s">
        <v>272</v>
      </c>
      <c r="S82" s="12" t="s">
        <v>272</v>
      </c>
      <c r="T82" s="12" t="s">
        <v>272</v>
      </c>
      <c r="U82" s="12" t="s">
        <v>272</v>
      </c>
      <c r="V82" s="16"/>
      <c r="W82" s="12" t="s">
        <v>272</v>
      </c>
      <c r="X82" s="25" t="str">
        <f>_xlfn.IFS(AND(COUNTIF(V82,"SCB*")=1, 'PCH80'!J60&gt;=2), "See the Notice *2", TRUE, "")</f>
        <v/>
      </c>
      <c r="Y82" s="13"/>
      <c r="Z82" s="90" t="s">
        <v>271</v>
      </c>
      <c r="AA82" s="13" t="s">
        <v>254</v>
      </c>
      <c r="AB82" s="13"/>
      <c r="AC82" s="13"/>
    </row>
    <row r="83" spans="2:29" x14ac:dyDescent="0.2">
      <c r="B83" s="14" t="s">
        <v>235</v>
      </c>
      <c r="C83" s="14">
        <v>74</v>
      </c>
      <c r="D83" s="15" t="s">
        <v>235</v>
      </c>
      <c r="E83" s="14" t="s">
        <v>831</v>
      </c>
      <c r="F83" s="14" t="s">
        <v>841</v>
      </c>
      <c r="G83" s="14" t="s">
        <v>833</v>
      </c>
      <c r="H83" s="14" t="s">
        <v>843</v>
      </c>
      <c r="I83" s="12" t="s">
        <v>272</v>
      </c>
      <c r="J83" s="14" t="s">
        <v>1082</v>
      </c>
      <c r="K83" s="14" t="s">
        <v>1083</v>
      </c>
      <c r="L83" s="14" t="s">
        <v>1084</v>
      </c>
      <c r="M83" s="12" t="s">
        <v>272</v>
      </c>
      <c r="N83" s="14" t="s">
        <v>195</v>
      </c>
      <c r="O83" s="12" t="s">
        <v>272</v>
      </c>
      <c r="P83" s="12" t="s">
        <v>272</v>
      </c>
      <c r="Q83" s="14" t="s">
        <v>1085</v>
      </c>
      <c r="R83" s="12" t="s">
        <v>272</v>
      </c>
      <c r="S83" s="12" t="s">
        <v>272</v>
      </c>
      <c r="T83" s="12" t="s">
        <v>272</v>
      </c>
      <c r="U83" s="12" t="s">
        <v>272</v>
      </c>
      <c r="V83" s="16"/>
      <c r="W83" s="12" t="s">
        <v>272</v>
      </c>
      <c r="X83" s="25" t="str">
        <f>_xlfn.IFS(AND(COUNTIF(V83,"SCB*")=1, 'PCH80'!J60&gt;=2), "See the Notice *2", TRUE, "")</f>
        <v/>
      </c>
      <c r="Y83" s="13"/>
      <c r="Z83" s="90" t="s">
        <v>271</v>
      </c>
      <c r="AA83" s="13" t="s">
        <v>254</v>
      </c>
      <c r="AB83" s="13"/>
      <c r="AC83" s="13"/>
    </row>
    <row r="84" spans="2:29" x14ac:dyDescent="0.2">
      <c r="B84" s="14" t="s">
        <v>245</v>
      </c>
      <c r="C84" s="14">
        <v>75</v>
      </c>
      <c r="D84" s="15" t="s">
        <v>245</v>
      </c>
      <c r="E84" s="14" t="s">
        <v>916</v>
      </c>
      <c r="F84" s="14" t="s">
        <v>911</v>
      </c>
      <c r="G84" s="14" t="s">
        <v>918</v>
      </c>
      <c r="H84" s="14" t="s">
        <v>913</v>
      </c>
      <c r="I84" s="12" t="s">
        <v>272</v>
      </c>
      <c r="J84" s="14" t="s">
        <v>1104</v>
      </c>
      <c r="K84" s="12" t="s">
        <v>272</v>
      </c>
      <c r="L84" s="14" t="s">
        <v>1105</v>
      </c>
      <c r="M84" s="12" t="s">
        <v>272</v>
      </c>
      <c r="N84" s="12" t="s">
        <v>272</v>
      </c>
      <c r="O84" s="12" t="s">
        <v>272</v>
      </c>
      <c r="P84" s="14" t="s">
        <v>246</v>
      </c>
      <c r="Q84" s="14" t="s">
        <v>219</v>
      </c>
      <c r="R84" s="12" t="s">
        <v>272</v>
      </c>
      <c r="S84" s="12" t="s">
        <v>272</v>
      </c>
      <c r="T84" s="12" t="s">
        <v>272</v>
      </c>
      <c r="U84" s="12" t="s">
        <v>272</v>
      </c>
      <c r="V84" s="16"/>
      <c r="W84" s="12" t="s">
        <v>272</v>
      </c>
      <c r="X84" s="25" t="str">
        <f>_xlfn.IFS(AND(COUNTIF(V84,"SCB*")=1, 'PCH80'!K60&gt;=2), "See the Notice *2", TRUE, "")</f>
        <v/>
      </c>
      <c r="Y84" s="13"/>
      <c r="Z84" s="90" t="s">
        <v>271</v>
      </c>
      <c r="AA84" s="13" t="s">
        <v>254</v>
      </c>
      <c r="AB84" s="13"/>
      <c r="AC84" s="13"/>
    </row>
    <row r="85" spans="2:29" x14ac:dyDescent="0.2">
      <c r="B85" s="14" t="s">
        <v>247</v>
      </c>
      <c r="C85" s="14">
        <v>76</v>
      </c>
      <c r="D85" s="15" t="s">
        <v>247</v>
      </c>
      <c r="E85" s="14" t="s">
        <v>785</v>
      </c>
      <c r="F85" s="14" t="s">
        <v>923</v>
      </c>
      <c r="G85" s="14" t="s">
        <v>787</v>
      </c>
      <c r="H85" s="14" t="s">
        <v>925</v>
      </c>
      <c r="I85" s="12" t="s">
        <v>272</v>
      </c>
      <c r="J85" s="12" t="s">
        <v>272</v>
      </c>
      <c r="K85" s="12" t="s">
        <v>272</v>
      </c>
      <c r="L85" s="14" t="s">
        <v>1106</v>
      </c>
      <c r="M85" s="12" t="s">
        <v>272</v>
      </c>
      <c r="N85" s="12" t="s">
        <v>272</v>
      </c>
      <c r="O85" s="12" t="s">
        <v>272</v>
      </c>
      <c r="P85" s="14" t="s">
        <v>248</v>
      </c>
      <c r="Q85" s="14" t="s">
        <v>59</v>
      </c>
      <c r="R85" s="12" t="s">
        <v>272</v>
      </c>
      <c r="S85" s="14" t="s">
        <v>342</v>
      </c>
      <c r="T85" s="12" t="s">
        <v>272</v>
      </c>
      <c r="U85" s="12" t="s">
        <v>272</v>
      </c>
      <c r="V85" s="16"/>
      <c r="W85" s="12" t="s">
        <v>272</v>
      </c>
      <c r="X85" s="25" t="str">
        <f>_xlfn.IFS(AND(COUNTIF(V85,"SCB*")=1, 'PCH80'!K60&gt;=2), "See the Notice *2", TRUE, "")</f>
        <v/>
      </c>
      <c r="Y85" s="13"/>
      <c r="Z85" s="90" t="s">
        <v>271</v>
      </c>
      <c r="AA85" s="13" t="s">
        <v>254</v>
      </c>
      <c r="AB85" s="13"/>
      <c r="AC85" s="13"/>
    </row>
    <row r="86" spans="2:29" x14ac:dyDescent="0.2">
      <c r="B86" s="14" t="s">
        <v>249</v>
      </c>
      <c r="C86" s="14">
        <v>77</v>
      </c>
      <c r="D86" s="15" t="s">
        <v>249</v>
      </c>
      <c r="E86" s="14" t="s">
        <v>781</v>
      </c>
      <c r="F86" s="14" t="s">
        <v>790</v>
      </c>
      <c r="G86" s="14" t="s">
        <v>783</v>
      </c>
      <c r="H86" s="14" t="s">
        <v>792</v>
      </c>
      <c r="I86" s="12" t="s">
        <v>272</v>
      </c>
      <c r="J86" s="12" t="s">
        <v>272</v>
      </c>
      <c r="K86" s="12" t="s">
        <v>272</v>
      </c>
      <c r="L86" s="14" t="s">
        <v>1107</v>
      </c>
      <c r="M86" s="14" t="s">
        <v>1108</v>
      </c>
      <c r="N86" s="12" t="s">
        <v>272</v>
      </c>
      <c r="O86" s="12" t="s">
        <v>272</v>
      </c>
      <c r="P86" s="12" t="s">
        <v>272</v>
      </c>
      <c r="Q86" s="12" t="s">
        <v>272</v>
      </c>
      <c r="R86" s="12" t="s">
        <v>272</v>
      </c>
      <c r="S86" s="14" t="s">
        <v>343</v>
      </c>
      <c r="T86" s="12" t="s">
        <v>272</v>
      </c>
      <c r="U86" s="12" t="s">
        <v>272</v>
      </c>
      <c r="V86" s="16"/>
      <c r="W86" s="12" t="s">
        <v>272</v>
      </c>
      <c r="X86" s="25" t="str">
        <f>_xlfn.IFS(AND(COUNTIF(V86,"SCB*")=1, 'PCH80'!K60&gt;=2), "See the Notice *2", TRUE, "")</f>
        <v/>
      </c>
      <c r="Y86" s="13"/>
      <c r="Z86" s="90" t="s">
        <v>271</v>
      </c>
      <c r="AA86" s="13" t="s">
        <v>254</v>
      </c>
      <c r="AB86" s="13"/>
      <c r="AC86" s="13"/>
    </row>
    <row r="87" spans="2:29" x14ac:dyDescent="0.2">
      <c r="B87" s="14" t="s">
        <v>250</v>
      </c>
      <c r="C87" s="14">
        <v>78</v>
      </c>
      <c r="D87" s="15" t="s">
        <v>250</v>
      </c>
      <c r="E87" s="14" t="s">
        <v>779</v>
      </c>
      <c r="F87" s="14" t="s">
        <v>786</v>
      </c>
      <c r="G87" s="14" t="s">
        <v>780</v>
      </c>
      <c r="H87" s="14" t="s">
        <v>788</v>
      </c>
      <c r="I87" s="12" t="s">
        <v>272</v>
      </c>
      <c r="J87" s="12" t="s">
        <v>272</v>
      </c>
      <c r="K87" s="12" t="s">
        <v>272</v>
      </c>
      <c r="L87" s="12" t="s">
        <v>272</v>
      </c>
      <c r="M87" s="14" t="s">
        <v>1109</v>
      </c>
      <c r="N87" s="12" t="s">
        <v>272</v>
      </c>
      <c r="O87" s="12" t="s">
        <v>272</v>
      </c>
      <c r="P87" s="12" t="s">
        <v>272</v>
      </c>
      <c r="Q87" s="12" t="s">
        <v>272</v>
      </c>
      <c r="R87" s="12" t="s">
        <v>272</v>
      </c>
      <c r="S87" s="14" t="s">
        <v>344</v>
      </c>
      <c r="T87" s="12" t="s">
        <v>272</v>
      </c>
      <c r="U87" s="12" t="s">
        <v>272</v>
      </c>
      <c r="V87" s="16"/>
      <c r="W87" s="12" t="s">
        <v>272</v>
      </c>
      <c r="X87" s="25"/>
      <c r="Y87" s="13"/>
      <c r="Z87" s="90" t="s">
        <v>271</v>
      </c>
      <c r="AA87" s="13" t="s">
        <v>254</v>
      </c>
      <c r="AB87" s="13"/>
      <c r="AC87" s="13"/>
    </row>
    <row r="88" spans="2:29" x14ac:dyDescent="0.2">
      <c r="B88" s="14" t="s">
        <v>251</v>
      </c>
      <c r="C88" s="14">
        <v>79</v>
      </c>
      <c r="D88" s="15" t="s">
        <v>251</v>
      </c>
      <c r="E88" s="14" t="s">
        <v>775</v>
      </c>
      <c r="F88" s="14" t="s">
        <v>782</v>
      </c>
      <c r="G88" s="14" t="s">
        <v>777</v>
      </c>
      <c r="H88" s="14" t="s">
        <v>784</v>
      </c>
      <c r="I88" s="12" t="s">
        <v>272</v>
      </c>
      <c r="J88" s="12" t="s">
        <v>272</v>
      </c>
      <c r="K88" s="12" t="s">
        <v>272</v>
      </c>
      <c r="L88" s="12" t="s">
        <v>272</v>
      </c>
      <c r="M88" s="14" t="s">
        <v>1110</v>
      </c>
      <c r="N88" s="12" t="s">
        <v>272</v>
      </c>
      <c r="O88" s="12" t="s">
        <v>272</v>
      </c>
      <c r="P88" s="14" t="s">
        <v>233</v>
      </c>
      <c r="Q88" s="14" t="s">
        <v>101</v>
      </c>
      <c r="R88" s="12" t="s">
        <v>272</v>
      </c>
      <c r="S88" s="14" t="s">
        <v>345</v>
      </c>
      <c r="T88" s="12" t="s">
        <v>272</v>
      </c>
      <c r="U88" s="14" t="s">
        <v>539</v>
      </c>
      <c r="V88" s="16"/>
      <c r="W88" s="12" t="s">
        <v>272</v>
      </c>
      <c r="X88" s="25"/>
      <c r="Y88" s="13"/>
      <c r="Z88" s="90" t="s">
        <v>271</v>
      </c>
      <c r="AA88" s="13" t="s">
        <v>254</v>
      </c>
      <c r="AB88" s="13"/>
      <c r="AC88" s="13"/>
    </row>
    <row r="89" spans="2:29" x14ac:dyDescent="0.2">
      <c r="B89" s="17" t="s">
        <v>254</v>
      </c>
      <c r="C89" s="11">
        <v>80</v>
      </c>
      <c r="D89" s="12" t="s">
        <v>272</v>
      </c>
      <c r="E89" s="12" t="s">
        <v>272</v>
      </c>
      <c r="F89" s="12" t="s">
        <v>272</v>
      </c>
      <c r="G89" s="12" t="s">
        <v>272</v>
      </c>
      <c r="H89" s="12" t="s">
        <v>272</v>
      </c>
      <c r="I89" s="12" t="s">
        <v>272</v>
      </c>
      <c r="J89" s="12" t="s">
        <v>272</v>
      </c>
      <c r="K89" s="12" t="s">
        <v>272</v>
      </c>
      <c r="L89" s="12" t="s">
        <v>272</v>
      </c>
      <c r="M89" s="12" t="s">
        <v>272</v>
      </c>
      <c r="N89" s="12" t="s">
        <v>272</v>
      </c>
      <c r="O89" s="12" t="s">
        <v>272</v>
      </c>
      <c r="P89" s="12" t="s">
        <v>272</v>
      </c>
      <c r="Q89" s="12" t="s">
        <v>272</v>
      </c>
      <c r="R89" s="12" t="s">
        <v>272</v>
      </c>
      <c r="S89" s="12" t="s">
        <v>272</v>
      </c>
      <c r="T89" s="12" t="s">
        <v>272</v>
      </c>
      <c r="U89" s="12" t="s">
        <v>272</v>
      </c>
      <c r="V89" s="17" t="s">
        <v>254</v>
      </c>
      <c r="W89" s="12" t="s">
        <v>272</v>
      </c>
      <c r="X89" s="25"/>
      <c r="Y89" s="13" t="s">
        <v>530</v>
      </c>
      <c r="Z89" s="90" t="s">
        <v>543</v>
      </c>
      <c r="AA89" s="90" t="s">
        <v>543</v>
      </c>
      <c r="AB89" s="13"/>
      <c r="AC89" s="13"/>
    </row>
    <row r="92" spans="2:29" x14ac:dyDescent="0.55000000000000004">
      <c r="B92" s="4" t="s">
        <v>1196</v>
      </c>
    </row>
    <row r="93" spans="2:29" x14ac:dyDescent="0.55000000000000004">
      <c r="B93" s="4" t="s">
        <v>559</v>
      </c>
    </row>
    <row r="94" spans="2:29" x14ac:dyDescent="0.55000000000000004">
      <c r="B94" s="4" t="s">
        <v>1197</v>
      </c>
    </row>
    <row r="95" spans="2:29" x14ac:dyDescent="0.55000000000000004">
      <c r="B95" s="4" t="s">
        <v>1198</v>
      </c>
    </row>
    <row r="96" spans="2:29" x14ac:dyDescent="0.55000000000000004">
      <c r="B96" s="4" t="s">
        <v>1199</v>
      </c>
    </row>
    <row r="107" spans="4:17" ht="14.5" x14ac:dyDescent="0.35">
      <c r="D107" s="118" t="s">
        <v>1216</v>
      </c>
      <c r="E107" s="118"/>
      <c r="F107" s="118"/>
      <c r="G107" s="118"/>
      <c r="H107" s="118"/>
      <c r="I107" s="118"/>
      <c r="J107" s="118"/>
      <c r="K107" s="118"/>
      <c r="L107" s="118"/>
      <c r="M107" s="118"/>
      <c r="N107" s="118"/>
      <c r="O107" s="118"/>
      <c r="P107" s="118"/>
      <c r="Q107" s="118"/>
    </row>
    <row r="108" spans="4:17" ht="172" customHeight="1" x14ac:dyDescent="0.55000000000000004">
      <c r="D108" s="119" t="s">
        <v>1217</v>
      </c>
      <c r="E108" s="119"/>
      <c r="F108" s="119"/>
      <c r="G108" s="119"/>
      <c r="H108" s="119"/>
      <c r="I108" s="119"/>
      <c r="J108" s="119"/>
      <c r="K108" s="119"/>
      <c r="L108" s="119"/>
      <c r="M108" s="119"/>
      <c r="N108" s="119"/>
      <c r="O108" s="119"/>
      <c r="P108" s="119"/>
      <c r="Q108" s="119"/>
    </row>
    <row r="126" spans="28:29" x14ac:dyDescent="0.55000000000000004">
      <c r="AB126" s="95"/>
      <c r="AC126" s="95"/>
    </row>
    <row r="127" spans="28:29" x14ac:dyDescent="0.55000000000000004">
      <c r="AB127" s="95"/>
      <c r="AC127" s="95"/>
    </row>
    <row r="128" spans="28:29" x14ac:dyDescent="0.55000000000000004">
      <c r="AB128" s="95"/>
      <c r="AC128" s="95"/>
    </row>
    <row r="129" spans="28:29" x14ac:dyDescent="0.55000000000000004">
      <c r="AB129" s="95"/>
      <c r="AC129" s="95"/>
    </row>
    <row r="130" spans="28:29" x14ac:dyDescent="0.55000000000000004">
      <c r="AB130" s="95"/>
      <c r="AC130" s="95"/>
    </row>
    <row r="131" spans="28:29" x14ac:dyDescent="0.55000000000000004">
      <c r="AB131" s="95"/>
      <c r="AC131" s="95"/>
    </row>
    <row r="132" spans="28:29" x14ac:dyDescent="0.55000000000000004">
      <c r="AB132" s="95"/>
      <c r="AC132" s="95"/>
    </row>
    <row r="133" spans="28:29" x14ac:dyDescent="0.55000000000000004">
      <c r="AB133" s="95"/>
      <c r="AC133" s="95"/>
    </row>
    <row r="134" spans="28:29" x14ac:dyDescent="0.55000000000000004">
      <c r="AB134" s="95"/>
      <c r="AC134" s="95"/>
    </row>
    <row r="135" spans="28:29" x14ac:dyDescent="0.55000000000000004">
      <c r="AB135" s="95"/>
      <c r="AC135" s="95"/>
    </row>
    <row r="136" spans="28:29" x14ac:dyDescent="0.55000000000000004">
      <c r="AB136" s="95"/>
      <c r="AC136" s="95"/>
    </row>
    <row r="137" spans="28:29" x14ac:dyDescent="0.55000000000000004">
      <c r="AB137" s="95"/>
      <c r="AC137" s="95"/>
    </row>
    <row r="138" spans="28:29" x14ac:dyDescent="0.55000000000000004">
      <c r="AB138" s="95"/>
      <c r="AC138" s="95"/>
    </row>
    <row r="139" spans="28:29" x14ac:dyDescent="0.55000000000000004">
      <c r="AB139" s="95"/>
      <c r="AC139" s="95"/>
    </row>
    <row r="140" spans="28:29" x14ac:dyDescent="0.55000000000000004">
      <c r="AB140" s="95"/>
      <c r="AC140" s="95"/>
    </row>
    <row r="141" spans="28:29" x14ac:dyDescent="0.55000000000000004">
      <c r="AB141" s="95"/>
      <c r="AC141" s="95"/>
    </row>
    <row r="142" spans="28:29" x14ac:dyDescent="0.55000000000000004">
      <c r="AB142" s="95"/>
      <c r="AC142" s="95"/>
    </row>
    <row r="143" spans="28:29" x14ac:dyDescent="0.55000000000000004">
      <c r="AB143" s="95"/>
      <c r="AC143" s="95"/>
    </row>
    <row r="144" spans="28:29" x14ac:dyDescent="0.55000000000000004">
      <c r="AB144" s="95"/>
      <c r="AC144" s="95"/>
    </row>
    <row r="145" spans="28:29" x14ac:dyDescent="0.55000000000000004">
      <c r="AB145" s="95"/>
      <c r="AC145" s="95"/>
    </row>
    <row r="146" spans="28:29" x14ac:dyDescent="0.55000000000000004">
      <c r="AB146" s="95"/>
      <c r="AC146" s="95"/>
    </row>
    <row r="147" spans="28:29" x14ac:dyDescent="0.55000000000000004">
      <c r="AB147" s="95"/>
      <c r="AC147" s="95"/>
    </row>
    <row r="148" spans="28:29" x14ac:dyDescent="0.55000000000000004">
      <c r="AB148" s="95"/>
      <c r="AC148" s="95"/>
    </row>
    <row r="149" spans="28:29" x14ac:dyDescent="0.55000000000000004">
      <c r="AB149" s="95"/>
      <c r="AC149" s="95"/>
    </row>
    <row r="150" spans="28:29" x14ac:dyDescent="0.55000000000000004">
      <c r="AB150" s="95"/>
      <c r="AC150" s="95"/>
    </row>
    <row r="151" spans="28:29" x14ac:dyDescent="0.55000000000000004">
      <c r="AB151" s="95"/>
      <c r="AC151" s="95"/>
    </row>
    <row r="152" spans="28:29" x14ac:dyDescent="0.55000000000000004">
      <c r="AB152" s="95"/>
      <c r="AC152" s="95"/>
    </row>
    <row r="153" spans="28:29" x14ac:dyDescent="0.55000000000000004">
      <c r="AB153" s="95"/>
      <c r="AC153" s="95"/>
    </row>
    <row r="154" spans="28:29" x14ac:dyDescent="0.55000000000000004">
      <c r="AB154" s="95"/>
      <c r="AC154" s="95"/>
    </row>
    <row r="155" spans="28:29" x14ac:dyDescent="0.55000000000000004">
      <c r="AB155" s="95"/>
      <c r="AC155" s="95"/>
    </row>
    <row r="156" spans="28:29" x14ac:dyDescent="0.55000000000000004">
      <c r="AB156" s="95"/>
      <c r="AC156" s="95"/>
    </row>
    <row r="157" spans="28:29" x14ac:dyDescent="0.55000000000000004">
      <c r="AB157" s="95"/>
      <c r="AC157" s="95"/>
    </row>
  </sheetData>
  <sheetProtection algorithmName="SHA-512" hashValue="zIjtvbt98T35Wp4Y8ylDZtBDa2ZU/e3m85kFqAM0bQ27n1gKugd8g1Lvb0zh6ezGO9l89wJk26fHtEoA04/aFA==" saltValue="HW9dOoQGB8wEqEWWjkiP4A==" spinCount="100000" sheet="1" objects="1" scenarios="1" formatCells="0" formatColumns="0" formatRows="0" insertColumns="0" insertRows="0" insertHyperlinks="0" deleteColumns="0" deleteRows="0" selectLockedCells="1" sort="0" autoFilter="0" pivotTables="0"/>
  <mergeCells count="19">
    <mergeCell ref="D107:Q107"/>
    <mergeCell ref="D108:Q108"/>
    <mergeCell ref="U7:U9"/>
    <mergeCell ref="B7:B9"/>
    <mergeCell ref="C7:C9"/>
    <mergeCell ref="I7:K7"/>
    <mergeCell ref="D7:D9"/>
    <mergeCell ref="R7:T7"/>
    <mergeCell ref="AC8:AC9"/>
    <mergeCell ref="X8:X9"/>
    <mergeCell ref="V7:X7"/>
    <mergeCell ref="AB7:AC7"/>
    <mergeCell ref="AB8:AB9"/>
    <mergeCell ref="W8:W9"/>
    <mergeCell ref="Y7:Y9"/>
    <mergeCell ref="Z7:AA7"/>
    <mergeCell ref="Z8:Z9"/>
    <mergeCell ref="AA8:AA9"/>
    <mergeCell ref="V8:V9"/>
  </mergeCells>
  <phoneticPr fontId="3"/>
  <conditionalFormatting sqref="V31:V40">
    <cfRule type="notContainsBlanks" dxfId="156" priority="9">
      <formula>LEN(TRIM(V31))&gt;0</formula>
    </cfRule>
  </conditionalFormatting>
  <conditionalFormatting sqref="V51:V68">
    <cfRule type="notContainsBlanks" dxfId="155" priority="7">
      <formula>LEN(TRIM(V51))&gt;0</formula>
    </cfRule>
  </conditionalFormatting>
  <conditionalFormatting sqref="V82:V88">
    <cfRule type="notContainsBlanks" dxfId="154" priority="5">
      <formula>LEN(TRIM(V82))&gt;0</formula>
    </cfRule>
  </conditionalFormatting>
  <conditionalFormatting sqref="V11:V28">
    <cfRule type="notContainsBlanks" dxfId="153" priority="10">
      <formula>LEN(TRIM(V11))&gt;0</formula>
    </cfRule>
  </conditionalFormatting>
  <conditionalFormatting sqref="V45:V48">
    <cfRule type="notContainsBlanks" dxfId="152" priority="8">
      <formula>LEN(TRIM(V45))&gt;0</formula>
    </cfRule>
  </conditionalFormatting>
  <conditionalFormatting sqref="V71:V76">
    <cfRule type="notContainsBlanks" dxfId="151" priority="6">
      <formula>LEN(TRIM(V71))&gt;0</formula>
    </cfRule>
  </conditionalFormatting>
  <conditionalFormatting sqref="V11:V28 V31:V40 V45:V48 V51:V68 V82:V88 V71:V76">
    <cfRule type="duplicateValues" dxfId="150" priority="4"/>
  </conditionalFormatting>
  <conditionalFormatting sqref="W45:W48">
    <cfRule type="notContainsBlanks" dxfId="149" priority="1">
      <formula>LEN(TRIM(W45))&gt;0</formula>
    </cfRule>
  </conditionalFormatting>
  <conditionalFormatting sqref="W51:W58">
    <cfRule type="notContainsBlanks" dxfId="148" priority="3">
      <formula>LEN(TRIM(W51))&gt;0</formula>
    </cfRule>
  </conditionalFormatting>
  <conditionalFormatting sqref="W59:W60">
    <cfRule type="notContainsBlanks" dxfId="147" priority="2">
      <formula>LEN(TRIM(W59))&gt;0</formula>
    </cfRule>
  </conditionalFormatting>
  <dataValidations count="77">
    <dataValidation type="list" allowBlank="1" showInputMessage="1" showErrorMessage="1" sqref="V68" xr:uid="{A699475F-B862-4DBA-94A6-21138C4E29F9}">
      <formula1>$D$68:$U$68</formula1>
    </dataValidation>
    <dataValidation type="list" allowBlank="1" showInputMessage="1" showErrorMessage="1" sqref="V67" xr:uid="{121A33D4-B469-4B57-AB33-8D4B34A42BE0}">
      <formula1>$D$67:$U$67</formula1>
    </dataValidation>
    <dataValidation type="list" allowBlank="1" showInputMessage="1" showErrorMessage="1" sqref="V65" xr:uid="{02A242C1-BEB6-4C9B-B524-E70CE35860A4}">
      <formula1>$D$65:$U$65</formula1>
    </dataValidation>
    <dataValidation type="list" allowBlank="1" showInputMessage="1" showErrorMessage="1" sqref="V64" xr:uid="{5DDE1A9E-2774-44F0-94FE-A0CA57187858}">
      <formula1>$D$64:$U$64</formula1>
    </dataValidation>
    <dataValidation type="list" allowBlank="1" showInputMessage="1" showErrorMessage="1" sqref="V63" xr:uid="{81E5F669-6F56-4064-A9BB-CE25B499A004}">
      <formula1>$D$63:$U$63</formula1>
    </dataValidation>
    <dataValidation type="list" allowBlank="1" showInputMessage="1" showErrorMessage="1" sqref="V62" xr:uid="{CD36FE8A-B41D-45CE-8777-9755ED4C0CEC}">
      <formula1>$D$62:$U$62</formula1>
    </dataValidation>
    <dataValidation type="list" allowBlank="1" showInputMessage="1" showErrorMessage="1" sqref="V61" xr:uid="{8217682F-69D5-4EF7-83EE-DE018657D5E2}">
      <formula1>$D$61:$U$61</formula1>
    </dataValidation>
    <dataValidation type="list" allowBlank="1" showInputMessage="1" showErrorMessage="1" sqref="V72" xr:uid="{B9CC6C4C-711C-426A-8F79-DD90DCB197AF}">
      <formula1>$D$72:$U$72</formula1>
    </dataValidation>
    <dataValidation type="list" allowBlank="1" showInputMessage="1" showErrorMessage="1" sqref="V71" xr:uid="{59B2296F-444E-483E-9457-165E595FB1B3}">
      <formula1>$D$71:$U$71</formula1>
    </dataValidation>
    <dataValidation type="list" allowBlank="1" showInputMessage="1" showErrorMessage="1" sqref="V76" xr:uid="{AAC5A3B8-FD5A-4F97-BFFF-AD34B32D16E5}">
      <formula1>$D$76:$U$76</formula1>
    </dataValidation>
    <dataValidation type="list" allowBlank="1" showInputMessage="1" showErrorMessage="1" sqref="V75" xr:uid="{C5025234-5071-4574-BA3D-CA17216F9333}">
      <formula1>$D$75:$U$75</formula1>
    </dataValidation>
    <dataValidation type="list" allowBlank="1" showInputMessage="1" showErrorMessage="1" sqref="V74" xr:uid="{F766501A-F9B5-44DB-8486-EC3B97F1BECB}">
      <formula1>$D$74:$U$74</formula1>
    </dataValidation>
    <dataValidation type="list" allowBlank="1" showInputMessage="1" showErrorMessage="1" sqref="V73" xr:uid="{5EE3A792-902F-40E3-A2B2-81ECB14E981A}">
      <formula1>$D$73:$U$73</formula1>
    </dataValidation>
    <dataValidation type="list" allowBlank="1" showInputMessage="1" showErrorMessage="1" sqref="V60" xr:uid="{920ABEA6-9F94-4332-971E-8C5E3C9C4883}">
      <formula1>$D$60:$U$60</formula1>
    </dataValidation>
    <dataValidation type="list" allowBlank="1" showInputMessage="1" showErrorMessage="1" sqref="V51" xr:uid="{A9BAFE22-84F1-45E1-B122-41B68AB838F3}">
      <formula1>$D$51:$U$51</formula1>
    </dataValidation>
    <dataValidation type="list" allowBlank="1" showInputMessage="1" showErrorMessage="1" sqref="V88" xr:uid="{B362D61E-C5D8-4804-9C66-BA1A1783B761}">
      <formula1>$D$88:$U$88</formula1>
    </dataValidation>
    <dataValidation type="list" allowBlank="1" showInputMessage="1" showErrorMessage="1" sqref="V87" xr:uid="{CA20B130-0C4E-401B-85E6-AD32F86BED75}">
      <formula1>$D$87:$U$87</formula1>
    </dataValidation>
    <dataValidation type="list" allowBlank="1" showInputMessage="1" showErrorMessage="1" sqref="V86" xr:uid="{7B5E416C-4437-4F24-A745-2CAEF4338ED4}">
      <formula1>$D$86:$U$86</formula1>
    </dataValidation>
    <dataValidation type="list" allowBlank="1" showInputMessage="1" showErrorMessage="1" sqref="V85" xr:uid="{01A7ADD3-3439-43F1-952F-A1B7B3048CAB}">
      <formula1>$D$85:$U$85</formula1>
    </dataValidation>
    <dataValidation type="list" allowBlank="1" showInputMessage="1" showErrorMessage="1" sqref="V84" xr:uid="{FAF0BE0F-4221-44DD-B4AF-1D88002FDEEE}">
      <formula1>$D$84:$U$84</formula1>
    </dataValidation>
    <dataValidation type="list" allowBlank="1" showInputMessage="1" showErrorMessage="1" sqref="V83" xr:uid="{6F9BA1D8-710D-4A44-A23E-856CDA708B59}">
      <formula1>$D$83:$U$83</formula1>
    </dataValidation>
    <dataValidation type="list" allowBlank="1" showInputMessage="1" showErrorMessage="1" sqref="V82" xr:uid="{6565A464-AA29-496E-8992-97C7F4058ABE}">
      <formula1>$D$82:$U$82</formula1>
    </dataValidation>
    <dataValidation type="list" allowBlank="1" showInputMessage="1" showErrorMessage="1" sqref="V37" xr:uid="{F5E0BB2B-77F6-46F4-9A3F-66FD1B91F140}">
      <formula1>$D$37:$U$37</formula1>
    </dataValidation>
    <dataValidation type="list" allowBlank="1" showInputMessage="1" showErrorMessage="1" sqref="V34" xr:uid="{47153F6E-FFDB-49BC-A522-49F8FACFBDCC}">
      <formula1>$D$34:$U$34</formula1>
    </dataValidation>
    <dataValidation type="list" allowBlank="1" showInputMessage="1" showErrorMessage="1" sqref="V33" xr:uid="{7ABCF35B-1494-4E87-B03A-79B16232AAC0}">
      <formula1>$D$33:$U$33</formula1>
    </dataValidation>
    <dataValidation type="list" allowBlank="1" showInputMessage="1" showErrorMessage="1" sqref="V32" xr:uid="{3B99B150-C56A-4452-80F1-6F00FCB211AA}">
      <formula1>$D$32:$U$32</formula1>
    </dataValidation>
    <dataValidation type="list" allowBlank="1" showInputMessage="1" showErrorMessage="1" sqref="V21" xr:uid="{5B3192EE-8E46-4509-B8EF-BF57A861EFE8}">
      <formula1>$D$21:$U$21</formula1>
    </dataValidation>
    <dataValidation type="list" allowBlank="1" showInputMessage="1" showErrorMessage="1" sqref="V20" xr:uid="{D8F40750-C328-4F2B-82C8-B2BB0BA8AE29}">
      <formula1>$D$20:$U$20</formula1>
    </dataValidation>
    <dataValidation type="list" allowBlank="1" showInputMessage="1" showErrorMessage="1" sqref="V19" xr:uid="{0B3AE01E-C89E-495B-8587-ECE363F51784}">
      <formula1>$D$19:$U$19</formula1>
    </dataValidation>
    <dataValidation type="list" allowBlank="1" showInputMessage="1" showErrorMessage="1" sqref="V18" xr:uid="{5837D26C-E0E9-4DCE-B179-00AF3EC278A2}">
      <formula1>$D$18:$U$18</formula1>
    </dataValidation>
    <dataValidation type="list" allowBlank="1" showInputMessage="1" showErrorMessage="1" sqref="V11" xr:uid="{04E7C473-679D-469C-97A2-1525DB0853CB}">
      <formula1>$D$11:$U$11</formula1>
    </dataValidation>
    <dataValidation type="list" allowBlank="1" showInputMessage="1" showErrorMessage="1" sqref="V12" xr:uid="{F73177E4-7289-4393-94BA-3B39B958BEA8}">
      <formula1>$D$12:$U$12</formula1>
    </dataValidation>
    <dataValidation type="list" allowBlank="1" showInputMessage="1" showErrorMessage="1" sqref="V13" xr:uid="{6E15E222-5BC0-4D4A-9732-46F881CC0F0E}">
      <formula1>$D$13:$U$13</formula1>
    </dataValidation>
    <dataValidation type="list" allowBlank="1" showInputMessage="1" showErrorMessage="1" sqref="V14" xr:uid="{3B3110DF-1373-4421-83A5-5365371D68CA}">
      <formula1>$D$14:$U$14</formula1>
    </dataValidation>
    <dataValidation type="list" allowBlank="1" showInputMessage="1" showErrorMessage="1" sqref="V15" xr:uid="{1B548A41-369B-4FB0-B968-9F6D202CA3FF}">
      <formula1>$D$15:$U$15</formula1>
    </dataValidation>
    <dataValidation type="list" allowBlank="1" showInputMessage="1" showErrorMessage="1" sqref="V16" xr:uid="{E5901C0F-02D2-413D-AE29-7CE770DC5AD3}">
      <formula1>$D$16:$U$16</formula1>
    </dataValidation>
    <dataValidation type="list" allowBlank="1" showInputMessage="1" showErrorMessage="1" sqref="V17" xr:uid="{CA4569DC-50C9-4EB0-81FE-7252B0E59855}">
      <formula1>$D$17:$U$17</formula1>
    </dataValidation>
    <dataValidation type="list" allowBlank="1" showInputMessage="1" showErrorMessage="1" sqref="V36" xr:uid="{60BD38B3-0F29-43A1-87AC-9CF55CC0349D}">
      <formula1>$D$36:$U$36</formula1>
    </dataValidation>
    <dataValidation type="list" allowBlank="1" showInputMessage="1" showErrorMessage="1" sqref="V31" xr:uid="{D4FF31AD-EFAC-4A66-A472-E0B94F7ACF06}">
      <formula1>$D$31:$U$31</formula1>
    </dataValidation>
    <dataValidation type="list" allowBlank="1" showInputMessage="1" showErrorMessage="1" sqref="V52" xr:uid="{009DCBA6-2D62-4B53-ADF3-86947ECA6D0C}">
      <formula1>$D$52:$U$52</formula1>
    </dataValidation>
    <dataValidation type="list" allowBlank="1" showInputMessage="1" showErrorMessage="1" sqref="V53" xr:uid="{DB53790F-5967-40D6-AB23-5DADAEAA35EB}">
      <formula1>$D$53:$U$53</formula1>
    </dataValidation>
    <dataValidation type="list" allowBlank="1" showInputMessage="1" showErrorMessage="1" sqref="V54" xr:uid="{52D2337F-0195-460A-BFCE-4661E0545F0E}">
      <formula1>$D$54:$U$54</formula1>
    </dataValidation>
    <dataValidation type="list" allowBlank="1" showInputMessage="1" showErrorMessage="1" sqref="V22" xr:uid="{BE489B5A-4BA7-4B0D-BDE5-1786EA9FC9D0}">
      <formula1>$D$22:$U$22</formula1>
    </dataValidation>
    <dataValidation type="list" allowBlank="1" showInputMessage="1" showErrorMessage="1" sqref="V23" xr:uid="{DFC00ABB-0365-4F17-8B59-54C088DA7E02}">
      <formula1>$D$23:$U$23</formula1>
    </dataValidation>
    <dataValidation type="list" allowBlank="1" showInputMessage="1" showErrorMessage="1" sqref="V24" xr:uid="{24FD4496-153A-422B-A365-C3E30ADAD2EE}">
      <formula1>$D$24:$U$24</formula1>
    </dataValidation>
    <dataValidation type="list" allowBlank="1" showInputMessage="1" showErrorMessage="1" sqref="V25" xr:uid="{2AC6F7DF-95B0-467E-BC47-1C0E85345630}">
      <formula1>$D$25:$U$25</formula1>
    </dataValidation>
    <dataValidation type="list" allowBlank="1" showInputMessage="1" showErrorMessage="1" sqref="V26" xr:uid="{E7720834-CFDD-4D46-90B2-195C2B884CC6}">
      <formula1>$D$26:$U$26</formula1>
    </dataValidation>
    <dataValidation type="list" allowBlank="1" showInputMessage="1" showErrorMessage="1" sqref="V27" xr:uid="{6D2D680D-80C9-49A6-ABA7-E20FFE72C785}">
      <formula1>$D$27:$U$27</formula1>
    </dataValidation>
    <dataValidation type="list" allowBlank="1" showInputMessage="1" showErrorMessage="1" sqref="V28" xr:uid="{8F26ECC6-4064-443E-AB29-4419A771293D}">
      <formula1>$D$28:$U$28</formula1>
    </dataValidation>
    <dataValidation type="list" allowBlank="1" showInputMessage="1" showErrorMessage="1" sqref="V55" xr:uid="{1A69DD72-F831-4B17-8B20-872EE0E3D5F9}">
      <formula1>$D$55:$U$55</formula1>
    </dataValidation>
    <dataValidation type="list" allowBlank="1" showInputMessage="1" showErrorMessage="1" sqref="V56" xr:uid="{6C100677-FA37-4081-848E-ED54A3508388}">
      <formula1>$D$56:$U$56</formula1>
    </dataValidation>
    <dataValidation type="list" allowBlank="1" showInputMessage="1" showErrorMessage="1" sqref="V57" xr:uid="{7994F267-6CB9-413A-BB92-D7744C3754EE}">
      <formula1>$D$57:$U$57</formula1>
    </dataValidation>
    <dataValidation type="list" allowBlank="1" showInputMessage="1" showErrorMessage="1" sqref="V58" xr:uid="{E346D6CC-C1B3-49B7-881D-CD7B5A9B7261}">
      <formula1>$D$58:$U$58</formula1>
    </dataValidation>
    <dataValidation type="list" allowBlank="1" showInputMessage="1" showErrorMessage="1" sqref="V59" xr:uid="{C7560A80-5A0A-4475-8FEE-7E11E688A2B6}">
      <formula1>$D$59:$U$59</formula1>
    </dataValidation>
    <dataValidation type="list" allowBlank="1" showInputMessage="1" showErrorMessage="1" sqref="V38" xr:uid="{6E48DCB3-7586-4C33-A3D1-3A5CD5E76AD1}">
      <formula1>$D$38:$U$38</formula1>
    </dataValidation>
    <dataValidation type="list" allowBlank="1" showInputMessage="1" showErrorMessage="1" sqref="V39" xr:uid="{D8B214E7-7154-4C0B-AE01-7A7A04D56FDD}">
      <formula1>$D$39:$U$39</formula1>
    </dataValidation>
    <dataValidation type="list" allowBlank="1" showInputMessage="1" showErrorMessage="1" sqref="V45" xr:uid="{4F2F0518-AF24-452D-8D39-2A75E9B3B2E8}">
      <formula1>$D$45:$U$45</formula1>
    </dataValidation>
    <dataValidation type="list" allowBlank="1" showInputMessage="1" showErrorMessage="1" sqref="V46" xr:uid="{13D040D4-CF43-4436-A314-214C25FEEF1A}">
      <formula1>$D$46:$U$46</formula1>
    </dataValidation>
    <dataValidation type="list" allowBlank="1" showInputMessage="1" showErrorMessage="1" sqref="V47" xr:uid="{AECD1D8B-8DA4-4F51-A39C-57399827372D}">
      <formula1>$D$47:$U$47</formula1>
    </dataValidation>
    <dataValidation type="list" allowBlank="1" showInputMessage="1" showErrorMessage="1" sqref="V48" xr:uid="{C072D95E-646B-4CC3-AB8D-20F6667B91D7}">
      <formula1>$D$48:$U$48</formula1>
    </dataValidation>
    <dataValidation type="list" allowBlank="1" showInputMessage="1" showErrorMessage="1" sqref="V35" xr:uid="{64010C90-3481-46AE-B85D-F91676D39F14}">
      <formula1>$D$35:$U$35</formula1>
    </dataValidation>
    <dataValidation type="list" allowBlank="1" showInputMessage="1" showErrorMessage="1" sqref="V40" xr:uid="{7D0B8534-AF52-4933-BA0B-B8D4F20FE7C4}">
      <formula1>$D$40:$U$40</formula1>
    </dataValidation>
    <dataValidation type="list" allowBlank="1" showInputMessage="1" showErrorMessage="1" sqref="V66" xr:uid="{D3A26865-772B-45F3-9EBB-5270C8168CCC}">
      <formula1>$D$66:$U$66</formula1>
    </dataValidation>
    <dataValidation type="list" allowBlank="1" showInputMessage="1" showErrorMessage="1" sqref="W59" xr:uid="{7E5B605F-7BA8-4F8E-85A5-2C7555B80299}">
      <formula1>"NA, SMARTIO14_0"</formula1>
    </dataValidation>
    <dataValidation type="list" allowBlank="1" showInputMessage="1" showErrorMessage="1" sqref="W60" xr:uid="{2942BF38-8ECE-4FA5-BB1F-B00468DA48A1}">
      <formula1>"NA, SMARTIO14_1"</formula1>
    </dataValidation>
    <dataValidation type="list" allowBlank="1" showInputMessage="1" showErrorMessage="1" sqref="W51" xr:uid="{126E64B8-20FD-4461-B821-383FCFC63167}">
      <formula1>"NA, SMARTIO13_0"</formula1>
    </dataValidation>
    <dataValidation type="list" allowBlank="1" showInputMessage="1" showErrorMessage="1" sqref="W52" xr:uid="{72902F0C-0C8F-4A37-B2CE-0A6DCBA5BFED}">
      <formula1>"NA, SMARTIO13_1"</formula1>
    </dataValidation>
    <dataValidation type="list" allowBlank="1" showInputMessage="1" showErrorMessage="1" sqref="W53" xr:uid="{15D8ECAA-8C87-4BC8-BF8C-19F4CFC619E9}">
      <formula1>"NA, SMARTIO13_2"</formula1>
    </dataValidation>
    <dataValidation type="list" allowBlank="1" showInputMessage="1" showErrorMessage="1" sqref="W54" xr:uid="{5D90DC0B-6046-494F-A89E-0EA4F034081A}">
      <formula1>"NA, SMARTIO13_3"</formula1>
    </dataValidation>
    <dataValidation type="list" allowBlank="1" showInputMessage="1" showErrorMessage="1" sqref="W55" xr:uid="{97E5C0D1-6702-46AE-9565-353469EB9B4F}">
      <formula1>"NA, SMARTIO13_4"</formula1>
    </dataValidation>
    <dataValidation type="list" allowBlank="1" showInputMessage="1" showErrorMessage="1" sqref="W56" xr:uid="{863F1403-834D-45D3-A51B-9CBB2696C2B4}">
      <formula1>"NA, SMARTIO13_5"</formula1>
    </dataValidation>
    <dataValidation type="list" allowBlank="1" showInputMessage="1" showErrorMessage="1" sqref="W57" xr:uid="{143317E6-F19F-486A-A883-B7B9BB1BFE5C}">
      <formula1>"NA, SMARTIO13_6"</formula1>
    </dataValidation>
    <dataValidation type="list" allowBlank="1" showInputMessage="1" showErrorMessage="1" sqref="W58" xr:uid="{9B403A29-5F0C-4F11-94F1-8CC76B3A0A84}">
      <formula1>"NA, SMARTIO13_7"</formula1>
    </dataValidation>
    <dataValidation type="list" allowBlank="1" showInputMessage="1" showErrorMessage="1" sqref="W45" xr:uid="{81855F1D-2187-45CD-9E97-B00DDA9D0C99}">
      <formula1>"NA, SMARTIO12_0"</formula1>
    </dataValidation>
    <dataValidation type="list" allowBlank="1" showInputMessage="1" showErrorMessage="1" sqref="W46" xr:uid="{4B849F2E-C7B7-4C77-B46B-13AA55E8E205}">
      <formula1>"NA, SMARTIO12_1"</formula1>
    </dataValidation>
    <dataValidation type="list" allowBlank="1" showInputMessage="1" showErrorMessage="1" sqref="W47" xr:uid="{336082EA-538A-4A48-BBD5-457E0C5A260A}">
      <formula1>"NA, SMARTIO12_2"</formula1>
    </dataValidation>
    <dataValidation type="list" allowBlank="1" showInputMessage="1" showErrorMessage="1" sqref="W48" xr:uid="{E87262BA-2F08-41E4-B43C-A74059E7EB26}">
      <formula1>"NA, SMARTIO12_3"</formula1>
    </dataValidation>
  </dataValidations>
  <pageMargins left="0.7" right="0.7" top="0.75" bottom="0.75" header="0.3" footer="0.3"/>
  <pageSetup paperSize="9" orientation="portrait" r:id="rId1"/>
  <ignoredErrors>
    <ignoredError sqref="X11:X89" unlockedFormula="1"/>
  </ignoredErrors>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698A2-9087-46D4-9F09-893108CC03EF}">
  <dimension ref="A1:BQ133"/>
  <sheetViews>
    <sheetView zoomScale="93" zoomScaleNormal="93" workbookViewId="0">
      <selection activeCell="P12" sqref="P12"/>
    </sheetView>
  </sheetViews>
  <sheetFormatPr defaultRowHeight="10" x14ac:dyDescent="0.55000000000000004"/>
  <cols>
    <col min="1" max="1" width="8.6640625" style="35"/>
    <col min="2" max="2" width="14.1640625" style="35" bestFit="1" customWidth="1"/>
    <col min="3" max="3" width="12.08203125" style="35" bestFit="1" customWidth="1"/>
    <col min="4" max="66" width="6.1640625" style="35" customWidth="1"/>
    <col min="67" max="69" width="8.58203125" style="35" customWidth="1"/>
    <col min="70" max="291" width="8.6640625" style="35"/>
    <col min="292" max="292" width="14.33203125" style="35" customWidth="1"/>
    <col min="293" max="294" width="3.33203125" style="35" customWidth="1"/>
    <col min="295" max="319" width="2.4140625" style="35" customWidth="1"/>
    <col min="320" max="321" width="3.33203125" style="35" customWidth="1"/>
    <col min="322" max="322" width="14.33203125" style="35" customWidth="1"/>
    <col min="323" max="547" width="8.6640625" style="35"/>
    <col min="548" max="548" width="14.33203125" style="35" customWidth="1"/>
    <col min="549" max="550" width="3.33203125" style="35" customWidth="1"/>
    <col min="551" max="575" width="2.4140625" style="35" customWidth="1"/>
    <col min="576" max="577" width="3.33203125" style="35" customWidth="1"/>
    <col min="578" max="578" width="14.33203125" style="35" customWidth="1"/>
    <col min="579" max="803" width="8.6640625" style="35"/>
    <col min="804" max="804" width="14.33203125" style="35" customWidth="1"/>
    <col min="805" max="806" width="3.33203125" style="35" customWidth="1"/>
    <col min="807" max="831" width="2.4140625" style="35" customWidth="1"/>
    <col min="832" max="833" width="3.33203125" style="35" customWidth="1"/>
    <col min="834" max="834" width="14.33203125" style="35" customWidth="1"/>
    <col min="835" max="1059" width="8.6640625" style="35"/>
    <col min="1060" max="1060" width="14.33203125" style="35" customWidth="1"/>
    <col min="1061" max="1062" width="3.33203125" style="35" customWidth="1"/>
    <col min="1063" max="1087" width="2.4140625" style="35" customWidth="1"/>
    <col min="1088" max="1089" width="3.33203125" style="35" customWidth="1"/>
    <col min="1090" max="1090" width="14.33203125" style="35" customWidth="1"/>
    <col min="1091" max="1315" width="8.6640625" style="35"/>
    <col min="1316" max="1316" width="14.33203125" style="35" customWidth="1"/>
    <col min="1317" max="1318" width="3.33203125" style="35" customWidth="1"/>
    <col min="1319" max="1343" width="2.4140625" style="35" customWidth="1"/>
    <col min="1344" max="1345" width="3.33203125" style="35" customWidth="1"/>
    <col min="1346" max="1346" width="14.33203125" style="35" customWidth="1"/>
    <col min="1347" max="1571" width="8.6640625" style="35"/>
    <col min="1572" max="1572" width="14.33203125" style="35" customWidth="1"/>
    <col min="1573" max="1574" width="3.33203125" style="35" customWidth="1"/>
    <col min="1575" max="1599" width="2.4140625" style="35" customWidth="1"/>
    <col min="1600" max="1601" width="3.33203125" style="35" customWidth="1"/>
    <col min="1602" max="1602" width="14.33203125" style="35" customWidth="1"/>
    <col min="1603" max="1827" width="8.6640625" style="35"/>
    <col min="1828" max="1828" width="14.33203125" style="35" customWidth="1"/>
    <col min="1829" max="1830" width="3.33203125" style="35" customWidth="1"/>
    <col min="1831" max="1855" width="2.4140625" style="35" customWidth="1"/>
    <col min="1856" max="1857" width="3.33203125" style="35" customWidth="1"/>
    <col min="1858" max="1858" width="14.33203125" style="35" customWidth="1"/>
    <col min="1859" max="2083" width="8.6640625" style="35"/>
    <col min="2084" max="2084" width="14.33203125" style="35" customWidth="1"/>
    <col min="2085" max="2086" width="3.33203125" style="35" customWidth="1"/>
    <col min="2087" max="2111" width="2.4140625" style="35" customWidth="1"/>
    <col min="2112" max="2113" width="3.33203125" style="35" customWidth="1"/>
    <col min="2114" max="2114" width="14.33203125" style="35" customWidth="1"/>
    <col min="2115" max="2339" width="8.6640625" style="35"/>
    <col min="2340" max="2340" width="14.33203125" style="35" customWidth="1"/>
    <col min="2341" max="2342" width="3.33203125" style="35" customWidth="1"/>
    <col min="2343" max="2367" width="2.4140625" style="35" customWidth="1"/>
    <col min="2368" max="2369" width="3.33203125" style="35" customWidth="1"/>
    <col min="2370" max="2370" width="14.33203125" style="35" customWidth="1"/>
    <col min="2371" max="2595" width="8.6640625" style="35"/>
    <col min="2596" max="2596" width="14.33203125" style="35" customWidth="1"/>
    <col min="2597" max="2598" width="3.33203125" style="35" customWidth="1"/>
    <col min="2599" max="2623" width="2.4140625" style="35" customWidth="1"/>
    <col min="2624" max="2625" width="3.33203125" style="35" customWidth="1"/>
    <col min="2626" max="2626" width="14.33203125" style="35" customWidth="1"/>
    <col min="2627" max="2851" width="8.6640625" style="35"/>
    <col min="2852" max="2852" width="14.33203125" style="35" customWidth="1"/>
    <col min="2853" max="2854" width="3.33203125" style="35" customWidth="1"/>
    <col min="2855" max="2879" width="2.4140625" style="35" customWidth="1"/>
    <col min="2880" max="2881" width="3.33203125" style="35" customWidth="1"/>
    <col min="2882" max="2882" width="14.33203125" style="35" customWidth="1"/>
    <col min="2883" max="3107" width="8.6640625" style="35"/>
    <col min="3108" max="3108" width="14.33203125" style="35" customWidth="1"/>
    <col min="3109" max="3110" width="3.33203125" style="35" customWidth="1"/>
    <col min="3111" max="3135" width="2.4140625" style="35" customWidth="1"/>
    <col min="3136" max="3137" width="3.33203125" style="35" customWidth="1"/>
    <col min="3138" max="3138" width="14.33203125" style="35" customWidth="1"/>
    <col min="3139" max="3363" width="8.6640625" style="35"/>
    <col min="3364" max="3364" width="14.33203125" style="35" customWidth="1"/>
    <col min="3365" max="3366" width="3.33203125" style="35" customWidth="1"/>
    <col min="3367" max="3391" width="2.4140625" style="35" customWidth="1"/>
    <col min="3392" max="3393" width="3.33203125" style="35" customWidth="1"/>
    <col min="3394" max="3394" width="14.33203125" style="35" customWidth="1"/>
    <col min="3395" max="3619" width="8.6640625" style="35"/>
    <col min="3620" max="3620" width="14.33203125" style="35" customWidth="1"/>
    <col min="3621" max="3622" width="3.33203125" style="35" customWidth="1"/>
    <col min="3623" max="3647" width="2.4140625" style="35" customWidth="1"/>
    <col min="3648" max="3649" width="3.33203125" style="35" customWidth="1"/>
    <col min="3650" max="3650" width="14.33203125" style="35" customWidth="1"/>
    <col min="3651" max="3875" width="8.6640625" style="35"/>
    <col min="3876" max="3876" width="14.33203125" style="35" customWidth="1"/>
    <col min="3877" max="3878" width="3.33203125" style="35" customWidth="1"/>
    <col min="3879" max="3903" width="2.4140625" style="35" customWidth="1"/>
    <col min="3904" max="3905" width="3.33203125" style="35" customWidth="1"/>
    <col min="3906" max="3906" width="14.33203125" style="35" customWidth="1"/>
    <col min="3907" max="4131" width="8.6640625" style="35"/>
    <col min="4132" max="4132" width="14.33203125" style="35" customWidth="1"/>
    <col min="4133" max="4134" width="3.33203125" style="35" customWidth="1"/>
    <col min="4135" max="4159" width="2.4140625" style="35" customWidth="1"/>
    <col min="4160" max="4161" width="3.33203125" style="35" customWidth="1"/>
    <col min="4162" max="4162" width="14.33203125" style="35" customWidth="1"/>
    <col min="4163" max="4387" width="8.6640625" style="35"/>
    <col min="4388" max="4388" width="14.33203125" style="35" customWidth="1"/>
    <col min="4389" max="4390" width="3.33203125" style="35" customWidth="1"/>
    <col min="4391" max="4415" width="2.4140625" style="35" customWidth="1"/>
    <col min="4416" max="4417" width="3.33203125" style="35" customWidth="1"/>
    <col min="4418" max="4418" width="14.33203125" style="35" customWidth="1"/>
    <col min="4419" max="4643" width="8.6640625" style="35"/>
    <col min="4644" max="4644" width="14.33203125" style="35" customWidth="1"/>
    <col min="4645" max="4646" width="3.33203125" style="35" customWidth="1"/>
    <col min="4647" max="4671" width="2.4140625" style="35" customWidth="1"/>
    <col min="4672" max="4673" width="3.33203125" style="35" customWidth="1"/>
    <col min="4674" max="4674" width="14.33203125" style="35" customWidth="1"/>
    <col min="4675" max="4899" width="8.6640625" style="35"/>
    <col min="4900" max="4900" width="14.33203125" style="35" customWidth="1"/>
    <col min="4901" max="4902" width="3.33203125" style="35" customWidth="1"/>
    <col min="4903" max="4927" width="2.4140625" style="35" customWidth="1"/>
    <col min="4928" max="4929" width="3.33203125" style="35" customWidth="1"/>
    <col min="4930" max="4930" width="14.33203125" style="35" customWidth="1"/>
    <col min="4931" max="5155" width="8.6640625" style="35"/>
    <col min="5156" max="5156" width="14.33203125" style="35" customWidth="1"/>
    <col min="5157" max="5158" width="3.33203125" style="35" customWidth="1"/>
    <col min="5159" max="5183" width="2.4140625" style="35" customWidth="1"/>
    <col min="5184" max="5185" width="3.33203125" style="35" customWidth="1"/>
    <col min="5186" max="5186" width="14.33203125" style="35" customWidth="1"/>
    <col min="5187" max="5411" width="8.6640625" style="35"/>
    <col min="5412" max="5412" width="14.33203125" style="35" customWidth="1"/>
    <col min="5413" max="5414" width="3.33203125" style="35" customWidth="1"/>
    <col min="5415" max="5439" width="2.4140625" style="35" customWidth="1"/>
    <col min="5440" max="5441" width="3.33203125" style="35" customWidth="1"/>
    <col min="5442" max="5442" width="14.33203125" style="35" customWidth="1"/>
    <col min="5443" max="5667" width="8.6640625" style="35"/>
    <col min="5668" max="5668" width="14.33203125" style="35" customWidth="1"/>
    <col min="5669" max="5670" width="3.33203125" style="35" customWidth="1"/>
    <col min="5671" max="5695" width="2.4140625" style="35" customWidth="1"/>
    <col min="5696" max="5697" width="3.33203125" style="35" customWidth="1"/>
    <col min="5698" max="5698" width="14.33203125" style="35" customWidth="1"/>
    <col min="5699" max="5923" width="8.6640625" style="35"/>
    <col min="5924" max="5924" width="14.33203125" style="35" customWidth="1"/>
    <col min="5925" max="5926" width="3.33203125" style="35" customWidth="1"/>
    <col min="5927" max="5951" width="2.4140625" style="35" customWidth="1"/>
    <col min="5952" max="5953" width="3.33203125" style="35" customWidth="1"/>
    <col min="5954" max="5954" width="14.33203125" style="35" customWidth="1"/>
    <col min="5955" max="6179" width="8.6640625" style="35"/>
    <col min="6180" max="6180" width="14.33203125" style="35" customWidth="1"/>
    <col min="6181" max="6182" width="3.33203125" style="35" customWidth="1"/>
    <col min="6183" max="6207" width="2.4140625" style="35" customWidth="1"/>
    <col min="6208" max="6209" width="3.33203125" style="35" customWidth="1"/>
    <col min="6210" max="6210" width="14.33203125" style="35" customWidth="1"/>
    <col min="6211" max="6435" width="8.6640625" style="35"/>
    <col min="6436" max="6436" width="14.33203125" style="35" customWidth="1"/>
    <col min="6437" max="6438" width="3.33203125" style="35" customWidth="1"/>
    <col min="6439" max="6463" width="2.4140625" style="35" customWidth="1"/>
    <col min="6464" max="6465" width="3.33203125" style="35" customWidth="1"/>
    <col min="6466" max="6466" width="14.33203125" style="35" customWidth="1"/>
    <col min="6467" max="6691" width="8.6640625" style="35"/>
    <col min="6692" max="6692" width="14.33203125" style="35" customWidth="1"/>
    <col min="6693" max="6694" width="3.33203125" style="35" customWidth="1"/>
    <col min="6695" max="6719" width="2.4140625" style="35" customWidth="1"/>
    <col min="6720" max="6721" width="3.33203125" style="35" customWidth="1"/>
    <col min="6722" max="6722" width="14.33203125" style="35" customWidth="1"/>
    <col min="6723" max="6947" width="8.6640625" style="35"/>
    <col min="6948" max="6948" width="14.33203125" style="35" customWidth="1"/>
    <col min="6949" max="6950" width="3.33203125" style="35" customWidth="1"/>
    <col min="6951" max="6975" width="2.4140625" style="35" customWidth="1"/>
    <col min="6976" max="6977" width="3.33203125" style="35" customWidth="1"/>
    <col min="6978" max="6978" width="14.33203125" style="35" customWidth="1"/>
    <col min="6979" max="7203" width="8.6640625" style="35"/>
    <col min="7204" max="7204" width="14.33203125" style="35" customWidth="1"/>
    <col min="7205" max="7206" width="3.33203125" style="35" customWidth="1"/>
    <col min="7207" max="7231" width="2.4140625" style="35" customWidth="1"/>
    <col min="7232" max="7233" width="3.33203125" style="35" customWidth="1"/>
    <col min="7234" max="7234" width="14.33203125" style="35" customWidth="1"/>
    <col min="7235" max="7459" width="8.6640625" style="35"/>
    <col min="7460" max="7460" width="14.33203125" style="35" customWidth="1"/>
    <col min="7461" max="7462" width="3.33203125" style="35" customWidth="1"/>
    <col min="7463" max="7487" width="2.4140625" style="35" customWidth="1"/>
    <col min="7488" max="7489" width="3.33203125" style="35" customWidth="1"/>
    <col min="7490" max="7490" width="14.33203125" style="35" customWidth="1"/>
    <col min="7491" max="7715" width="8.6640625" style="35"/>
    <col min="7716" max="7716" width="14.33203125" style="35" customWidth="1"/>
    <col min="7717" max="7718" width="3.33203125" style="35" customWidth="1"/>
    <col min="7719" max="7743" width="2.4140625" style="35" customWidth="1"/>
    <col min="7744" max="7745" width="3.33203125" style="35" customWidth="1"/>
    <col min="7746" max="7746" width="14.33203125" style="35" customWidth="1"/>
    <col min="7747" max="7971" width="8.6640625" style="35"/>
    <col min="7972" max="7972" width="14.33203125" style="35" customWidth="1"/>
    <col min="7973" max="7974" width="3.33203125" style="35" customWidth="1"/>
    <col min="7975" max="7999" width="2.4140625" style="35" customWidth="1"/>
    <col min="8000" max="8001" width="3.33203125" style="35" customWidth="1"/>
    <col min="8002" max="8002" width="14.33203125" style="35" customWidth="1"/>
    <col min="8003" max="8227" width="8.6640625" style="35"/>
    <col min="8228" max="8228" width="14.33203125" style="35" customWidth="1"/>
    <col min="8229" max="8230" width="3.33203125" style="35" customWidth="1"/>
    <col min="8231" max="8255" width="2.4140625" style="35" customWidth="1"/>
    <col min="8256" max="8257" width="3.33203125" style="35" customWidth="1"/>
    <col min="8258" max="8258" width="14.33203125" style="35" customWidth="1"/>
    <col min="8259" max="8483" width="8.6640625" style="35"/>
    <col min="8484" max="8484" width="14.33203125" style="35" customWidth="1"/>
    <col min="8485" max="8486" width="3.33203125" style="35" customWidth="1"/>
    <col min="8487" max="8511" width="2.4140625" style="35" customWidth="1"/>
    <col min="8512" max="8513" width="3.33203125" style="35" customWidth="1"/>
    <col min="8514" max="8514" width="14.33203125" style="35" customWidth="1"/>
    <col min="8515" max="8739" width="8.6640625" style="35"/>
    <col min="8740" max="8740" width="14.33203125" style="35" customWidth="1"/>
    <col min="8741" max="8742" width="3.33203125" style="35" customWidth="1"/>
    <col min="8743" max="8767" width="2.4140625" style="35" customWidth="1"/>
    <col min="8768" max="8769" width="3.33203125" style="35" customWidth="1"/>
    <col min="8770" max="8770" width="14.33203125" style="35" customWidth="1"/>
    <col min="8771" max="8995" width="8.6640625" style="35"/>
    <col min="8996" max="8996" width="14.33203125" style="35" customWidth="1"/>
    <col min="8997" max="8998" width="3.33203125" style="35" customWidth="1"/>
    <col min="8999" max="9023" width="2.4140625" style="35" customWidth="1"/>
    <col min="9024" max="9025" width="3.33203125" style="35" customWidth="1"/>
    <col min="9026" max="9026" width="14.33203125" style="35" customWidth="1"/>
    <col min="9027" max="9251" width="8.6640625" style="35"/>
    <col min="9252" max="9252" width="14.33203125" style="35" customWidth="1"/>
    <col min="9253" max="9254" width="3.33203125" style="35" customWidth="1"/>
    <col min="9255" max="9279" width="2.4140625" style="35" customWidth="1"/>
    <col min="9280" max="9281" width="3.33203125" style="35" customWidth="1"/>
    <col min="9282" max="9282" width="14.33203125" style="35" customWidth="1"/>
    <col min="9283" max="9507" width="8.6640625" style="35"/>
    <col min="9508" max="9508" width="14.33203125" style="35" customWidth="1"/>
    <col min="9509" max="9510" width="3.33203125" style="35" customWidth="1"/>
    <col min="9511" max="9535" width="2.4140625" style="35" customWidth="1"/>
    <col min="9536" max="9537" width="3.33203125" style="35" customWidth="1"/>
    <col min="9538" max="9538" width="14.33203125" style="35" customWidth="1"/>
    <col min="9539" max="9763" width="8.6640625" style="35"/>
    <col min="9764" max="9764" width="14.33203125" style="35" customWidth="1"/>
    <col min="9765" max="9766" width="3.33203125" style="35" customWidth="1"/>
    <col min="9767" max="9791" width="2.4140625" style="35" customWidth="1"/>
    <col min="9792" max="9793" width="3.33203125" style="35" customWidth="1"/>
    <col min="9794" max="9794" width="14.33203125" style="35" customWidth="1"/>
    <col min="9795" max="10019" width="8.6640625" style="35"/>
    <col min="10020" max="10020" width="14.33203125" style="35" customWidth="1"/>
    <col min="10021" max="10022" width="3.33203125" style="35" customWidth="1"/>
    <col min="10023" max="10047" width="2.4140625" style="35" customWidth="1"/>
    <col min="10048" max="10049" width="3.33203125" style="35" customWidth="1"/>
    <col min="10050" max="10050" width="14.33203125" style="35" customWidth="1"/>
    <col min="10051" max="10275" width="8.6640625" style="35"/>
    <col min="10276" max="10276" width="14.33203125" style="35" customWidth="1"/>
    <col min="10277" max="10278" width="3.33203125" style="35" customWidth="1"/>
    <col min="10279" max="10303" width="2.4140625" style="35" customWidth="1"/>
    <col min="10304" max="10305" width="3.33203125" style="35" customWidth="1"/>
    <col min="10306" max="10306" width="14.33203125" style="35" customWidth="1"/>
    <col min="10307" max="10531" width="8.6640625" style="35"/>
    <col min="10532" max="10532" width="14.33203125" style="35" customWidth="1"/>
    <col min="10533" max="10534" width="3.33203125" style="35" customWidth="1"/>
    <col min="10535" max="10559" width="2.4140625" style="35" customWidth="1"/>
    <col min="10560" max="10561" width="3.33203125" style="35" customWidth="1"/>
    <col min="10562" max="10562" width="14.33203125" style="35" customWidth="1"/>
    <col min="10563" max="10787" width="8.6640625" style="35"/>
    <col min="10788" max="10788" width="14.33203125" style="35" customWidth="1"/>
    <col min="10789" max="10790" width="3.33203125" style="35" customWidth="1"/>
    <col min="10791" max="10815" width="2.4140625" style="35" customWidth="1"/>
    <col min="10816" max="10817" width="3.33203125" style="35" customWidth="1"/>
    <col min="10818" max="10818" width="14.33203125" style="35" customWidth="1"/>
    <col min="10819" max="11043" width="8.6640625" style="35"/>
    <col min="11044" max="11044" width="14.33203125" style="35" customWidth="1"/>
    <col min="11045" max="11046" width="3.33203125" style="35" customWidth="1"/>
    <col min="11047" max="11071" width="2.4140625" style="35" customWidth="1"/>
    <col min="11072" max="11073" width="3.33203125" style="35" customWidth="1"/>
    <col min="11074" max="11074" width="14.33203125" style="35" customWidth="1"/>
    <col min="11075" max="11299" width="8.6640625" style="35"/>
    <col min="11300" max="11300" width="14.33203125" style="35" customWidth="1"/>
    <col min="11301" max="11302" width="3.33203125" style="35" customWidth="1"/>
    <col min="11303" max="11327" width="2.4140625" style="35" customWidth="1"/>
    <col min="11328" max="11329" width="3.33203125" style="35" customWidth="1"/>
    <col min="11330" max="11330" width="14.33203125" style="35" customWidth="1"/>
    <col min="11331" max="11555" width="8.6640625" style="35"/>
    <col min="11556" max="11556" width="14.33203125" style="35" customWidth="1"/>
    <col min="11557" max="11558" width="3.33203125" style="35" customWidth="1"/>
    <col min="11559" max="11583" width="2.4140625" style="35" customWidth="1"/>
    <col min="11584" max="11585" width="3.33203125" style="35" customWidth="1"/>
    <col min="11586" max="11586" width="14.33203125" style="35" customWidth="1"/>
    <col min="11587" max="11811" width="8.6640625" style="35"/>
    <col min="11812" max="11812" width="14.33203125" style="35" customWidth="1"/>
    <col min="11813" max="11814" width="3.33203125" style="35" customWidth="1"/>
    <col min="11815" max="11839" width="2.4140625" style="35" customWidth="1"/>
    <col min="11840" max="11841" width="3.33203125" style="35" customWidth="1"/>
    <col min="11842" max="11842" width="14.33203125" style="35" customWidth="1"/>
    <col min="11843" max="12067" width="8.6640625" style="35"/>
    <col min="12068" max="12068" width="14.33203125" style="35" customWidth="1"/>
    <col min="12069" max="12070" width="3.33203125" style="35" customWidth="1"/>
    <col min="12071" max="12095" width="2.4140625" style="35" customWidth="1"/>
    <col min="12096" max="12097" width="3.33203125" style="35" customWidth="1"/>
    <col min="12098" max="12098" width="14.33203125" style="35" customWidth="1"/>
    <col min="12099" max="12323" width="8.6640625" style="35"/>
    <col min="12324" max="12324" width="14.33203125" style="35" customWidth="1"/>
    <col min="12325" max="12326" width="3.33203125" style="35" customWidth="1"/>
    <col min="12327" max="12351" width="2.4140625" style="35" customWidth="1"/>
    <col min="12352" max="12353" width="3.33203125" style="35" customWidth="1"/>
    <col min="12354" max="12354" width="14.33203125" style="35" customWidth="1"/>
    <col min="12355" max="12579" width="8.6640625" style="35"/>
    <col min="12580" max="12580" width="14.33203125" style="35" customWidth="1"/>
    <col min="12581" max="12582" width="3.33203125" style="35" customWidth="1"/>
    <col min="12583" max="12607" width="2.4140625" style="35" customWidth="1"/>
    <col min="12608" max="12609" width="3.33203125" style="35" customWidth="1"/>
    <col min="12610" max="12610" width="14.33203125" style="35" customWidth="1"/>
    <col min="12611" max="12835" width="8.6640625" style="35"/>
    <col min="12836" max="12836" width="14.33203125" style="35" customWidth="1"/>
    <col min="12837" max="12838" width="3.33203125" style="35" customWidth="1"/>
    <col min="12839" max="12863" width="2.4140625" style="35" customWidth="1"/>
    <col min="12864" max="12865" width="3.33203125" style="35" customWidth="1"/>
    <col min="12866" max="12866" width="14.33203125" style="35" customWidth="1"/>
    <col min="12867" max="13091" width="8.6640625" style="35"/>
    <col min="13092" max="13092" width="14.33203125" style="35" customWidth="1"/>
    <col min="13093" max="13094" width="3.33203125" style="35" customWidth="1"/>
    <col min="13095" max="13119" width="2.4140625" style="35" customWidth="1"/>
    <col min="13120" max="13121" width="3.33203125" style="35" customWidth="1"/>
    <col min="13122" max="13122" width="14.33203125" style="35" customWidth="1"/>
    <col min="13123" max="13347" width="8.6640625" style="35"/>
    <col min="13348" max="13348" width="14.33203125" style="35" customWidth="1"/>
    <col min="13349" max="13350" width="3.33203125" style="35" customWidth="1"/>
    <col min="13351" max="13375" width="2.4140625" style="35" customWidth="1"/>
    <col min="13376" max="13377" width="3.33203125" style="35" customWidth="1"/>
    <col min="13378" max="13378" width="14.33203125" style="35" customWidth="1"/>
    <col min="13379" max="13603" width="8.6640625" style="35"/>
    <col min="13604" max="13604" width="14.33203125" style="35" customWidth="1"/>
    <col min="13605" max="13606" width="3.33203125" style="35" customWidth="1"/>
    <col min="13607" max="13631" width="2.4140625" style="35" customWidth="1"/>
    <col min="13632" max="13633" width="3.33203125" style="35" customWidth="1"/>
    <col min="13634" max="13634" width="14.33203125" style="35" customWidth="1"/>
    <col min="13635" max="13859" width="8.6640625" style="35"/>
    <col min="13860" max="13860" width="14.33203125" style="35" customWidth="1"/>
    <col min="13861" max="13862" width="3.33203125" style="35" customWidth="1"/>
    <col min="13863" max="13887" width="2.4140625" style="35" customWidth="1"/>
    <col min="13888" max="13889" width="3.33203125" style="35" customWidth="1"/>
    <col min="13890" max="13890" width="14.33203125" style="35" customWidth="1"/>
    <col min="13891" max="14115" width="8.6640625" style="35"/>
    <col min="14116" max="14116" width="14.33203125" style="35" customWidth="1"/>
    <col min="14117" max="14118" width="3.33203125" style="35" customWidth="1"/>
    <col min="14119" max="14143" width="2.4140625" style="35" customWidth="1"/>
    <col min="14144" max="14145" width="3.33203125" style="35" customWidth="1"/>
    <col min="14146" max="14146" width="14.33203125" style="35" customWidth="1"/>
    <col min="14147" max="14371" width="8.6640625" style="35"/>
    <col min="14372" max="14372" width="14.33203125" style="35" customWidth="1"/>
    <col min="14373" max="14374" width="3.33203125" style="35" customWidth="1"/>
    <col min="14375" max="14399" width="2.4140625" style="35" customWidth="1"/>
    <col min="14400" max="14401" width="3.33203125" style="35" customWidth="1"/>
    <col min="14402" max="14402" width="14.33203125" style="35" customWidth="1"/>
    <col min="14403" max="14627" width="8.6640625" style="35"/>
    <col min="14628" max="14628" width="14.33203125" style="35" customWidth="1"/>
    <col min="14629" max="14630" width="3.33203125" style="35" customWidth="1"/>
    <col min="14631" max="14655" width="2.4140625" style="35" customWidth="1"/>
    <col min="14656" max="14657" width="3.33203125" style="35" customWidth="1"/>
    <col min="14658" max="14658" width="14.33203125" style="35" customWidth="1"/>
    <col min="14659" max="14883" width="8.6640625" style="35"/>
    <col min="14884" max="14884" width="14.33203125" style="35" customWidth="1"/>
    <col min="14885" max="14886" width="3.33203125" style="35" customWidth="1"/>
    <col min="14887" max="14911" width="2.4140625" style="35" customWidth="1"/>
    <col min="14912" max="14913" width="3.33203125" style="35" customWidth="1"/>
    <col min="14914" max="14914" width="14.33203125" style="35" customWidth="1"/>
    <col min="14915" max="15139" width="8.6640625" style="35"/>
    <col min="15140" max="15140" width="14.33203125" style="35" customWidth="1"/>
    <col min="15141" max="15142" width="3.33203125" style="35" customWidth="1"/>
    <col min="15143" max="15167" width="2.4140625" style="35" customWidth="1"/>
    <col min="15168" max="15169" width="3.33203125" style="35" customWidth="1"/>
    <col min="15170" max="15170" width="14.33203125" style="35" customWidth="1"/>
    <col min="15171" max="15395" width="8.6640625" style="35"/>
    <col min="15396" max="15396" width="14.33203125" style="35" customWidth="1"/>
    <col min="15397" max="15398" width="3.33203125" style="35" customWidth="1"/>
    <col min="15399" max="15423" width="2.4140625" style="35" customWidth="1"/>
    <col min="15424" max="15425" width="3.33203125" style="35" customWidth="1"/>
    <col min="15426" max="15426" width="14.33203125" style="35" customWidth="1"/>
    <col min="15427" max="15651" width="8.6640625" style="35"/>
    <col min="15652" max="15652" width="14.33203125" style="35" customWidth="1"/>
    <col min="15653" max="15654" width="3.33203125" style="35" customWidth="1"/>
    <col min="15655" max="15679" width="2.4140625" style="35" customWidth="1"/>
    <col min="15680" max="15681" width="3.33203125" style="35" customWidth="1"/>
    <col min="15682" max="15682" width="14.33203125" style="35" customWidth="1"/>
    <col min="15683" max="15907" width="8.6640625" style="35"/>
    <col min="15908" max="15908" width="14.33203125" style="35" customWidth="1"/>
    <col min="15909" max="15910" width="3.33203125" style="35" customWidth="1"/>
    <col min="15911" max="15935" width="2.4140625" style="35" customWidth="1"/>
    <col min="15936" max="15937" width="3.33203125" style="35" customWidth="1"/>
    <col min="15938" max="15938" width="14.33203125" style="35" customWidth="1"/>
    <col min="15939" max="16163" width="8.6640625" style="35"/>
    <col min="16164" max="16164" width="14.33203125" style="35" customWidth="1"/>
    <col min="16165" max="16166" width="3.33203125" style="35" customWidth="1"/>
    <col min="16167" max="16191" width="2.4140625" style="35" customWidth="1"/>
    <col min="16192" max="16193" width="3.33203125" style="35" customWidth="1"/>
    <col min="16194" max="16194" width="14.33203125" style="35" customWidth="1"/>
    <col min="16195" max="16384" width="8.6640625" style="35"/>
  </cols>
  <sheetData>
    <row r="1" spans="1:69" ht="25" customHeight="1" x14ac:dyDescent="0.55000000000000004">
      <c r="A1" s="34" t="s">
        <v>563</v>
      </c>
      <c r="BO1" s="23"/>
      <c r="BP1" s="23"/>
      <c r="BQ1" s="23"/>
    </row>
    <row r="2" spans="1:69" ht="25" customHeight="1" x14ac:dyDescent="0.55000000000000004">
      <c r="A2" s="34"/>
      <c r="BO2" s="23"/>
      <c r="BP2" s="23"/>
      <c r="BQ2" s="23"/>
    </row>
    <row r="3" spans="1:69" ht="25" customHeight="1" x14ac:dyDescent="0.55000000000000004">
      <c r="A3" s="34"/>
      <c r="BO3" s="23"/>
      <c r="BP3" s="23"/>
      <c r="BQ3" s="23"/>
    </row>
    <row r="4" spans="1:69" ht="25" customHeight="1" x14ac:dyDescent="0.55000000000000004">
      <c r="A4" s="34"/>
      <c r="BO4" s="23"/>
      <c r="BP4" s="23"/>
      <c r="BQ4" s="23"/>
    </row>
    <row r="5" spans="1:69" ht="25" customHeight="1" x14ac:dyDescent="0.55000000000000004">
      <c r="A5" s="34"/>
      <c r="BN5" s="36"/>
      <c r="BO5" s="23"/>
      <c r="BP5" s="23"/>
      <c r="BQ5" s="24" t="s">
        <v>1185</v>
      </c>
    </row>
    <row r="7" spans="1:69" x14ac:dyDescent="0.55000000000000004">
      <c r="B7" s="128" t="s">
        <v>375</v>
      </c>
      <c r="C7" s="129"/>
      <c r="D7" s="37" t="s">
        <v>400</v>
      </c>
      <c r="E7" s="37" t="s">
        <v>399</v>
      </c>
      <c r="F7" s="37" t="s">
        <v>401</v>
      </c>
      <c r="G7" s="37" t="s">
        <v>1227</v>
      </c>
    </row>
    <row r="8" spans="1:69" x14ac:dyDescent="0.55000000000000004">
      <c r="B8" s="123" t="s">
        <v>398</v>
      </c>
      <c r="C8" s="38" t="s">
        <v>386</v>
      </c>
      <c r="D8" s="38">
        <f>COUNTIF('PF80'!V10:V89,"CAN0_0_RX")</f>
        <v>0</v>
      </c>
      <c r="E8" s="38">
        <f>COUNTIF('PF80'!V10:V89,"CAN0_1_RX")</f>
        <v>0</v>
      </c>
      <c r="F8" s="38">
        <f>COUNTIF('PF80'!V10:V89,"CAN0_2_RX")</f>
        <v>0</v>
      </c>
      <c r="G8" s="38">
        <f>COUNTIF('PF80'!V10:V89,"CAN0_3_RX")</f>
        <v>0</v>
      </c>
    </row>
    <row r="9" spans="1:69" x14ac:dyDescent="0.55000000000000004">
      <c r="B9" s="130"/>
      <c r="C9" s="38" t="s">
        <v>385</v>
      </c>
      <c r="D9" s="38">
        <f>COUNTIF('PF80'!V10:V89,"CAN0_0_TX")</f>
        <v>0</v>
      </c>
      <c r="E9" s="38">
        <f>COUNTIF('PF80'!V10:V89,"CAN0_1_TX")</f>
        <v>0</v>
      </c>
      <c r="F9" s="38">
        <f>COUNTIF('PF80'!V10:V89,"CAN0_2_TX")</f>
        <v>0</v>
      </c>
      <c r="G9" s="38">
        <f>COUNTIF('PF80'!V10:V89,"CAN0_3_TX")</f>
        <v>0</v>
      </c>
    </row>
    <row r="11" spans="1:69" x14ac:dyDescent="0.55000000000000004">
      <c r="B11" s="128" t="s">
        <v>371</v>
      </c>
      <c r="C11" s="129"/>
      <c r="D11" s="37" t="s">
        <v>402</v>
      </c>
      <c r="E11" s="37" t="s">
        <v>404</v>
      </c>
      <c r="F11" s="37" t="s">
        <v>403</v>
      </c>
      <c r="G11" s="37" t="s">
        <v>1228</v>
      </c>
    </row>
    <row r="12" spans="1:69" x14ac:dyDescent="0.55000000000000004">
      <c r="B12" s="135" t="s">
        <v>398</v>
      </c>
      <c r="C12" s="38" t="s">
        <v>386</v>
      </c>
      <c r="D12" s="38">
        <f>COUNTIF('PF80'!V10:V89,"CAN1_0_RX")</f>
        <v>0</v>
      </c>
      <c r="E12" s="38">
        <f>COUNTIF('PF80'!V10:V89,"CAN1_1_RX")</f>
        <v>0</v>
      </c>
      <c r="F12" s="38">
        <f>COUNTIF('PF80'!V10:V89,"CAN1_2_RX")</f>
        <v>0</v>
      </c>
      <c r="G12" s="38">
        <f>COUNTIF('PF80'!V10:V89,"CAN1_3_RX")</f>
        <v>0</v>
      </c>
    </row>
    <row r="13" spans="1:69" x14ac:dyDescent="0.55000000000000004">
      <c r="B13" s="135"/>
      <c r="C13" s="38" t="s">
        <v>385</v>
      </c>
      <c r="D13" s="38">
        <f>COUNTIF('PF80'!V10:V89,"CAN1_0_TX")</f>
        <v>0</v>
      </c>
      <c r="E13" s="38">
        <f>COUNTIF('PF80'!V10:V89,"CAN1_1_TX")</f>
        <v>0</v>
      </c>
      <c r="F13" s="38">
        <f>COUNTIF('PF80'!V10:V89,"CAN1_2_TX")</f>
        <v>0</v>
      </c>
      <c r="G13" s="38">
        <f>COUNTIF('PF80'!V10:V89,"CAN1_3_TX")</f>
        <v>0</v>
      </c>
    </row>
    <row r="14" spans="1:69" x14ac:dyDescent="0.55000000000000004">
      <c r="B14" s="39"/>
      <c r="C14" s="40"/>
      <c r="D14" s="40"/>
      <c r="E14" s="40"/>
      <c r="F14" s="40"/>
    </row>
    <row r="16" spans="1:69" x14ac:dyDescent="0.55000000000000004">
      <c r="B16" s="128" t="s">
        <v>374</v>
      </c>
      <c r="C16" s="129"/>
      <c r="D16" s="37" t="s">
        <v>387</v>
      </c>
      <c r="E16" s="37" t="s">
        <v>388</v>
      </c>
      <c r="F16" s="37" t="s">
        <v>389</v>
      </c>
      <c r="G16" s="37" t="s">
        <v>390</v>
      </c>
      <c r="H16" s="37" t="s">
        <v>391</v>
      </c>
      <c r="I16" s="37" t="s">
        <v>392</v>
      </c>
      <c r="J16" s="37" t="s">
        <v>393</v>
      </c>
      <c r="K16" s="37" t="s">
        <v>394</v>
      </c>
      <c r="L16" s="37" t="s">
        <v>1229</v>
      </c>
    </row>
    <row r="17" spans="2:59" x14ac:dyDescent="0.55000000000000004">
      <c r="B17" s="123" t="s">
        <v>398</v>
      </c>
      <c r="C17" s="38" t="s">
        <v>386</v>
      </c>
      <c r="D17" s="38">
        <f>COUNTIF('PF80'!V10:V89,"LIN0_RX")</f>
        <v>0</v>
      </c>
      <c r="E17" s="38">
        <f>COUNTIF('PF80'!V10:V89,"LIN1_RX")</f>
        <v>0</v>
      </c>
      <c r="F17" s="38">
        <f>COUNTIF('PF80'!V10:V89,"LIN2_RX")</f>
        <v>0</v>
      </c>
      <c r="G17" s="38">
        <f>COUNTIF('PF80'!V10:V89,"LIN3_RX")</f>
        <v>0</v>
      </c>
      <c r="H17" s="38">
        <f>COUNTIF('PF80'!V10:V89,"LIN4_RX")</f>
        <v>0</v>
      </c>
      <c r="I17" s="38">
        <f>COUNTIF('PF80'!V10:V89,"LIN5_RX")</f>
        <v>0</v>
      </c>
      <c r="J17" s="38">
        <f>COUNTIF('PF80'!V10:V89,"LIN6_RX")</f>
        <v>0</v>
      </c>
      <c r="K17" s="38">
        <f>COUNTIF('PF80'!V10:V89,"LIN7_RX")</f>
        <v>0</v>
      </c>
      <c r="L17" s="38">
        <f>COUNTIF('PF80'!V10:V89,"LIN8_RX")</f>
        <v>0</v>
      </c>
    </row>
    <row r="18" spans="2:59" x14ac:dyDescent="0.55000000000000004">
      <c r="B18" s="124"/>
      <c r="C18" s="38" t="s">
        <v>385</v>
      </c>
      <c r="D18" s="38">
        <f>COUNTIF('PF80'!V10:V89,"LIN0_TX")</f>
        <v>0</v>
      </c>
      <c r="E18" s="38">
        <f>COUNTIF('PF80'!V10:V89,"LIN1_TX")</f>
        <v>0</v>
      </c>
      <c r="F18" s="38">
        <f>COUNTIF('PF80'!V10:V89,"LIN2_TX")</f>
        <v>0</v>
      </c>
      <c r="G18" s="38">
        <f>COUNTIF('PF80'!V10:V89,"LIN3_TX")</f>
        <v>0</v>
      </c>
      <c r="H18" s="38">
        <f>COUNTIF('PF80'!V10:V89,"LIN4_TX")</f>
        <v>0</v>
      </c>
      <c r="I18" s="38">
        <f>COUNTIF('PF80'!V10:V89,"LIN5_TX")</f>
        <v>0</v>
      </c>
      <c r="J18" s="38">
        <f>COUNTIF('PF80'!V10:V89,"LIN6_TX")</f>
        <v>0</v>
      </c>
      <c r="K18" s="38">
        <f>COUNTIF('PF80'!V10:V89,"LIN7_TX")</f>
        <v>0</v>
      </c>
      <c r="L18" s="38">
        <f>COUNTIF('PF80'!V10:V89,"LIN8_TX")</f>
        <v>0</v>
      </c>
    </row>
    <row r="19" spans="2:59" x14ac:dyDescent="0.55000000000000004">
      <c r="B19" s="130"/>
      <c r="C19" s="38" t="s">
        <v>397</v>
      </c>
      <c r="D19" s="38">
        <f>COUNTIF('PF80'!V10:V89,"LIN0_EN")</f>
        <v>0</v>
      </c>
      <c r="E19" s="38">
        <f>COUNTIF('PF80'!V10:V89,"LIN1_EN")</f>
        <v>0</v>
      </c>
      <c r="F19" s="38">
        <f>COUNTIF('PF80'!V10:V89,"LIN2_EN")</f>
        <v>0</v>
      </c>
      <c r="G19" s="38">
        <f>COUNTIF('PF80'!V10:V89,"LIN3_EN")</f>
        <v>0</v>
      </c>
      <c r="H19" s="38">
        <f>COUNTIF('PF80'!V10:V89,"LIN4_EN")</f>
        <v>0</v>
      </c>
      <c r="I19" s="38">
        <f>COUNTIF('PF80'!V10:V89,"LIN5_EN")</f>
        <v>0</v>
      </c>
      <c r="J19" s="38">
        <f>COUNTIF('PF80'!V10:V89,"LIN6_EN")</f>
        <v>0</v>
      </c>
      <c r="K19" s="38">
        <f>COUNTIF('PF80'!V10:V89,"LIN7_EN")</f>
        <v>0</v>
      </c>
      <c r="L19" s="38">
        <f>COUNTIF('PF80'!V10:V89,"LIN8_EN")</f>
        <v>0</v>
      </c>
    </row>
    <row r="20" spans="2:59" x14ac:dyDescent="0.55000000000000004">
      <c r="B20" s="39"/>
      <c r="C20" s="40"/>
      <c r="D20" s="40"/>
      <c r="E20" s="40"/>
      <c r="F20" s="40"/>
      <c r="G20" s="40"/>
      <c r="H20" s="40"/>
      <c r="I20" s="40"/>
      <c r="J20" s="40"/>
      <c r="K20" s="40"/>
    </row>
    <row r="22" spans="2:59" x14ac:dyDescent="0.55000000000000004">
      <c r="B22" s="128" t="s">
        <v>376</v>
      </c>
      <c r="C22" s="129"/>
      <c r="D22" s="37" t="s">
        <v>377</v>
      </c>
      <c r="E22" s="37" t="s">
        <v>378</v>
      </c>
      <c r="F22" s="37" t="s">
        <v>379</v>
      </c>
      <c r="G22" s="37" t="s">
        <v>380</v>
      </c>
      <c r="H22" s="37" t="s">
        <v>384</v>
      </c>
      <c r="I22" s="37" t="s">
        <v>383</v>
      </c>
      <c r="J22" s="37" t="s">
        <v>382</v>
      </c>
      <c r="K22" s="37" t="s">
        <v>381</v>
      </c>
    </row>
    <row r="23" spans="2:59" ht="10" customHeight="1" x14ac:dyDescent="0.55000000000000004">
      <c r="B23" s="131" t="s">
        <v>415</v>
      </c>
      <c r="C23" s="41" t="s">
        <v>1139</v>
      </c>
      <c r="D23" s="42">
        <f>COUNTIF('PF80'!V10:V89,"SCB0_CLK (0)")</f>
        <v>0</v>
      </c>
      <c r="E23" s="43">
        <f>COUNTIF('PF80'!V10:V89,"SCB1_CLK (0)")</f>
        <v>0</v>
      </c>
      <c r="F23" s="43">
        <f>COUNTIF('PF80'!V10:V89,"SCB2_CLK (0)")</f>
        <v>0</v>
      </c>
      <c r="G23" s="43">
        <f>COUNTIF('PF80'!V10:V89,"SCB3_CLK (0)")</f>
        <v>0</v>
      </c>
      <c r="H23" s="43">
        <f>COUNTIF('PF80'!V10:V89,"SCB4_CLK (0)")</f>
        <v>0</v>
      </c>
      <c r="I23" s="43">
        <f>COUNTIF('PF80'!V10:V89,"SCB5_CLK (0)")</f>
        <v>0</v>
      </c>
      <c r="J23" s="43">
        <f>COUNTIF('PF80'!V10:V89,"SCB6_CLK (0)")</f>
        <v>0</v>
      </c>
      <c r="K23" s="43">
        <f>COUNTIF('PF80'!V10:V89,"SCB7_CLK (0)")</f>
        <v>0</v>
      </c>
      <c r="BG23" s="44"/>
    </row>
    <row r="24" spans="2:59" x14ac:dyDescent="0.55000000000000004">
      <c r="B24" s="132"/>
      <c r="C24" s="41" t="s">
        <v>1140</v>
      </c>
      <c r="D24" s="42">
        <f>COUNTIF('PF80'!V10:V89,"SCB0_CLK (1)")</f>
        <v>0</v>
      </c>
      <c r="E24" s="43">
        <f>COUNTIF('PF80'!V10:V89,"SCB1_CLK (1)")</f>
        <v>0</v>
      </c>
      <c r="F24" s="43">
        <f>COUNTIF('PF80'!V10:V89,"SCB2_CLK (1)")</f>
        <v>0</v>
      </c>
      <c r="G24" s="43">
        <f>COUNTIF('PF80'!V10:V89,"SCB3_CLK (1)")</f>
        <v>0</v>
      </c>
      <c r="H24" s="43">
        <f>COUNTIF('PF80'!V10:V89,"SCB4_CLK (1)")</f>
        <v>0</v>
      </c>
      <c r="I24" s="43">
        <f>COUNTIF('PF80'!V10:V89,"SCB5_CLK (1)")</f>
        <v>0</v>
      </c>
      <c r="J24" s="43">
        <f>COUNTIF('PF80'!V10:V89,"SCB6_CLK (1)")</f>
        <v>0</v>
      </c>
      <c r="K24" s="43">
        <f>COUNTIF('PF80'!V10:V89,"SCB7_CLK (1)")</f>
        <v>0</v>
      </c>
    </row>
    <row r="25" spans="2:59" x14ac:dyDescent="0.55000000000000004">
      <c r="B25" s="132"/>
      <c r="C25" s="41" t="s">
        <v>1141</v>
      </c>
      <c r="D25" s="42">
        <f>COUNTIF('PF80'!V10:V89,"SCB0_MOSI (0)")</f>
        <v>0</v>
      </c>
      <c r="E25" s="43">
        <f>COUNTIF('PF80'!V10:V89,"SCB1_MOSI (0)")</f>
        <v>0</v>
      </c>
      <c r="F25" s="43">
        <f>COUNTIF('PF80'!V10:V89,"SCB2_MOSI (0)")</f>
        <v>0</v>
      </c>
      <c r="G25" s="43">
        <f>COUNTIF('PF80'!V10:V89,"SCB3_MOSI (0)")</f>
        <v>0</v>
      </c>
      <c r="H25" s="43">
        <f>COUNTIF('PF80'!V10:V89,"SCB4_MOSI (0)")</f>
        <v>0</v>
      </c>
      <c r="I25" s="43">
        <f>COUNTIF('PF80'!V10:V89,"SCB5_MOSI (0)")</f>
        <v>0</v>
      </c>
      <c r="J25" s="43">
        <f>COUNTIF('PF80'!V10:V89,"SCB6_MOSI (0)")</f>
        <v>0</v>
      </c>
      <c r="K25" s="43">
        <f>COUNTIF('PF80'!V10:V89,"SCB7_MOSI (0)")</f>
        <v>0</v>
      </c>
    </row>
    <row r="26" spans="2:59" x14ac:dyDescent="0.55000000000000004">
      <c r="B26" s="132"/>
      <c r="C26" s="41" t="s">
        <v>1142</v>
      </c>
      <c r="D26" s="42">
        <f>COUNTIF('PF80'!V10:V89,"SCB0_MOSI (1)")</f>
        <v>0</v>
      </c>
      <c r="E26" s="43">
        <f>COUNTIF('PF80'!V10:V89,"SCB1_MOSI (1)")</f>
        <v>0</v>
      </c>
      <c r="F26" s="43">
        <f>COUNTIF('PF80'!V10:V89,"SCB2_MOSI (1)")</f>
        <v>0</v>
      </c>
      <c r="G26" s="43">
        <f>COUNTIF('PF80'!V10:V89,"SCB3_MOSI (1)")</f>
        <v>0</v>
      </c>
      <c r="H26" s="43">
        <f>COUNTIF('PF80'!V10:V89,"SCB4_MOSI (1)")</f>
        <v>0</v>
      </c>
      <c r="I26" s="43">
        <f>COUNTIF('PF80'!V10:V89,"SCB5_MOSI (1)")</f>
        <v>0</v>
      </c>
      <c r="J26" s="43">
        <f>COUNTIF('PF80'!V10:V89,"SCB6_MOSI (1)")</f>
        <v>0</v>
      </c>
      <c r="K26" s="43">
        <f>COUNTIF('PF80'!V10:V89,"SCB7_MOSI (1)")</f>
        <v>0</v>
      </c>
    </row>
    <row r="27" spans="2:59" x14ac:dyDescent="0.55000000000000004">
      <c r="B27" s="132"/>
      <c r="C27" s="41" t="s">
        <v>1143</v>
      </c>
      <c r="D27" s="42">
        <f>COUNTIF('PF80'!V10:V89,"SCB0_MISO (0)")</f>
        <v>0</v>
      </c>
      <c r="E27" s="43">
        <f>COUNTIF('PF80'!V10:V89,"SCB1_MISO (0)")</f>
        <v>0</v>
      </c>
      <c r="F27" s="43">
        <f>COUNTIF('PF80'!V10:V89,"SCB2_MISO (0)")</f>
        <v>0</v>
      </c>
      <c r="G27" s="43">
        <f>COUNTIF('PF80'!V10:V89,"SCB3_MISO (0)")</f>
        <v>0</v>
      </c>
      <c r="H27" s="43">
        <f>COUNTIF('PF80'!V10:V89,"SCB4_MISO (0)")</f>
        <v>0</v>
      </c>
      <c r="I27" s="43">
        <f>COUNTIF('PF80'!V10:V89,"SCB5_MISO (0)")</f>
        <v>0</v>
      </c>
      <c r="J27" s="43">
        <f>COUNTIF('PF80'!V10:V89,"SCB6_MISO (0)")</f>
        <v>0</v>
      </c>
      <c r="K27" s="43">
        <f>COUNTIF('PF80'!V10:V89,"SCB7_MISO (0)")</f>
        <v>0</v>
      </c>
    </row>
    <row r="28" spans="2:59" x14ac:dyDescent="0.55000000000000004">
      <c r="B28" s="132"/>
      <c r="C28" s="41" t="s">
        <v>1144</v>
      </c>
      <c r="D28" s="42">
        <f>COUNTIF('PF80'!V10:V89,"SCB0_MISO (1)")</f>
        <v>0</v>
      </c>
      <c r="E28" s="43">
        <f>COUNTIF('PF80'!V10:V89,"SCB1_MISO (1)")</f>
        <v>0</v>
      </c>
      <c r="F28" s="43">
        <f>COUNTIF('PF80'!V10:V89,"SCB2_MISO (1)")</f>
        <v>0</v>
      </c>
      <c r="G28" s="43">
        <f>COUNTIF('PF80'!V10:V89,"SCB3_MISO (1)")</f>
        <v>0</v>
      </c>
      <c r="H28" s="43">
        <f>COUNTIF('PF80'!V10:V89,"SCB4_MISO (1)")</f>
        <v>0</v>
      </c>
      <c r="I28" s="43">
        <f>COUNTIF('PF80'!V10:V89,"SCB5_MISO (1)")</f>
        <v>0</v>
      </c>
      <c r="J28" s="43">
        <f>COUNTIF('PF80'!V10:V89,"SCB6_MISO (1)")</f>
        <v>0</v>
      </c>
      <c r="K28" s="43">
        <f>COUNTIF('PF80'!V10:V89,"SCB7_MISO (1)")</f>
        <v>0</v>
      </c>
    </row>
    <row r="29" spans="2:59" x14ac:dyDescent="0.55000000000000004">
      <c r="B29" s="132"/>
      <c r="C29" s="41" t="s">
        <v>1145</v>
      </c>
      <c r="D29" s="42">
        <f>COUNTIF('PF80'!V10:V89,"SCB0_SEL0 (0)")</f>
        <v>0</v>
      </c>
      <c r="E29" s="43">
        <f>COUNTIF('PF80'!V10:V89,"SCB1_SEL0 (0)")</f>
        <v>0</v>
      </c>
      <c r="F29" s="43">
        <f>COUNTIF('PF80'!V10:V89,"SCB2_SEL0 (0)")</f>
        <v>0</v>
      </c>
      <c r="G29" s="43">
        <f>COUNTIF('PF80'!V10:V89,"SCB3_SEL0 (0)")</f>
        <v>0</v>
      </c>
      <c r="H29" s="43">
        <f>COUNTIF('PF80'!V10:V89,"SCB4_SEL0 (0)")</f>
        <v>0</v>
      </c>
      <c r="I29" s="42">
        <f>COUNTIF('PF80'!V10:V89,"SCB5_SEL0 (0)")</f>
        <v>0</v>
      </c>
      <c r="J29" s="42">
        <f>COUNTIF('PF80'!V10:V89,"SCB6_SEL0 (0)")</f>
        <v>0</v>
      </c>
      <c r="K29" s="43">
        <f>COUNTIF('PF80'!V10:V89,"SCB7_SEL0 (0)")</f>
        <v>0</v>
      </c>
    </row>
    <row r="30" spans="2:59" x14ac:dyDescent="0.55000000000000004">
      <c r="B30" s="133"/>
      <c r="C30" s="41" t="s">
        <v>1146</v>
      </c>
      <c r="D30" s="42">
        <f>COUNTIF('PF80'!V10:V89,"SCB0_SEL0 (1)")</f>
        <v>0</v>
      </c>
      <c r="E30" s="43">
        <f>COUNTIF('PF80'!V10:V89,"SCB1_SEL0 (1)")</f>
        <v>0</v>
      </c>
      <c r="F30" s="43">
        <f>COUNTIF('PF80'!V10:V89,"SCB2_SEL0 (1)")</f>
        <v>0</v>
      </c>
      <c r="G30" s="43">
        <f>COUNTIF('PF80'!V10:V89,"SCB3_SEL0 (1)")</f>
        <v>0</v>
      </c>
      <c r="H30" s="43">
        <f>COUNTIF('PF80'!V10:V89,"SCB4_SEL0 (1)")</f>
        <v>0</v>
      </c>
      <c r="I30" s="42">
        <f>COUNTIF('PF80'!V10:V89,"SCB5_SEL0 (1)")</f>
        <v>0</v>
      </c>
      <c r="J30" s="42">
        <f>COUNTIF('PF80'!V10:V89,"SCB6_SEL0 (1)")</f>
        <v>0</v>
      </c>
      <c r="K30" s="43">
        <f>COUNTIF('PF80'!V10:V89,"SCB7_SEL0 (1)")</f>
        <v>0</v>
      </c>
    </row>
    <row r="31" spans="2:59" x14ac:dyDescent="0.55000000000000004">
      <c r="B31" s="133"/>
      <c r="C31" s="41" t="s">
        <v>1147</v>
      </c>
      <c r="D31" s="42">
        <f>COUNTIF('PF80'!V10:V89,"SCB0_SEL1 (0)")</f>
        <v>0</v>
      </c>
      <c r="E31" s="43">
        <f>COUNTIF('PF80'!V10:V89,"SCB1_SEL1 (0)")</f>
        <v>0</v>
      </c>
      <c r="F31" s="43">
        <f>COUNTIF('PF80'!V10:V89,"SCB2_SEL1 (0)")</f>
        <v>0</v>
      </c>
      <c r="G31" s="43">
        <f>COUNTIF('PF80'!V10:V89,"SCB3_SEL1 (0)")</f>
        <v>0</v>
      </c>
      <c r="H31" s="43">
        <f>COUNTIF('PF80'!V10:V89,"SCB4_SEL1 (0)")</f>
        <v>0</v>
      </c>
      <c r="I31" s="42">
        <f>COUNTIF('PF80'!V10:V89,"SCB5_SEL1 (0)")</f>
        <v>0</v>
      </c>
      <c r="J31" s="42">
        <f>COUNTIF('PF80'!V10:V89,"SCB6_SEL1 (0)")</f>
        <v>0</v>
      </c>
      <c r="K31" s="43">
        <f>COUNTIF('PF80'!V10:V89,"SCB7_SEL1 (0)")</f>
        <v>0</v>
      </c>
    </row>
    <row r="32" spans="2:59" x14ac:dyDescent="0.55000000000000004">
      <c r="B32" s="133"/>
      <c r="C32" s="41" t="s">
        <v>1148</v>
      </c>
      <c r="D32" s="42">
        <f>COUNTIF('PF80'!V10:V89,"SCB0_SEL1 (1)")</f>
        <v>0</v>
      </c>
      <c r="E32" s="43">
        <f>COUNTIF('PF80'!V10:V89,"SCB1_SEL1 (1)")</f>
        <v>0</v>
      </c>
      <c r="F32" s="43">
        <f>COUNTIF('PF80'!V10:V89,"SCB2_SEL1 (1)")</f>
        <v>0</v>
      </c>
      <c r="G32" s="43">
        <f>COUNTIF('PF80'!V10:V89,"SCB3_SEL1 (1)")</f>
        <v>0</v>
      </c>
      <c r="H32" s="43">
        <f>COUNTIF('PF80'!V10:V89,"SCB4_SEL1 (1)")</f>
        <v>0</v>
      </c>
      <c r="I32" s="42">
        <f>COUNTIF('PF80'!V10:V89,"SCB5_SEL1 (1)")</f>
        <v>0</v>
      </c>
      <c r="J32" s="42">
        <f>COUNTIF('PF80'!V10:V89,"SCB6_SEL1 (1)")</f>
        <v>0</v>
      </c>
      <c r="K32" s="43">
        <f>COUNTIF('PF80'!V10:V89,"SCB7_SEL1 (1)")</f>
        <v>0</v>
      </c>
    </row>
    <row r="33" spans="2:11" x14ac:dyDescent="0.55000000000000004">
      <c r="B33" s="133"/>
      <c r="C33" s="41" t="s">
        <v>1149</v>
      </c>
      <c r="D33" s="42">
        <f>COUNTIF('PF80'!V10:V89,"SCB0_SEL2 (0)")</f>
        <v>0</v>
      </c>
      <c r="E33" s="43">
        <f>COUNTIF('PF80'!V10:V89,"SCB1_SEL2 (0)")</f>
        <v>0</v>
      </c>
      <c r="F33" s="43">
        <f>COUNTIF('PF80'!V10:V89,"SCB2_SEL2 (0)")</f>
        <v>0</v>
      </c>
      <c r="G33" s="43">
        <f>COUNTIF('PF80'!V10:V89,"SCB3_SEL2 (0)")</f>
        <v>0</v>
      </c>
      <c r="H33" s="43">
        <f>COUNTIF('PF80'!V10:V89,"SCB4_SEL2 (0)")</f>
        <v>0</v>
      </c>
      <c r="I33" s="42">
        <f>COUNTIF('PF80'!V10:V89,"SCB5_SEL2 (0)")</f>
        <v>0</v>
      </c>
      <c r="J33" s="42">
        <f>COUNTIF('PF80'!V10:V89,"SCB6_SEL2 (0)")</f>
        <v>0</v>
      </c>
      <c r="K33" s="43">
        <f>COUNTIF('PF80'!V10:V89,"SCB7_SEL2 (0)")</f>
        <v>0</v>
      </c>
    </row>
    <row r="34" spans="2:11" x14ac:dyDescent="0.55000000000000004">
      <c r="B34" s="133"/>
      <c r="C34" s="41" t="s">
        <v>1150</v>
      </c>
      <c r="D34" s="42">
        <f>COUNTIF('PF80'!V10:V89,"SCB0_SEL2 (1)")</f>
        <v>0</v>
      </c>
      <c r="E34" s="43">
        <f>COUNTIF('PF80'!V10:V89,"SCB1_SEL2 (1)")</f>
        <v>0</v>
      </c>
      <c r="F34" s="43">
        <f>COUNTIF('PF80'!V10:V89,"SCB2_SEL2 (1)")</f>
        <v>0</v>
      </c>
      <c r="G34" s="43">
        <f>COUNTIF('PF80'!V10:V89,"SCB3_SEL2 (1)")</f>
        <v>0</v>
      </c>
      <c r="H34" s="43">
        <f>COUNTIF('PF80'!V10:V89,"SCB4_SEL2 (1)")</f>
        <v>0</v>
      </c>
      <c r="I34" s="42">
        <f>COUNTIF('PF80'!V10:V89,"SCB5_SEL2 (1)")</f>
        <v>0</v>
      </c>
      <c r="J34" s="42">
        <f>COUNTIF('PF80'!V10:V89,"SCB6_SEL2 (1)")</f>
        <v>0</v>
      </c>
      <c r="K34" s="43">
        <f>COUNTIF('PF80'!V10:V89,"SCB7_SEL2 (1)")</f>
        <v>0</v>
      </c>
    </row>
    <row r="35" spans="2:11" x14ac:dyDescent="0.55000000000000004">
      <c r="B35" s="133"/>
      <c r="C35" s="41" t="s">
        <v>1151</v>
      </c>
      <c r="D35" s="42">
        <f>COUNTIF('PF80'!V10:V89,"SCB0_SEL3 (0)")</f>
        <v>0</v>
      </c>
      <c r="E35" s="43">
        <f>COUNTIF('PF80'!V10:V89,"SCB1_SEL3 (0)")</f>
        <v>0</v>
      </c>
      <c r="F35" s="43">
        <f>COUNTIF('PF80'!V10:V89,"SCB2_SEL3 (0)")</f>
        <v>0</v>
      </c>
      <c r="G35" s="43">
        <f>COUNTIF('PF80'!V10:V89,"SCB3_SEL3 (0)")</f>
        <v>0</v>
      </c>
      <c r="H35" s="43">
        <f>COUNTIF('PF80'!V10:V89,"SCB4_SEL3 (0)")</f>
        <v>0</v>
      </c>
      <c r="I35" s="42">
        <f>COUNTIF('PF80'!V10:V89,"SCB5_SEL3 (0)")</f>
        <v>0</v>
      </c>
      <c r="J35" s="42">
        <f>COUNTIF('PF80'!V10:V89,"SCB6_SEL3 (0)")</f>
        <v>0</v>
      </c>
      <c r="K35" s="43">
        <f>COUNTIF('PF80'!V10:V89,"SCB7_SEL3 (0)")</f>
        <v>0</v>
      </c>
    </row>
    <row r="36" spans="2:11" x14ac:dyDescent="0.55000000000000004">
      <c r="B36" s="134"/>
      <c r="C36" s="41" t="s">
        <v>1152</v>
      </c>
      <c r="D36" s="42">
        <f>COUNTIF('PF80'!V10:V89,"SCB0_SEL3 (1)")</f>
        <v>0</v>
      </c>
      <c r="E36" s="43">
        <f>COUNTIF('PF80'!V10:V89,"SCB1_SEL3 (1)")</f>
        <v>0</v>
      </c>
      <c r="F36" s="43">
        <f>COUNTIF('PF80'!V10:V89,"SCB2_SEL3 (1)")</f>
        <v>0</v>
      </c>
      <c r="G36" s="43">
        <f>COUNTIF('PF80'!V10:V89,"SCB3_SEL3 (1)")</f>
        <v>0</v>
      </c>
      <c r="H36" s="43">
        <f>COUNTIF('PF80'!V10:V89,"SCB4_SEL3 (1)")</f>
        <v>0</v>
      </c>
      <c r="I36" s="42">
        <f>COUNTIF('PF80'!V10:V89,"SCB5_SEL3 (1)")</f>
        <v>0</v>
      </c>
      <c r="J36" s="42">
        <f>COUNTIF('PF80'!V10:V89,"SCB6_SEL3 (1)")</f>
        <v>0</v>
      </c>
      <c r="K36" s="43">
        <f>COUNTIF('PF80'!V10:V89,"SCB7_SEL3 (1)")</f>
        <v>0</v>
      </c>
    </row>
    <row r="37" spans="2:11" ht="10.25" customHeight="1" x14ac:dyDescent="0.55000000000000004">
      <c r="B37" s="131" t="s">
        <v>414</v>
      </c>
      <c r="C37" s="41" t="s">
        <v>1131</v>
      </c>
      <c r="D37" s="42">
        <f>COUNTIF('PF80'!V10:V89,"SCB0_TX (0)")</f>
        <v>0</v>
      </c>
      <c r="E37" s="43">
        <f>COUNTIF('PF80'!V10:V89,"SCB1_TX (0)")</f>
        <v>0</v>
      </c>
      <c r="F37" s="43">
        <f>COUNTIF('PF80'!V10:V89,"SCB2_TX (0)")</f>
        <v>0</v>
      </c>
      <c r="G37" s="43">
        <f>COUNTIF('PF80'!V10:V89,"SCB3_TX (0)")</f>
        <v>0</v>
      </c>
      <c r="H37" s="43">
        <f>COUNTIF('PF80'!V10:V89,"SCB4_TX (0)")</f>
        <v>0</v>
      </c>
      <c r="I37" s="45">
        <f>COUNTIF('PF80'!V10:V89,"SCB5_TX (0)")</f>
        <v>0</v>
      </c>
      <c r="J37" s="45">
        <f>COUNTIF('PF80'!V10:V89,"SCB6_TX (0)")</f>
        <v>0</v>
      </c>
      <c r="K37" s="43">
        <f>COUNTIF('PF80'!V10:V89,"SCB7_TX (0)")</f>
        <v>0</v>
      </c>
    </row>
    <row r="38" spans="2:11" x14ac:dyDescent="0.55000000000000004">
      <c r="B38" s="133"/>
      <c r="C38" s="41" t="s">
        <v>1132</v>
      </c>
      <c r="D38" s="42">
        <f>COUNTIF('PF80'!V10:V89,"SCB0_TX (1)")</f>
        <v>0</v>
      </c>
      <c r="E38" s="43">
        <f>COUNTIF('PF80'!V10:V89,"SCB1_TX (1)")</f>
        <v>0</v>
      </c>
      <c r="F38" s="43">
        <f>COUNTIF('PF80'!V10:V89,"SCB2_TX (1)")</f>
        <v>0</v>
      </c>
      <c r="G38" s="43">
        <f>COUNTIF('PF80'!V10:V89,"SCB3_TX (1)")</f>
        <v>0</v>
      </c>
      <c r="H38" s="43">
        <f>COUNTIF('PF80'!V10:V89,"SCB4_TX (1)")</f>
        <v>0</v>
      </c>
      <c r="I38" s="45">
        <f>COUNTIF('PF80'!V10:V89,"SCB5_TX (1)")</f>
        <v>0</v>
      </c>
      <c r="J38" s="45">
        <f>COUNTIF('PF80'!V10:V89,"SCB6_TX (1)")</f>
        <v>0</v>
      </c>
      <c r="K38" s="43">
        <f>COUNTIF('PF80'!V10:V89,"SCB7_TX (1)")</f>
        <v>0</v>
      </c>
    </row>
    <row r="39" spans="2:11" x14ac:dyDescent="0.55000000000000004">
      <c r="B39" s="133"/>
      <c r="C39" s="41" t="s">
        <v>1133</v>
      </c>
      <c r="D39" s="42">
        <f>COUNTIF('PF80'!V10:V89,"SCB0_RX (0)")</f>
        <v>0</v>
      </c>
      <c r="E39" s="43">
        <f>COUNTIF('PF80'!V10:V89,"SCB1_RX (0)")</f>
        <v>0</v>
      </c>
      <c r="F39" s="43">
        <f>COUNTIF('PF80'!V10:V89,"SCB2_RX (0)")</f>
        <v>0</v>
      </c>
      <c r="G39" s="43">
        <f>COUNTIF('PF80'!V10:V89,"SCB3_RX (0)")</f>
        <v>0</v>
      </c>
      <c r="H39" s="43">
        <f>COUNTIF('PF80'!V10:V89,"SCB4_RX (0)")</f>
        <v>0</v>
      </c>
      <c r="I39" s="43">
        <f>COUNTIF('PF80'!V10:V89,"SCB5_RX (0)")</f>
        <v>0</v>
      </c>
      <c r="J39" s="43">
        <f>COUNTIF('PF80'!V10:V89,"SCB6_RX (0)")</f>
        <v>0</v>
      </c>
      <c r="K39" s="43">
        <f>COUNTIF('PF80'!V10:V89,"SCB7_RX (0)")</f>
        <v>0</v>
      </c>
    </row>
    <row r="40" spans="2:11" x14ac:dyDescent="0.55000000000000004">
      <c r="B40" s="133"/>
      <c r="C40" s="41" t="s">
        <v>1134</v>
      </c>
      <c r="D40" s="46">
        <f>COUNTIF('PF80'!V10:V89,"SCB0_RX (1)")</f>
        <v>0</v>
      </c>
      <c r="E40" s="43">
        <f>COUNTIF('PF80'!V10:V89,"SCB1_RX (1)")</f>
        <v>0</v>
      </c>
      <c r="F40" s="43">
        <f>COUNTIF('PF80'!V10:V89,"SCB2_RX (1)")</f>
        <v>0</v>
      </c>
      <c r="G40" s="43">
        <f>COUNTIF('PF80'!V10:V89,"SCB3_RX (1)")</f>
        <v>0</v>
      </c>
      <c r="H40" s="43">
        <f>COUNTIF('PF80'!V10:V89,"SCB4_RX (1)")</f>
        <v>0</v>
      </c>
      <c r="I40" s="43">
        <f>COUNTIF('PF80'!V10:V89,"SCB5_RX (1)")</f>
        <v>0</v>
      </c>
      <c r="J40" s="43">
        <f>COUNTIF('PF80'!V10:V89,"SCB6_RX (1)")</f>
        <v>0</v>
      </c>
      <c r="K40" s="43">
        <f>COUNTIF('PF80'!V10:V89,"SCB7_RX (1)")</f>
        <v>0</v>
      </c>
    </row>
    <row r="41" spans="2:11" x14ac:dyDescent="0.55000000000000004">
      <c r="B41" s="133"/>
      <c r="C41" s="41" t="s">
        <v>1135</v>
      </c>
      <c r="D41" s="42">
        <f>COUNTIF('PF80'!V10:V89,"SCB0_CTS (0)")</f>
        <v>0</v>
      </c>
      <c r="E41" s="43">
        <f>COUNTIF('PF80'!V10:V89,"SCB1_CTS (0)")</f>
        <v>0</v>
      </c>
      <c r="F41" s="43">
        <f>COUNTIF('PF80'!V10:V89,"SCB2_CTS (0)")</f>
        <v>0</v>
      </c>
      <c r="G41" s="43">
        <f>COUNTIF('PF80'!V10:V89,"SCB3_CTS (0)")</f>
        <v>0</v>
      </c>
      <c r="H41" s="43">
        <f>COUNTIF('PF80'!V10:V89,"SCB4_CTS (0)")</f>
        <v>0</v>
      </c>
      <c r="I41" s="43">
        <f>COUNTIF('PF80'!V10:V89,"SCB5_CTS (0)")</f>
        <v>0</v>
      </c>
      <c r="J41" s="43">
        <f>COUNTIF('PF80'!V10:V89,"SCB6_CTS (0)")</f>
        <v>0</v>
      </c>
      <c r="K41" s="43">
        <f>COUNTIF('PF80'!V10:V89,"SCB7_CTS (0)")</f>
        <v>0</v>
      </c>
    </row>
    <row r="42" spans="2:11" x14ac:dyDescent="0.55000000000000004">
      <c r="B42" s="133"/>
      <c r="C42" s="41" t="s">
        <v>1136</v>
      </c>
      <c r="D42" s="46">
        <f>COUNTIF('PF80'!V10:V89,"SCB0_CTS (1)")</f>
        <v>0</v>
      </c>
      <c r="E42" s="43">
        <f>COUNTIF('PF80'!V10:V89,"SCB1_CTS (1)")</f>
        <v>0</v>
      </c>
      <c r="F42" s="43">
        <f>COUNTIF('PF80'!V10:V89,"SCB2_CTS (1)")</f>
        <v>0</v>
      </c>
      <c r="G42" s="43">
        <f>COUNTIF('PF80'!V10:V89,"SCB3_CTS (1)")</f>
        <v>0</v>
      </c>
      <c r="H42" s="43">
        <f>COUNTIF('PF80'!V10:V89,"SCB4_CTS (1)")</f>
        <v>0</v>
      </c>
      <c r="I42" s="43">
        <f>COUNTIF('PF80'!V10:V89,"SCB5_CTS (1)")</f>
        <v>0</v>
      </c>
      <c r="J42" s="43">
        <f>COUNTIF('PF80'!V10:V89,"SCB6_CTS (1)")</f>
        <v>0</v>
      </c>
      <c r="K42" s="43">
        <f>COUNTIF('PF80'!V10:V89,"SCB7_CTS (1)")</f>
        <v>0</v>
      </c>
    </row>
    <row r="43" spans="2:11" x14ac:dyDescent="0.55000000000000004">
      <c r="B43" s="133"/>
      <c r="C43" s="41" t="s">
        <v>1137</v>
      </c>
      <c r="D43" s="42">
        <f>COUNTIF('PF80'!V10:V89,"SCB0_RTS (0)")</f>
        <v>0</v>
      </c>
      <c r="E43" s="43">
        <f>COUNTIF('PF80'!V10:V89,"SCB1_RTS (0)")</f>
        <v>0</v>
      </c>
      <c r="F43" s="43">
        <f>COUNTIF('PF80'!V10:V89,"SCB2_RTS (0)")</f>
        <v>0</v>
      </c>
      <c r="G43" s="43">
        <f>COUNTIF('PF80'!V10:V89,"SCB3_RTS (0)")</f>
        <v>0</v>
      </c>
      <c r="H43" s="43">
        <f>COUNTIF('PF80'!V10:V89,"SCB4_RTS (0)")</f>
        <v>0</v>
      </c>
      <c r="I43" s="43">
        <f>COUNTIF('PF80'!V10:V89,"SCB5_RTS (0)")</f>
        <v>0</v>
      </c>
      <c r="J43" s="43">
        <f>COUNTIF('PF80'!V10:V89,"SCB6_RTS (0)")</f>
        <v>0</v>
      </c>
      <c r="K43" s="43">
        <f>COUNTIF('PF80'!V10:V89,"SCB7_RTS (0)")</f>
        <v>0</v>
      </c>
    </row>
    <row r="44" spans="2:11" x14ac:dyDescent="0.55000000000000004">
      <c r="B44" s="134"/>
      <c r="C44" s="41" t="s">
        <v>1138</v>
      </c>
      <c r="D44" s="46">
        <f>COUNTIF('PF80'!V10:V89,"SCB0_RTS (1)")</f>
        <v>0</v>
      </c>
      <c r="E44" s="43">
        <f>COUNTIF('PF80'!V10:V89,"SCB1_RTS (1)")</f>
        <v>0</v>
      </c>
      <c r="F44" s="43">
        <f>COUNTIF('PF80'!V10:V89,"SCB2_RTS (1)")</f>
        <v>0</v>
      </c>
      <c r="G44" s="43">
        <f>COUNTIF('PF80'!V10:V89,"SCB3_RTS (1)")</f>
        <v>0</v>
      </c>
      <c r="H44" s="43">
        <f>COUNTIF('PF80'!V10:V89,"SCB4_RTS (1)")</f>
        <v>0</v>
      </c>
      <c r="I44" s="43">
        <f>COUNTIF('PF80'!V10:V89,"SCB5_RTS (1)")</f>
        <v>0</v>
      </c>
      <c r="J44" s="43">
        <f>COUNTIF('PF80'!V10:V89,"SCB6_RTS (1)")</f>
        <v>0</v>
      </c>
      <c r="K44" s="43">
        <f>COUNTIF('PF80'!V10:V89,"SCB7_RTS (1)")</f>
        <v>0</v>
      </c>
    </row>
    <row r="45" spans="2:11" ht="10.25" customHeight="1" x14ac:dyDescent="0.55000000000000004">
      <c r="B45" s="131" t="s">
        <v>416</v>
      </c>
      <c r="C45" s="47" t="s">
        <v>1153</v>
      </c>
      <c r="D45" s="42">
        <f>COUNTIF('PF80'!V10:V89,"SCB0_SDA (0)")</f>
        <v>0</v>
      </c>
      <c r="E45" s="43">
        <f>COUNTIF('PF80'!V10:V89,"SCB1_SDA (0)")</f>
        <v>0</v>
      </c>
      <c r="F45" s="43">
        <f>COUNTIF('PF80'!V10:V89,"SCB2_SDA (0)")</f>
        <v>0</v>
      </c>
      <c r="G45" s="43">
        <f>COUNTIF('PF80'!V10:V89,"SCB3_SDA (0)")</f>
        <v>0</v>
      </c>
      <c r="H45" s="43">
        <f>COUNTIF('PF80'!V10:V89,"SCB4_SDA (0)")</f>
        <v>0</v>
      </c>
      <c r="I45" s="45">
        <f>COUNTIF('PF80'!V10:V89,"SCB5_SDA (0)")</f>
        <v>0</v>
      </c>
      <c r="J45" s="45">
        <f>COUNTIF('PF80'!V10:V89,"SCB6_SDA (0)")</f>
        <v>0</v>
      </c>
      <c r="K45" s="45">
        <f>COUNTIF('PF80'!V10:V89,"SCB7_SDA (0)")</f>
        <v>0</v>
      </c>
    </row>
    <row r="46" spans="2:11" x14ac:dyDescent="0.55000000000000004">
      <c r="B46" s="132"/>
      <c r="C46" s="47" t="s">
        <v>1154</v>
      </c>
      <c r="D46" s="42">
        <f>COUNTIF('PF80'!V10:V89,"SCB0_SDA (1)")</f>
        <v>0</v>
      </c>
      <c r="E46" s="43">
        <f>COUNTIF('PF80'!V10:V89,"SCB1_SDA (1)")</f>
        <v>0</v>
      </c>
      <c r="F46" s="43">
        <f>COUNTIF('PF80'!V10:V89,"SCB2_SDA (1)")</f>
        <v>0</v>
      </c>
      <c r="G46" s="43">
        <f>COUNTIF('PF80'!V10:V89,"SCB3_SDA (1)")</f>
        <v>0</v>
      </c>
      <c r="H46" s="43">
        <f>COUNTIF('PF80'!V10:V89,"SCB4_SDA (1)")</f>
        <v>0</v>
      </c>
      <c r="I46" s="45">
        <f>COUNTIF('PF80'!V10:V89,"SCB5_SDA (1)")</f>
        <v>0</v>
      </c>
      <c r="J46" s="45">
        <f>COUNTIF('PF80'!V10:V89,"SCB6_SDA (1)")</f>
        <v>0</v>
      </c>
      <c r="K46" s="45">
        <f>COUNTIF('PF80'!V10:V89,"SCB7_SDA (1)")</f>
        <v>0</v>
      </c>
    </row>
    <row r="47" spans="2:11" x14ac:dyDescent="0.55000000000000004">
      <c r="B47" s="133"/>
      <c r="C47" s="47" t="s">
        <v>1155</v>
      </c>
      <c r="D47" s="42">
        <f>COUNTIF('PF80'!V10:V89,"SCB0_SDA (2)")</f>
        <v>0</v>
      </c>
      <c r="E47" s="43">
        <f>COUNTIF('PF80'!V10:V89,"SCB1_SDA (2)")</f>
        <v>0</v>
      </c>
      <c r="F47" s="43">
        <f>COUNTIF('PF80'!V10:V89,"SCB2_SDA (2)")</f>
        <v>0</v>
      </c>
      <c r="G47" s="43">
        <f>COUNTIF('PF80'!V10:V89,"SCB3_SDA (2)")</f>
        <v>0</v>
      </c>
      <c r="H47" s="43">
        <f>COUNTIF('PF80'!V10:V89,"SCB4_SDA (2)")</f>
        <v>0</v>
      </c>
      <c r="I47" s="45">
        <f>COUNTIF('PF80'!V10:V89,"SCB5_SDA (2)")</f>
        <v>0</v>
      </c>
      <c r="J47" s="45">
        <f>COUNTIF('PF80'!V10:V89,"SCB6_SDA (2)")</f>
        <v>0</v>
      </c>
      <c r="K47" s="45">
        <f>COUNTIF('PF80'!V10:V89,"SCB7_SDA (2)")</f>
        <v>0</v>
      </c>
    </row>
    <row r="48" spans="2:11" x14ac:dyDescent="0.55000000000000004">
      <c r="B48" s="133"/>
      <c r="C48" s="47" t="s">
        <v>1156</v>
      </c>
      <c r="D48" s="42">
        <f>COUNTIF('PF80'!V10:V89,"SCB0_SCL (0)")</f>
        <v>0</v>
      </c>
      <c r="E48" s="43">
        <f>COUNTIF('PF80'!V10:V89,"SCB1_SCL (0)")</f>
        <v>0</v>
      </c>
      <c r="F48" s="43">
        <f>COUNTIF('PF80'!V10:V89,"SCB2_SCL (0)")</f>
        <v>0</v>
      </c>
      <c r="G48" s="43">
        <f>COUNTIF('PF80'!V10:V89,"SCB3_SCL (0)")</f>
        <v>0</v>
      </c>
      <c r="H48" s="43">
        <f>COUNTIF('PF80'!V10:V89,"SCB4_SCL (0)")</f>
        <v>0</v>
      </c>
      <c r="I48" s="45">
        <f>COUNTIF('PF80'!V10:V89,"SCB5_SCL (0)")</f>
        <v>0</v>
      </c>
      <c r="J48" s="45">
        <f>COUNTIF('PF80'!V10:V89,"SCB6_SCL (0)")</f>
        <v>0</v>
      </c>
      <c r="K48" s="45">
        <f>COUNTIF('PF80'!V10:V89,"SCB7_SCL (0)")</f>
        <v>0</v>
      </c>
    </row>
    <row r="49" spans="2:66" x14ac:dyDescent="0.55000000000000004">
      <c r="B49" s="133"/>
      <c r="C49" s="47" t="s">
        <v>1157</v>
      </c>
      <c r="D49" s="42">
        <f>COUNTIF('PF80'!V10:V89,"SCB0_SCL (1)")</f>
        <v>0</v>
      </c>
      <c r="E49" s="43">
        <f>COUNTIF('PF80'!V10:V89,"SCB1_SCL (1)")</f>
        <v>0</v>
      </c>
      <c r="F49" s="43">
        <f>COUNTIF('PF80'!V10:V89,"SCB2_SCL (1)")</f>
        <v>0</v>
      </c>
      <c r="G49" s="43">
        <f>COUNTIF('PF80'!V10:V89,"SCB3_SCL (1)")</f>
        <v>0</v>
      </c>
      <c r="H49" s="43">
        <f>COUNTIF('PF80'!V10:V89,"SCB4_SCL (1)")</f>
        <v>0</v>
      </c>
      <c r="I49" s="45">
        <f>COUNTIF('PF80'!V10:V89,"SCB5_SCL (1)")</f>
        <v>0</v>
      </c>
      <c r="J49" s="45">
        <f>COUNTIF('PF80'!V10:V89,"SCB6_SCL (1)")</f>
        <v>0</v>
      </c>
      <c r="K49" s="45">
        <f>COUNTIF('PF80'!V10:V89,"SCB7_SCL (1)")</f>
        <v>0</v>
      </c>
    </row>
    <row r="50" spans="2:66" x14ac:dyDescent="0.55000000000000004">
      <c r="B50" s="134"/>
      <c r="C50" s="47" t="s">
        <v>1158</v>
      </c>
      <c r="D50" s="42">
        <f>COUNTIF('PF80'!V10:V89,"SCB0_SCL (2)")</f>
        <v>0</v>
      </c>
      <c r="E50" s="43">
        <f>COUNTIF('PF80'!V10:V89,"SCB1_SCL (2)")</f>
        <v>0</v>
      </c>
      <c r="F50" s="43">
        <f>COUNTIF('PF80'!V10:V89,"SCB2_SCL (2)")</f>
        <v>0</v>
      </c>
      <c r="G50" s="43">
        <f>COUNTIF('PF80'!V10:V89,"SCB3_SCL (2)")</f>
        <v>0</v>
      </c>
      <c r="H50" s="43">
        <f>COUNTIF('PF80'!V10:V89,"SCB4_SCL (2)")</f>
        <v>0</v>
      </c>
      <c r="I50" s="45">
        <f>COUNTIF('PF80'!V10:V89,"SCB5_SCL (2)")</f>
        <v>0</v>
      </c>
      <c r="J50" s="45">
        <f>COUNTIF('PF80'!V10:V89,"SCB6_SCL (2)")</f>
        <v>0</v>
      </c>
      <c r="K50" s="45">
        <f>COUNTIF('PF80'!V10:V89,"SCB7_SCL (2)")</f>
        <v>0</v>
      </c>
    </row>
    <row r="52" spans="2:66" hidden="1" x14ac:dyDescent="0.55000000000000004">
      <c r="B52" s="52" t="s">
        <v>376</v>
      </c>
      <c r="C52" s="52" t="s">
        <v>1191</v>
      </c>
      <c r="D52" s="53" t="s">
        <v>377</v>
      </c>
      <c r="E52" s="53" t="s">
        <v>378</v>
      </c>
      <c r="F52" s="53" t="s">
        <v>379</v>
      </c>
      <c r="G52" s="53" t="s">
        <v>380</v>
      </c>
      <c r="H52" s="53" t="s">
        <v>384</v>
      </c>
      <c r="I52" s="53" t="s">
        <v>383</v>
      </c>
      <c r="J52" s="53" t="s">
        <v>382</v>
      </c>
      <c r="K52" s="53" t="s">
        <v>381</v>
      </c>
    </row>
    <row r="53" spans="2:66" hidden="1" x14ac:dyDescent="0.55000000000000004">
      <c r="B53" s="54" t="s">
        <v>1192</v>
      </c>
      <c r="C53" s="55">
        <v>0</v>
      </c>
      <c r="D53" s="55">
        <f>D23+D25+D27+D29+D31+D33+D35</f>
        <v>0</v>
      </c>
      <c r="E53" s="55">
        <f t="shared" ref="E53:K54" si="0">E23+E25+E27+E29+E31+E33+E35</f>
        <v>0</v>
      </c>
      <c r="F53" s="55">
        <f t="shared" si="0"/>
        <v>0</v>
      </c>
      <c r="G53" s="55">
        <f t="shared" si="0"/>
        <v>0</v>
      </c>
      <c r="H53" s="55">
        <f t="shared" si="0"/>
        <v>0</v>
      </c>
      <c r="I53" s="55">
        <f t="shared" si="0"/>
        <v>0</v>
      </c>
      <c r="J53" s="55">
        <f t="shared" si="0"/>
        <v>0</v>
      </c>
      <c r="K53" s="55">
        <f t="shared" si="0"/>
        <v>0</v>
      </c>
    </row>
    <row r="54" spans="2:66" hidden="1" x14ac:dyDescent="0.55000000000000004">
      <c r="B54" s="56"/>
      <c r="C54" s="55">
        <v>1</v>
      </c>
      <c r="D54" s="55">
        <f>D24+D26+D28+D30+D32+D34+D36</f>
        <v>0</v>
      </c>
      <c r="E54" s="55">
        <f t="shared" si="0"/>
        <v>0</v>
      </c>
      <c r="F54" s="55">
        <f t="shared" si="0"/>
        <v>0</v>
      </c>
      <c r="G54" s="55">
        <f t="shared" si="0"/>
        <v>0</v>
      </c>
      <c r="H54" s="55">
        <f t="shared" si="0"/>
        <v>0</v>
      </c>
      <c r="I54" s="55">
        <f t="shared" si="0"/>
        <v>0</v>
      </c>
      <c r="J54" s="55">
        <f t="shared" si="0"/>
        <v>0</v>
      </c>
      <c r="K54" s="55">
        <f t="shared" si="0"/>
        <v>0</v>
      </c>
    </row>
    <row r="55" spans="2:66" hidden="1" x14ac:dyDescent="0.55000000000000004">
      <c r="B55" s="54" t="s">
        <v>1193</v>
      </c>
      <c r="C55" s="55">
        <v>0</v>
      </c>
      <c r="D55" s="55">
        <f>D37+D39+D41+D43</f>
        <v>0</v>
      </c>
      <c r="E55" s="55">
        <f t="shared" ref="E55:K56" si="1">E37+E39+E41+E43</f>
        <v>0</v>
      </c>
      <c r="F55" s="55">
        <f t="shared" si="1"/>
        <v>0</v>
      </c>
      <c r="G55" s="55">
        <f t="shared" si="1"/>
        <v>0</v>
      </c>
      <c r="H55" s="55">
        <f t="shared" si="1"/>
        <v>0</v>
      </c>
      <c r="I55" s="55">
        <f t="shared" si="1"/>
        <v>0</v>
      </c>
      <c r="J55" s="55">
        <f t="shared" si="1"/>
        <v>0</v>
      </c>
      <c r="K55" s="55">
        <f t="shared" si="1"/>
        <v>0</v>
      </c>
    </row>
    <row r="56" spans="2:66" hidden="1" x14ac:dyDescent="0.55000000000000004">
      <c r="B56" s="56"/>
      <c r="C56" s="55">
        <v>1</v>
      </c>
      <c r="D56" s="55">
        <f>D38+D40+D42+D44</f>
        <v>0</v>
      </c>
      <c r="E56" s="55">
        <f t="shared" si="1"/>
        <v>0</v>
      </c>
      <c r="F56" s="55">
        <f t="shared" si="1"/>
        <v>0</v>
      </c>
      <c r="G56" s="55">
        <f t="shared" si="1"/>
        <v>0</v>
      </c>
      <c r="H56" s="55">
        <f t="shared" si="1"/>
        <v>0</v>
      </c>
      <c r="I56" s="55">
        <f t="shared" si="1"/>
        <v>0</v>
      </c>
      <c r="J56" s="55">
        <f t="shared" si="1"/>
        <v>0</v>
      </c>
      <c r="K56" s="55">
        <f t="shared" si="1"/>
        <v>0</v>
      </c>
    </row>
    <row r="57" spans="2:66" hidden="1" x14ac:dyDescent="0.55000000000000004">
      <c r="B57" s="54" t="s">
        <v>1194</v>
      </c>
      <c r="C57" s="55">
        <v>0</v>
      </c>
      <c r="D57" s="55">
        <f t="shared" ref="D57:K57" si="2">D45+D48</f>
        <v>0</v>
      </c>
      <c r="E57" s="55">
        <f t="shared" si="2"/>
        <v>0</v>
      </c>
      <c r="F57" s="55">
        <f t="shared" si="2"/>
        <v>0</v>
      </c>
      <c r="G57" s="55">
        <f t="shared" si="2"/>
        <v>0</v>
      </c>
      <c r="H57" s="55">
        <f t="shared" si="2"/>
        <v>0</v>
      </c>
      <c r="I57" s="55">
        <f t="shared" si="2"/>
        <v>0</v>
      </c>
      <c r="J57" s="55">
        <f t="shared" si="2"/>
        <v>0</v>
      </c>
      <c r="K57" s="55">
        <f t="shared" si="2"/>
        <v>0</v>
      </c>
    </row>
    <row r="58" spans="2:66" hidden="1" x14ac:dyDescent="0.55000000000000004">
      <c r="B58" s="57"/>
      <c r="C58" s="55">
        <v>1</v>
      </c>
      <c r="D58" s="55">
        <f>D46+D49</f>
        <v>0</v>
      </c>
      <c r="E58" s="55">
        <f t="shared" ref="E58:K59" si="3">E46+E49</f>
        <v>0</v>
      </c>
      <c r="F58" s="55">
        <f t="shared" si="3"/>
        <v>0</v>
      </c>
      <c r="G58" s="55">
        <f t="shared" si="3"/>
        <v>0</v>
      </c>
      <c r="H58" s="55">
        <f t="shared" si="3"/>
        <v>0</v>
      </c>
      <c r="I58" s="55">
        <f t="shared" si="3"/>
        <v>0</v>
      </c>
      <c r="J58" s="55">
        <f t="shared" si="3"/>
        <v>0</v>
      </c>
      <c r="K58" s="55">
        <f t="shared" si="3"/>
        <v>0</v>
      </c>
    </row>
    <row r="59" spans="2:66" hidden="1" x14ac:dyDescent="0.55000000000000004">
      <c r="B59" s="56"/>
      <c r="C59" s="55">
        <v>2</v>
      </c>
      <c r="D59" s="55">
        <f>D47+D50</f>
        <v>0</v>
      </c>
      <c r="E59" s="55">
        <f t="shared" si="3"/>
        <v>0</v>
      </c>
      <c r="F59" s="55">
        <f t="shared" si="3"/>
        <v>0</v>
      </c>
      <c r="G59" s="55">
        <f t="shared" si="3"/>
        <v>0</v>
      </c>
      <c r="H59" s="55">
        <f t="shared" si="3"/>
        <v>0</v>
      </c>
      <c r="I59" s="55">
        <f t="shared" si="3"/>
        <v>0</v>
      </c>
      <c r="J59" s="55">
        <f t="shared" si="3"/>
        <v>0</v>
      </c>
      <c r="K59" s="55">
        <f t="shared" si="3"/>
        <v>0</v>
      </c>
    </row>
    <row r="60" spans="2:66" hidden="1" x14ac:dyDescent="0.55000000000000004">
      <c r="B60" s="58" t="s">
        <v>1195</v>
      </c>
      <c r="C60" s="59"/>
      <c r="D60" s="52">
        <f t="shared" ref="D60:K60" si="4">COUNTIF(D53:D59, "&lt;&gt;0")</f>
        <v>0</v>
      </c>
      <c r="E60" s="52">
        <f t="shared" si="4"/>
        <v>0</v>
      </c>
      <c r="F60" s="52">
        <f t="shared" si="4"/>
        <v>0</v>
      </c>
      <c r="G60" s="52">
        <f t="shared" si="4"/>
        <v>0</v>
      </c>
      <c r="H60" s="52">
        <f t="shared" si="4"/>
        <v>0</v>
      </c>
      <c r="I60" s="52">
        <f t="shared" si="4"/>
        <v>0</v>
      </c>
      <c r="J60" s="52">
        <f t="shared" si="4"/>
        <v>0</v>
      </c>
      <c r="K60" s="52">
        <f t="shared" si="4"/>
        <v>0</v>
      </c>
    </row>
    <row r="62" spans="2:66" x14ac:dyDescent="0.55000000000000004">
      <c r="B62" s="128" t="s">
        <v>1218</v>
      </c>
      <c r="C62" s="129"/>
      <c r="D62" s="37" t="s">
        <v>420</v>
      </c>
      <c r="E62" s="37" t="s">
        <v>421</v>
      </c>
      <c r="F62" s="37" t="s">
        <v>422</v>
      </c>
      <c r="G62" s="37" t="s">
        <v>423</v>
      </c>
      <c r="H62" s="37" t="s">
        <v>424</v>
      </c>
      <c r="I62" s="37" t="s">
        <v>425</v>
      </c>
      <c r="J62" s="37" t="s">
        <v>426</v>
      </c>
      <c r="K62" s="37" t="s">
        <v>427</v>
      </c>
      <c r="L62" s="37" t="s">
        <v>428</v>
      </c>
      <c r="M62" s="37" t="s">
        <v>429</v>
      </c>
      <c r="N62" s="37" t="s">
        <v>431</v>
      </c>
      <c r="O62" s="37" t="s">
        <v>432</v>
      </c>
      <c r="P62" s="37" t="s">
        <v>435</v>
      </c>
      <c r="Q62" s="37" t="s">
        <v>436</v>
      </c>
      <c r="R62" s="37" t="s">
        <v>437</v>
      </c>
      <c r="S62" s="37" t="s">
        <v>438</v>
      </c>
      <c r="T62" s="37" t="s">
        <v>439</v>
      </c>
      <c r="U62" s="37" t="s">
        <v>440</v>
      </c>
      <c r="V62" s="37" t="s">
        <v>441</v>
      </c>
      <c r="W62" s="37" t="s">
        <v>442</v>
      </c>
      <c r="X62" s="37" t="s">
        <v>443</v>
      </c>
      <c r="Y62" s="37" t="s">
        <v>444</v>
      </c>
      <c r="Z62" s="37" t="s">
        <v>445</v>
      </c>
      <c r="AA62" s="37" t="s">
        <v>446</v>
      </c>
      <c r="AB62" s="37" t="s">
        <v>447</v>
      </c>
      <c r="AC62" s="37" t="s">
        <v>448</v>
      </c>
      <c r="AD62" s="37" t="s">
        <v>449</v>
      </c>
      <c r="AE62" s="37" t="s">
        <v>450</v>
      </c>
      <c r="AF62" s="37" t="s">
        <v>451</v>
      </c>
      <c r="AG62" s="37" t="s">
        <v>452</v>
      </c>
      <c r="AH62" s="37" t="s">
        <v>453</v>
      </c>
      <c r="AI62" s="37" t="s">
        <v>454</v>
      </c>
      <c r="AJ62" s="37" t="s">
        <v>455</v>
      </c>
      <c r="AK62" s="37" t="s">
        <v>456</v>
      </c>
      <c r="AL62" s="37" t="s">
        <v>457</v>
      </c>
      <c r="AM62" s="37" t="s">
        <v>458</v>
      </c>
      <c r="AN62" s="37" t="s">
        <v>459</v>
      </c>
      <c r="AO62" s="37" t="s">
        <v>460</v>
      </c>
      <c r="AP62" s="37" t="s">
        <v>461</v>
      </c>
      <c r="AQ62" s="37" t="s">
        <v>462</v>
      </c>
      <c r="AR62" s="37" t="s">
        <v>463</v>
      </c>
      <c r="AS62" s="37" t="s">
        <v>464</v>
      </c>
      <c r="AT62" s="37" t="s">
        <v>465</v>
      </c>
      <c r="AU62" s="37" t="s">
        <v>466</v>
      </c>
      <c r="AV62" s="37" t="s">
        <v>467</v>
      </c>
      <c r="AW62" s="37" t="s">
        <v>468</v>
      </c>
      <c r="AX62" s="37" t="s">
        <v>469</v>
      </c>
      <c r="AY62" s="37" t="s">
        <v>470</v>
      </c>
      <c r="AZ62" s="37" t="s">
        <v>471</v>
      </c>
      <c r="BA62" s="37" t="s">
        <v>472</v>
      </c>
      <c r="BB62" s="37" t="s">
        <v>473</v>
      </c>
      <c r="BC62" s="37" t="s">
        <v>474</v>
      </c>
      <c r="BD62" s="37" t="s">
        <v>475</v>
      </c>
      <c r="BE62" s="37" t="s">
        <v>476</v>
      </c>
      <c r="BF62" s="37" t="s">
        <v>477</v>
      </c>
      <c r="BG62" s="37" t="s">
        <v>478</v>
      </c>
      <c r="BH62" s="37" t="s">
        <v>479</v>
      </c>
      <c r="BI62" s="37" t="s">
        <v>480</v>
      </c>
      <c r="BJ62" s="37" t="s">
        <v>481</v>
      </c>
      <c r="BK62" s="37" t="s">
        <v>482</v>
      </c>
      <c r="BL62" s="37" t="s">
        <v>483</v>
      </c>
      <c r="BM62" s="37" t="s">
        <v>484</v>
      </c>
      <c r="BN62" s="37" t="s">
        <v>485</v>
      </c>
    </row>
    <row r="63" spans="2:66" x14ac:dyDescent="0.55000000000000004">
      <c r="B63" s="126" t="s">
        <v>417</v>
      </c>
      <c r="C63" s="38" t="s">
        <v>409</v>
      </c>
      <c r="D63" s="38">
        <f>COUNTIF('PF80'!V10:V89,"PWM0_0")</f>
        <v>0</v>
      </c>
      <c r="E63" s="38">
        <f>COUNTIF('PF80'!V10:V89,"PWM0_1")</f>
        <v>0</v>
      </c>
      <c r="F63" s="38">
        <f>COUNTIF('PF80'!V10:V89,"PWM0_2")</f>
        <v>0</v>
      </c>
      <c r="G63" s="38">
        <f>COUNTIF('PF80'!V10:V89,"PWM0_3")</f>
        <v>0</v>
      </c>
      <c r="H63" s="38">
        <f>COUNTIF('PF80'!V10:V89,"PWM0_4")</f>
        <v>0</v>
      </c>
      <c r="I63" s="38">
        <f>COUNTIF('PF80'!V10:V89,"PWM0_5")</f>
        <v>0</v>
      </c>
      <c r="J63" s="38">
        <f>COUNTIF('PF80'!V10:V89,"PWM0_6")</f>
        <v>0</v>
      </c>
      <c r="K63" s="38">
        <f>COUNTIF('PF80'!V10:V89,"PWM0_7")</f>
        <v>0</v>
      </c>
      <c r="L63" s="38">
        <f>COUNTIF('PF80'!V10:V89,"PWM0_8")</f>
        <v>0</v>
      </c>
      <c r="M63" s="38">
        <f>COUNTIF('PF80'!V10:V89,"PWM0_9")</f>
        <v>0</v>
      </c>
      <c r="N63" s="38">
        <f>COUNTIF('PF80'!V10:V89,"PWM0_10")</f>
        <v>0</v>
      </c>
      <c r="O63" s="38">
        <f>COUNTIF('PF80'!V10:V89,"PWM0_11")</f>
        <v>0</v>
      </c>
      <c r="P63" s="38">
        <f>COUNTIF('PF80'!V10:V89,"PWM0_12")</f>
        <v>0</v>
      </c>
      <c r="Q63" s="38">
        <f>COUNTIF('PF80'!V10:V89,"PWM0_13")</f>
        <v>0</v>
      </c>
      <c r="R63" s="38">
        <f>COUNTIF('PF80'!V10:V89,"PWM0_14")</f>
        <v>0</v>
      </c>
      <c r="S63" s="38">
        <f>COUNTIF('PF80'!V10:V89,"PWM0_15")</f>
        <v>0</v>
      </c>
      <c r="T63" s="38">
        <f>COUNTIF('PF80'!V10:V89,"PWM0_16")</f>
        <v>0</v>
      </c>
      <c r="U63" s="38">
        <f>COUNTIF('PF80'!V10:V89,"PWM0_17")</f>
        <v>0</v>
      </c>
      <c r="V63" s="38">
        <f>COUNTIF('PF80'!V10:V89,"PWM0_18")</f>
        <v>0</v>
      </c>
      <c r="W63" s="38">
        <f>COUNTIF('PF80'!V10:V89,"PWM0_19")</f>
        <v>0</v>
      </c>
      <c r="X63" s="38">
        <f>COUNTIF('PF80'!V10:V89,"PWM0_20")</f>
        <v>0</v>
      </c>
      <c r="Y63" s="38">
        <f>COUNTIF('PF80'!V10:V89,"PWM0_21")</f>
        <v>0</v>
      </c>
      <c r="Z63" s="38">
        <f>COUNTIF('PF80'!V10:V89,"PWM0_22")</f>
        <v>0</v>
      </c>
      <c r="AA63" s="38">
        <f>COUNTIF('PF80'!V10:V89,"PWM0_23")</f>
        <v>0</v>
      </c>
      <c r="AB63" s="38">
        <f>COUNTIF('PF80'!V10:V89,"PWM0_24")</f>
        <v>0</v>
      </c>
      <c r="AC63" s="38">
        <f>COUNTIF('PF80'!V10:V89,"PWM0_25")</f>
        <v>0</v>
      </c>
      <c r="AD63" s="38">
        <f>COUNTIF('PF80'!V10:V89,"PWM0_26")</f>
        <v>0</v>
      </c>
      <c r="AE63" s="38">
        <f>COUNTIF('PF80'!V10:V89,"PWM0_27")</f>
        <v>0</v>
      </c>
      <c r="AF63" s="38">
        <f>COUNTIF('PF80'!V10:V89,"PWM0_28")</f>
        <v>0</v>
      </c>
      <c r="AG63" s="38">
        <f>COUNTIF('PF80'!V10:V89,"PWM0_29")</f>
        <v>0</v>
      </c>
      <c r="AH63" s="38">
        <f>COUNTIF('PF80'!V10:V89,"PWM0_30")</f>
        <v>0</v>
      </c>
      <c r="AI63" s="38">
        <f>COUNTIF('PF80'!V10:V89,"PWM0_31")</f>
        <v>0</v>
      </c>
      <c r="AJ63" s="38">
        <f>COUNTIF('PF80'!V10:V89,"PWM0_32")</f>
        <v>0</v>
      </c>
      <c r="AK63" s="38">
        <f>COUNTIF('PF80'!V10:V89,"PWM0_33")</f>
        <v>0</v>
      </c>
      <c r="AL63" s="38">
        <f>COUNTIF('PF80'!V10:V89,"PWM0_34")</f>
        <v>0</v>
      </c>
      <c r="AM63" s="38">
        <f>COUNTIF('PF80'!V10:V89,"PWM0_35")</f>
        <v>0</v>
      </c>
      <c r="AN63" s="38">
        <f>COUNTIF('PF80'!V10:V89,"PWM0_36")</f>
        <v>0</v>
      </c>
      <c r="AO63" s="38">
        <f>COUNTIF('PF80'!V10:V89,"PWM0_37")</f>
        <v>0</v>
      </c>
      <c r="AP63" s="38">
        <f>COUNTIF('PF80'!V10:V89,"PWM0_38")</f>
        <v>0</v>
      </c>
      <c r="AQ63" s="38">
        <f>COUNTIF('PF80'!V10:V89,"PWM0_39")</f>
        <v>0</v>
      </c>
      <c r="AR63" s="38">
        <f>COUNTIF('PF80'!V10:V89,"PWM0_40")</f>
        <v>0</v>
      </c>
      <c r="AS63" s="38">
        <f>COUNTIF('PF80'!V10:V89,"PWM0_41")</f>
        <v>0</v>
      </c>
      <c r="AT63" s="38">
        <f>COUNTIF('PF80'!V10:V89,"PWM0_42")</f>
        <v>0</v>
      </c>
      <c r="AU63" s="38">
        <f>COUNTIF('PF80'!V10:V89,"PWM0_43")</f>
        <v>0</v>
      </c>
      <c r="AV63" s="38">
        <f>COUNTIF('PF80'!V10:V89,"PWM0_44")</f>
        <v>0</v>
      </c>
      <c r="AW63" s="38">
        <f>COUNTIF('PF80'!V10:V89,"PWM0_45")</f>
        <v>0</v>
      </c>
      <c r="AX63" s="38">
        <f>COUNTIF('PF80'!V10:V89,"PWM0_46")</f>
        <v>0</v>
      </c>
      <c r="AY63" s="38">
        <f>COUNTIF('PF80'!V10:V89,"PWM0_47")</f>
        <v>0</v>
      </c>
      <c r="AZ63" s="38">
        <f>COUNTIF('PF80'!V10:V89,"PWM0_48")</f>
        <v>0</v>
      </c>
      <c r="BA63" s="38">
        <f>COUNTIF('PF80'!V10:V89,"PWM0_49")</f>
        <v>0</v>
      </c>
      <c r="BB63" s="38">
        <f>COUNTIF('PF80'!V10:V89,"PWM0_50")</f>
        <v>0</v>
      </c>
      <c r="BC63" s="38">
        <f>COUNTIF('PF80'!V10:V89,"PWM0_51")</f>
        <v>0</v>
      </c>
      <c r="BD63" s="38">
        <f>COUNTIF('PF80'!V10:V89,"PWM0_52")</f>
        <v>0</v>
      </c>
      <c r="BE63" s="38">
        <f>COUNTIF('PF80'!V10:V89,"PWM0_53")</f>
        <v>0</v>
      </c>
      <c r="BF63" s="38">
        <f>COUNTIF('PF80'!V10:V89,"PWM0_54")</f>
        <v>0</v>
      </c>
      <c r="BG63" s="38">
        <f>COUNTIF('PF80'!V10:V89,"PWM0_55")</f>
        <v>0</v>
      </c>
      <c r="BH63" s="38">
        <f>COUNTIF('PF80'!V10:V89,"PWM0_56")</f>
        <v>0</v>
      </c>
      <c r="BI63" s="38">
        <f>COUNTIF('PF80'!V10:V89,"PWM0_57")</f>
        <v>0</v>
      </c>
      <c r="BJ63" s="38">
        <f>COUNTIF('PF80'!V10:V89,"PWM0_58")</f>
        <v>0</v>
      </c>
      <c r="BK63" s="38">
        <f>COUNTIF('PF80'!V10:V89,"PWM0_59")</f>
        <v>0</v>
      </c>
      <c r="BL63" s="38">
        <f>COUNTIF('PF80'!V10:V89,"PWM0_60")</f>
        <v>0</v>
      </c>
      <c r="BM63" s="38">
        <f>COUNTIF('PF80'!V10:V89,"PWM0_61")</f>
        <v>0</v>
      </c>
      <c r="BN63" s="38">
        <f>COUNTIF('PF80'!V10:V89,"PWM0_62")</f>
        <v>0</v>
      </c>
    </row>
    <row r="64" spans="2:66" x14ac:dyDescent="0.55000000000000004">
      <c r="B64" s="127"/>
      <c r="C64" s="38" t="s">
        <v>1219</v>
      </c>
      <c r="D64" s="38">
        <f>COUNTIF('PF80'!V10:V89,"PWM0_0_N")</f>
        <v>0</v>
      </c>
      <c r="E64" s="38">
        <f>COUNTIF('PF80'!V10:V89,"PWM0_1_N")</f>
        <v>0</v>
      </c>
      <c r="F64" s="38">
        <f>COUNTIF('PF80'!V10:V89,"PWM0_2_N")</f>
        <v>0</v>
      </c>
      <c r="G64" s="38">
        <f>COUNTIF('PF80'!V10:V89,"PWM0_3_N")</f>
        <v>0</v>
      </c>
      <c r="H64" s="38">
        <f>COUNTIF('PF80'!V10:V89,"PWM0_4_N")</f>
        <v>0</v>
      </c>
      <c r="I64" s="38">
        <f>COUNTIF('PF80'!V10:V89,"PWM0_5_N")</f>
        <v>0</v>
      </c>
      <c r="J64" s="38">
        <f>COUNTIF('PF80'!V10:V89,"PWM0_6_N")</f>
        <v>0</v>
      </c>
      <c r="K64" s="38">
        <f>COUNTIF('PF80'!V10:V89,"PWM0_7_N")</f>
        <v>0</v>
      </c>
      <c r="L64" s="38">
        <f>COUNTIF('PF80'!V10:V89,"PWM0_8_N")</f>
        <v>0</v>
      </c>
      <c r="M64" s="38">
        <f>COUNTIF('PF80'!V10:V89,"PWM0_9_N")</f>
        <v>0</v>
      </c>
      <c r="N64" s="38">
        <f>COUNTIF('PF80'!V10:V89,"PWM0_10_N")</f>
        <v>0</v>
      </c>
      <c r="O64" s="38">
        <f>COUNTIF('PF80'!V10:V89,"PWM0_11_N")</f>
        <v>0</v>
      </c>
      <c r="P64" s="38">
        <f>COUNTIF('PF80'!V10:V89,"PWM0_12_N")</f>
        <v>0</v>
      </c>
      <c r="Q64" s="38">
        <f>COUNTIF('PF80'!V10:V89,"PWM0_13_N")</f>
        <v>0</v>
      </c>
      <c r="R64" s="38">
        <f>COUNTIF('PF80'!V10:V89,"PWM0_14_N")</f>
        <v>0</v>
      </c>
      <c r="S64" s="38">
        <f>COUNTIF('PF80'!V10:V89,"PWM0_15_N")</f>
        <v>0</v>
      </c>
      <c r="T64" s="38">
        <f>COUNTIF('PF80'!V10:V89,"PWM0_16_N")</f>
        <v>0</v>
      </c>
      <c r="U64" s="38">
        <f>COUNTIF('PF80'!V10:V89,"PWM0_17_N")</f>
        <v>0</v>
      </c>
      <c r="V64" s="38">
        <f>COUNTIF('PF80'!V10:V89,"PWM0_18_N")</f>
        <v>0</v>
      </c>
      <c r="W64" s="38">
        <f>COUNTIF('PF80'!V10:V89,"PWM0_19_N")</f>
        <v>0</v>
      </c>
      <c r="X64" s="38">
        <f>COUNTIF('PF80'!V10:V89,"PWM0_20_N")</f>
        <v>0</v>
      </c>
      <c r="Y64" s="38">
        <f>COUNTIF('PF80'!V10:V89,"PWM0_21_N")</f>
        <v>0</v>
      </c>
      <c r="Z64" s="38">
        <f>COUNTIF('PF80'!V10:V89,"PWM0_22_N")</f>
        <v>0</v>
      </c>
      <c r="AA64" s="38">
        <f>COUNTIF('PF80'!V10:V89,"PWM0_23_N")</f>
        <v>0</v>
      </c>
      <c r="AB64" s="38">
        <f>COUNTIF('PF80'!V10:V89,"PWM0_24_N")</f>
        <v>0</v>
      </c>
      <c r="AC64" s="38">
        <f>COUNTIF('PF80'!V10:V89,"PWM0_25_N")</f>
        <v>0</v>
      </c>
      <c r="AD64" s="38">
        <f>COUNTIF('PF80'!V10:V89,"PWM0_26_N")</f>
        <v>0</v>
      </c>
      <c r="AE64" s="38">
        <f>COUNTIF('PF80'!V10:V89,"PWM0_27_N")</f>
        <v>0</v>
      </c>
      <c r="AF64" s="38">
        <f>COUNTIF('PF80'!V10:V89,"PWM0_28_N")</f>
        <v>0</v>
      </c>
      <c r="AG64" s="38">
        <f>COUNTIF('PF80'!V10:V89,"PWM0_29_N")</f>
        <v>0</v>
      </c>
      <c r="AH64" s="38">
        <f>COUNTIF('PF80'!V10:V89,"PWM0_30_N")</f>
        <v>0</v>
      </c>
      <c r="AI64" s="38">
        <f>COUNTIF('PF80'!V10:V89,"PWM0_31_N")</f>
        <v>0</v>
      </c>
      <c r="AJ64" s="38">
        <f>COUNTIF('PF80'!V10:V89,"PWM0_32_N")</f>
        <v>0</v>
      </c>
      <c r="AK64" s="38">
        <f>COUNTIF('PF80'!V10:V89,"PWM0_33_N")</f>
        <v>0</v>
      </c>
      <c r="AL64" s="38">
        <f>COUNTIF('PF80'!V10:V89,"PWM0_34_N")</f>
        <v>0</v>
      </c>
      <c r="AM64" s="38">
        <f>COUNTIF('PF80'!V10:V89,"PWM0_35_N")</f>
        <v>0</v>
      </c>
      <c r="AN64" s="38">
        <f>COUNTIF('PF80'!V10:V89,"PWM0_36_N")</f>
        <v>0</v>
      </c>
      <c r="AO64" s="38">
        <f>COUNTIF('PF80'!V10:V89,"PWM0_37_N")</f>
        <v>0</v>
      </c>
      <c r="AP64" s="38">
        <f>COUNTIF('PF80'!V10:V89,"PWM0_38_N")</f>
        <v>0</v>
      </c>
      <c r="AQ64" s="38">
        <f>COUNTIF('PF80'!V10:V89,"PWM0_39_N")</f>
        <v>0</v>
      </c>
      <c r="AR64" s="38">
        <f>COUNTIF('PF80'!V10:V89,"PWM0_40_N")</f>
        <v>0</v>
      </c>
      <c r="AS64" s="38">
        <f>COUNTIF('PF80'!V10:V89,"PWM0_41_N")</f>
        <v>0</v>
      </c>
      <c r="AT64" s="38">
        <f>COUNTIF('PF80'!V10:V89,"PWM0_42_N")</f>
        <v>0</v>
      </c>
      <c r="AU64" s="38">
        <f>COUNTIF('PF80'!V10:V89,"PWM0_43_N")</f>
        <v>0</v>
      </c>
      <c r="AV64" s="38">
        <f>COUNTIF('PF80'!V10:V89,"PWM0_44_N")</f>
        <v>0</v>
      </c>
      <c r="AW64" s="38">
        <f>COUNTIF('PF80'!V10:V89,"PWM0_45_N")</f>
        <v>0</v>
      </c>
      <c r="AX64" s="38">
        <f>COUNTIF('PF80'!V10:V89,"PWM0_46_N")</f>
        <v>0</v>
      </c>
      <c r="AY64" s="38">
        <f>COUNTIF('PF80'!V10:V89,"PWM0_47_N")</f>
        <v>0</v>
      </c>
      <c r="AZ64" s="38">
        <f>COUNTIF('PF80'!V10:V89,"PWM0_48_N")</f>
        <v>0</v>
      </c>
      <c r="BA64" s="38">
        <f>COUNTIF('PF80'!V10:V89,"PWM0_49_N")</f>
        <v>0</v>
      </c>
      <c r="BB64" s="38">
        <f>COUNTIF('PF80'!V10:V89,"PWM0_50_N")</f>
        <v>0</v>
      </c>
      <c r="BC64" s="38">
        <f>COUNTIF('PF80'!V10:V89,"PWM0_51_N")</f>
        <v>0</v>
      </c>
      <c r="BD64" s="38">
        <f>COUNTIF('PF80'!V10:V89,"PWM0_52_N")</f>
        <v>0</v>
      </c>
      <c r="BE64" s="38">
        <f>COUNTIF('PF80'!V10:V89,"PWM0_53_N")</f>
        <v>0</v>
      </c>
      <c r="BF64" s="38">
        <f>COUNTIF('PF80'!V10:V89,"PWM0_54_N")</f>
        <v>0</v>
      </c>
      <c r="BG64" s="38">
        <f>COUNTIF('PF80'!V10:V89,"PWM0_55_N")</f>
        <v>0</v>
      </c>
      <c r="BH64" s="38">
        <f>COUNTIF('PF80'!V10:V89,"PWM0_56_N")</f>
        <v>0</v>
      </c>
      <c r="BI64" s="38">
        <f>COUNTIF('PF80'!V10:V89,"PWM0_57_N")</f>
        <v>0</v>
      </c>
      <c r="BJ64" s="38">
        <f>COUNTIF('PF80'!V10:V89,"PWM0_58_N")</f>
        <v>0</v>
      </c>
      <c r="BK64" s="38">
        <f>COUNTIF('PF80'!V10:V89,"PWM0_59_N")</f>
        <v>0</v>
      </c>
      <c r="BL64" s="38">
        <f>COUNTIF('PF80'!V10:V89,"PWM0_60_N")</f>
        <v>0</v>
      </c>
      <c r="BM64" s="38">
        <f>COUNTIF('PF80'!V10:V89,"PWM0_61_N")</f>
        <v>0</v>
      </c>
      <c r="BN64" s="38">
        <f>COUNTIF('PF80'!V10:V89,"PWM0_62_N")</f>
        <v>0</v>
      </c>
    </row>
    <row r="65" spans="2:66" x14ac:dyDescent="0.55000000000000004">
      <c r="B65" s="126" t="s">
        <v>418</v>
      </c>
      <c r="C65" s="38" t="s">
        <v>410</v>
      </c>
      <c r="D65" s="38">
        <f>COUNTIF('PF80'!V10:V89,"TC0_0_TR0")</f>
        <v>0</v>
      </c>
      <c r="E65" s="38">
        <f>COUNTIF('PF80'!V10:V89,"TC0_1_TR0")</f>
        <v>0</v>
      </c>
      <c r="F65" s="38">
        <f>COUNTIF('PF80'!V10:V89,"TC0_2_TR0")</f>
        <v>0</v>
      </c>
      <c r="G65" s="38">
        <f>COUNTIF('PF80'!V10:V89,"TC0_3_TR0")</f>
        <v>0</v>
      </c>
      <c r="H65" s="38">
        <f>COUNTIF('PF80'!V10:V89,"TC0_4_TR0")</f>
        <v>0</v>
      </c>
      <c r="I65" s="38">
        <f>COUNTIF('PF80'!V10:V89,"TC0_5_TR0")</f>
        <v>0</v>
      </c>
      <c r="J65" s="38">
        <f>COUNTIF('PF80'!V10:V89,"TC0_6_TR0")</f>
        <v>0</v>
      </c>
      <c r="K65" s="38">
        <f>COUNTIF('PF80'!V10:V89,"TC0_7_TR0")</f>
        <v>0</v>
      </c>
      <c r="L65" s="38">
        <f>COUNTIF('PF80'!V10:V89,"TC0_8_TR0")</f>
        <v>0</v>
      </c>
      <c r="M65" s="38">
        <f>COUNTIF('PF80'!V10:V89,"TC0_9_TR0")</f>
        <v>0</v>
      </c>
      <c r="N65" s="38">
        <f>COUNTIF('PF80'!V10:V89,"TC0_10_TR0")</f>
        <v>0</v>
      </c>
      <c r="O65" s="38">
        <f>COUNTIF('PF80'!V10:V89,"TC0_11_TR0")</f>
        <v>0</v>
      </c>
      <c r="P65" s="38">
        <f>COUNTIF('PF80'!V10:V89,"TC0_12_TR0")</f>
        <v>0</v>
      </c>
      <c r="Q65" s="38">
        <f>COUNTIF('PF80'!V10:V89,"TC0_13_TR0")</f>
        <v>0</v>
      </c>
      <c r="R65" s="38">
        <f>COUNTIF('PF80'!V10:V89,"TC0_14_TR0")</f>
        <v>0</v>
      </c>
      <c r="S65" s="38">
        <f>COUNTIF('PF80'!V10:V89,"TC0_15_TR0")</f>
        <v>0</v>
      </c>
      <c r="T65" s="38">
        <f>COUNTIF('PF80'!V10:V89,"TC0_16_TR0")</f>
        <v>0</v>
      </c>
      <c r="U65" s="38">
        <f>COUNTIF('PF80'!V10:V89,"TC0_17_TR0")</f>
        <v>0</v>
      </c>
      <c r="V65" s="38">
        <f>COUNTIF('PF80'!V10:V89,"TC0_18_TR0")</f>
        <v>0</v>
      </c>
      <c r="W65" s="38">
        <f>COUNTIF('PF80'!V10:V89,"TC0_19_TR0")</f>
        <v>0</v>
      </c>
      <c r="X65" s="38">
        <f>COUNTIF('PF80'!V10:V89,"TC0_20_TR0")</f>
        <v>0</v>
      </c>
      <c r="Y65" s="38">
        <f>COUNTIF('PF80'!V10:V89,"TC0_21_TR0")</f>
        <v>0</v>
      </c>
      <c r="Z65" s="38">
        <f>COUNTIF('PF80'!V10:V89,"TC0_22_TR0")</f>
        <v>0</v>
      </c>
      <c r="AA65" s="38">
        <f>COUNTIF('PF80'!V10:V89,"TC0_23_TR0")</f>
        <v>0</v>
      </c>
      <c r="AB65" s="38">
        <f>COUNTIF('PF80'!V10:V89,"TC0_24_TR0")</f>
        <v>0</v>
      </c>
      <c r="AC65" s="38">
        <f>COUNTIF('PF80'!V10:V89,"TC0_25_TR0")</f>
        <v>0</v>
      </c>
      <c r="AD65" s="38">
        <f>COUNTIF('PF80'!V10:V89,"TC0_26_TR0")</f>
        <v>0</v>
      </c>
      <c r="AE65" s="38">
        <f>COUNTIF('PF80'!V10:V89,"TC0_27_TR0")</f>
        <v>0</v>
      </c>
      <c r="AF65" s="38">
        <f>COUNTIF('PF80'!V10:V89,"TC0_28_TR0")</f>
        <v>0</v>
      </c>
      <c r="AG65" s="38">
        <f>COUNTIF('PF80'!V10:V89,"TC0_29_TR0")</f>
        <v>0</v>
      </c>
      <c r="AH65" s="38">
        <f>COUNTIF('PF80'!V10:V89,"TC0_30_TR0")</f>
        <v>0</v>
      </c>
      <c r="AI65" s="38">
        <f>COUNTIF('PF80'!V10:V89,"TC0_31_TR0")</f>
        <v>0</v>
      </c>
      <c r="AJ65" s="38">
        <f>COUNTIF('PF80'!V10:V89,"TC0_32_TR0")</f>
        <v>0</v>
      </c>
      <c r="AK65" s="38">
        <f>COUNTIF('PF80'!V10:V89,"TC0_33_TR0")</f>
        <v>0</v>
      </c>
      <c r="AL65" s="38">
        <f>COUNTIF('PF80'!V10:V89,"TC0_34_TR0")</f>
        <v>0</v>
      </c>
      <c r="AM65" s="38">
        <f>COUNTIF('PF80'!V10:V89,"TC0_35_TR0")</f>
        <v>0</v>
      </c>
      <c r="AN65" s="38">
        <f>COUNTIF('PF80'!V10:V89,"TC0_36_TR0")</f>
        <v>0</v>
      </c>
      <c r="AO65" s="38">
        <f>COUNTIF('PF80'!V10:V89,"TC0_37_TR0")</f>
        <v>0</v>
      </c>
      <c r="AP65" s="38">
        <f>COUNTIF('PF80'!V10:V89,"TC0_38_TR0")</f>
        <v>0</v>
      </c>
      <c r="AQ65" s="38">
        <f>COUNTIF('PF80'!V10:V89,"TC0_39_TR0")</f>
        <v>0</v>
      </c>
      <c r="AR65" s="38">
        <f>COUNTIF('PF80'!V10:V89,"TC0_40_TR0")</f>
        <v>0</v>
      </c>
      <c r="AS65" s="38">
        <f>COUNTIF('PF80'!V10:V89,"TC0_41_TR0")</f>
        <v>0</v>
      </c>
      <c r="AT65" s="38">
        <f>COUNTIF('PF80'!V10:V89,"TC0_42_TR0")</f>
        <v>0</v>
      </c>
      <c r="AU65" s="38">
        <f>COUNTIF('PF80'!V10:V89,"TC0_43_TR0")</f>
        <v>0</v>
      </c>
      <c r="AV65" s="38">
        <f>COUNTIF('PF80'!V10:V89,"TC0_44_TR0")</f>
        <v>0</v>
      </c>
      <c r="AW65" s="38">
        <f>COUNTIF('PF80'!V10:V89,"TC0_45_TR0")</f>
        <v>0</v>
      </c>
      <c r="AX65" s="38">
        <f>COUNTIF('PF80'!V10:V89,"TC0_46_TR0")</f>
        <v>0</v>
      </c>
      <c r="AY65" s="38">
        <f>COUNTIF('PF80'!V10:V89,"TC0_47_TR0")</f>
        <v>0</v>
      </c>
      <c r="AZ65" s="38">
        <f>COUNTIF('PF80'!V10:V89,"TC0_48_TR0")</f>
        <v>0</v>
      </c>
      <c r="BA65" s="38">
        <f>COUNTIF('PF80'!V10:V89,"TC0_49_TR0")</f>
        <v>0</v>
      </c>
      <c r="BB65" s="38">
        <f>COUNTIF('PF80'!V10:V89,"TC0_50_TR0")</f>
        <v>0</v>
      </c>
      <c r="BC65" s="38">
        <f>COUNTIF('PF80'!V10:V89,"TC0_51_TR0")</f>
        <v>0</v>
      </c>
      <c r="BD65" s="38">
        <f>COUNTIF('PF80'!V10:V89,"TC0_52_TR0")</f>
        <v>0</v>
      </c>
      <c r="BE65" s="38">
        <f>COUNTIF('PF80'!V10:V89,"TC0_53_TR0")</f>
        <v>0</v>
      </c>
      <c r="BF65" s="38">
        <f>COUNTIF('PF80'!V10:V89,"TC0_54_TR0")</f>
        <v>0</v>
      </c>
      <c r="BG65" s="38">
        <f>COUNTIF('PF80'!V10:V89,"TC0_55_TR0")</f>
        <v>0</v>
      </c>
      <c r="BH65" s="38">
        <f>COUNTIF('PF80'!V10:V89,"TC0_56_TR0")</f>
        <v>0</v>
      </c>
      <c r="BI65" s="38">
        <f>COUNTIF('PF80'!V10:V89,"TC0_57_TR0")</f>
        <v>0</v>
      </c>
      <c r="BJ65" s="38">
        <f>COUNTIF('PF80'!V10:V89,"TC0_58_TR0")</f>
        <v>0</v>
      </c>
      <c r="BK65" s="38">
        <f>COUNTIF('PF80'!V10:V89,"TC0_59_TR0")</f>
        <v>0</v>
      </c>
      <c r="BL65" s="38">
        <f>COUNTIF('PF80'!V10:V89,"TC0_60_TR0")</f>
        <v>0</v>
      </c>
      <c r="BM65" s="38">
        <f>COUNTIF('PF80'!V10:V89,"TC0_61_TR0")</f>
        <v>0</v>
      </c>
      <c r="BN65" s="38">
        <f>COUNTIF('PF80'!V10:V89,"TC0_62_TR0")</f>
        <v>0</v>
      </c>
    </row>
    <row r="66" spans="2:66" x14ac:dyDescent="0.55000000000000004">
      <c r="B66" s="127"/>
      <c r="C66" s="38" t="s">
        <v>411</v>
      </c>
      <c r="D66" s="38">
        <f>COUNTIF('PF80'!V10:V89,"TC0_0_TR1")</f>
        <v>0</v>
      </c>
      <c r="E66" s="38">
        <f>COUNTIF('PF80'!V10:V89,"TC0_1_TR1")</f>
        <v>0</v>
      </c>
      <c r="F66" s="38">
        <f>COUNTIF('PF80'!V10:V89,"TC0_2_TR1")</f>
        <v>0</v>
      </c>
      <c r="G66" s="38">
        <f>COUNTIF('PF80'!V10:V89,"TC0_3_TR1")</f>
        <v>0</v>
      </c>
      <c r="H66" s="38">
        <f>COUNTIF('PF80'!V10:V89,"TC0_4_TR1")</f>
        <v>0</v>
      </c>
      <c r="I66" s="38">
        <f>COUNTIF('PF80'!V10:V89,"TC0_5_TR1")</f>
        <v>0</v>
      </c>
      <c r="J66" s="38">
        <f>COUNTIF('PF80'!V10:V89,"TC0_6_TR1")</f>
        <v>0</v>
      </c>
      <c r="K66" s="38">
        <f>COUNTIF('PF80'!V10:V89,"TC0_7_TR1")</f>
        <v>0</v>
      </c>
      <c r="L66" s="38">
        <f>COUNTIF('PF80'!V10:V89,"TC0_8_TR1")</f>
        <v>0</v>
      </c>
      <c r="M66" s="38">
        <f>COUNTIF('PF80'!V10:V89,"TC0_9_TR1")</f>
        <v>0</v>
      </c>
      <c r="N66" s="38">
        <f>COUNTIF('PF80'!V10:V89,"TC0_10_TR1")</f>
        <v>0</v>
      </c>
      <c r="O66" s="38">
        <f>COUNTIF('PF80'!V10:V89,"TC0_11_TR1")</f>
        <v>0</v>
      </c>
      <c r="P66" s="38">
        <f>COUNTIF('PF80'!V10:V89,"TC0_12_TR1")</f>
        <v>0</v>
      </c>
      <c r="Q66" s="38">
        <f>COUNTIF('PF80'!V10:V89,"TC0_13_TR1")</f>
        <v>0</v>
      </c>
      <c r="R66" s="38">
        <f>COUNTIF('PF80'!V10:V89,"TC0_14_TR1")</f>
        <v>0</v>
      </c>
      <c r="S66" s="38">
        <f>COUNTIF('PF80'!V10:V89,"TC0_15_TR1")</f>
        <v>0</v>
      </c>
      <c r="T66" s="38">
        <f>COUNTIF('PF80'!V10:V89,"TC0_16_TR1")</f>
        <v>0</v>
      </c>
      <c r="U66" s="38">
        <f>COUNTIF('PF80'!V10:V89,"TC0_17_TR1")</f>
        <v>0</v>
      </c>
      <c r="V66" s="38">
        <f>COUNTIF('PF80'!V10:V89,"TC0_18_TR1")</f>
        <v>0</v>
      </c>
      <c r="W66" s="38">
        <f>COUNTIF('PF80'!V10:V89,"TC0_19_TR1")</f>
        <v>0</v>
      </c>
      <c r="X66" s="38">
        <f>COUNTIF('PF80'!V10:V89,"TC0_20_TR1")</f>
        <v>0</v>
      </c>
      <c r="Y66" s="38">
        <f>COUNTIF('PF80'!V10:V89,"TC0_21_TR1")</f>
        <v>0</v>
      </c>
      <c r="Z66" s="38">
        <f>COUNTIF('PF80'!V10:V89,"TC0_22_TR1")</f>
        <v>0</v>
      </c>
      <c r="AA66" s="38">
        <f>COUNTIF('PF80'!V10:V89,"TC0_23_TR1")</f>
        <v>0</v>
      </c>
      <c r="AB66" s="38">
        <f>COUNTIF('PF80'!V10:V89,"TC0_24_TR1")</f>
        <v>0</v>
      </c>
      <c r="AC66" s="38">
        <f>COUNTIF('PF80'!V10:V89,"TC0_25_TR1")</f>
        <v>0</v>
      </c>
      <c r="AD66" s="38">
        <f>COUNTIF('PF80'!V10:V89,"TC0_26_TR1")</f>
        <v>0</v>
      </c>
      <c r="AE66" s="38">
        <f>COUNTIF('PF80'!V10:V89,"TC0_27_TR1")</f>
        <v>0</v>
      </c>
      <c r="AF66" s="38">
        <f>COUNTIF('PF80'!V10:V89,"TC0_28_TR1")</f>
        <v>0</v>
      </c>
      <c r="AG66" s="38">
        <f>COUNTIF('PF80'!V10:V89,"TC0_29_TR1")</f>
        <v>0</v>
      </c>
      <c r="AH66" s="38">
        <f>COUNTIF('PF80'!V10:V89,"TC0_30_TR1")</f>
        <v>0</v>
      </c>
      <c r="AI66" s="38">
        <f>COUNTIF('PF80'!V10:V89,"TC0_31_TR1")</f>
        <v>0</v>
      </c>
      <c r="AJ66" s="38">
        <f>COUNTIF('PF80'!V10:V89,"TC0_32_TR1")</f>
        <v>0</v>
      </c>
      <c r="AK66" s="38">
        <f>COUNTIF('PF80'!V10:V89,"TC0_33_TR1")</f>
        <v>0</v>
      </c>
      <c r="AL66" s="38">
        <f>COUNTIF('PF80'!V10:V89,"TC0_34_TR1")</f>
        <v>0</v>
      </c>
      <c r="AM66" s="38">
        <f>COUNTIF('PF80'!V10:V89,"TC0_35_TR1")</f>
        <v>0</v>
      </c>
      <c r="AN66" s="38">
        <f>COUNTIF('PF80'!V10:V89,"TC0_36_TR1")</f>
        <v>0</v>
      </c>
      <c r="AO66" s="38">
        <f>COUNTIF('PF80'!V10:V89,"TC0_37_TR1")</f>
        <v>0</v>
      </c>
      <c r="AP66" s="38">
        <f>COUNTIF('PF80'!V10:V89,"TC0_38_TR1")</f>
        <v>0</v>
      </c>
      <c r="AQ66" s="38">
        <f>COUNTIF('PF80'!V10:V89,"TC0_39_TR1")</f>
        <v>0</v>
      </c>
      <c r="AR66" s="38">
        <f>COUNTIF('PF80'!V10:V89,"TC0_40_TR1")</f>
        <v>0</v>
      </c>
      <c r="AS66" s="38">
        <f>COUNTIF('PF80'!V10:V89,"TC0_41_TR1")</f>
        <v>0</v>
      </c>
      <c r="AT66" s="38">
        <f>COUNTIF('PF80'!V10:V89,"TC0_42_TR1")</f>
        <v>0</v>
      </c>
      <c r="AU66" s="38">
        <f>COUNTIF('PF80'!V10:V89,"TC0_43_TR1")</f>
        <v>0</v>
      </c>
      <c r="AV66" s="38">
        <f>COUNTIF('PF80'!V10:V89,"TC0_44_TR1")</f>
        <v>0</v>
      </c>
      <c r="AW66" s="38">
        <f>COUNTIF('PF80'!V10:V89,"TC0_45_TR1")</f>
        <v>0</v>
      </c>
      <c r="AX66" s="38">
        <f>COUNTIF('PF80'!V10:V89,"TC0_46_TR1")</f>
        <v>0</v>
      </c>
      <c r="AY66" s="38">
        <f>COUNTIF('PF80'!V10:V89,"TC0_47_TR1")</f>
        <v>0</v>
      </c>
      <c r="AZ66" s="38">
        <f>COUNTIF('PF80'!V10:V89,"TC0_48_TR1")</f>
        <v>0</v>
      </c>
      <c r="BA66" s="38">
        <f>COUNTIF('PF80'!V10:V89,"TC0_49_TR1")</f>
        <v>0</v>
      </c>
      <c r="BB66" s="38">
        <f>COUNTIF('PF80'!V10:V89,"TC0_50_TR1")</f>
        <v>0</v>
      </c>
      <c r="BC66" s="38">
        <f>COUNTIF('PF80'!V10:V89,"TC0_51_TR1")</f>
        <v>0</v>
      </c>
      <c r="BD66" s="38">
        <f>COUNTIF('PF80'!V10:V89,"TC0_52_TR1")</f>
        <v>0</v>
      </c>
      <c r="BE66" s="38">
        <f>COUNTIF('PF80'!V10:V89,"TC0_53_TR1")</f>
        <v>0</v>
      </c>
      <c r="BF66" s="38">
        <f>COUNTIF('PF80'!V10:V89,"TC0_54_TR1")</f>
        <v>0</v>
      </c>
      <c r="BG66" s="38">
        <f>COUNTIF('PF80'!V10:V89,"TC0_55_TR1")</f>
        <v>0</v>
      </c>
      <c r="BH66" s="38">
        <f>COUNTIF('PF80'!V10:V89,"TC0_56_TR1")</f>
        <v>0</v>
      </c>
      <c r="BI66" s="38">
        <f>COUNTIF('PF80'!V10:V89,"TC0_57_TR1")</f>
        <v>0</v>
      </c>
      <c r="BJ66" s="38">
        <f>COUNTIF('PF80'!V10:V89,"TC0_58_TR1")</f>
        <v>0</v>
      </c>
      <c r="BK66" s="38">
        <f>COUNTIF('PF80'!V10:V89,"TC0_59_TR1")</f>
        <v>0</v>
      </c>
      <c r="BL66" s="38">
        <f>COUNTIF('PF80'!V10:V89,"TC0_60_TR1")</f>
        <v>0</v>
      </c>
      <c r="BM66" s="38">
        <f>COUNTIF('PF80'!V10:V89,"TC0_61_TR1")</f>
        <v>0</v>
      </c>
      <c r="BN66" s="38">
        <f>COUNTIF('PF80'!V10:V89,"TC0_62_TR1")</f>
        <v>0</v>
      </c>
    </row>
    <row r="68" spans="2:66" x14ac:dyDescent="0.55000000000000004">
      <c r="B68" s="128" t="s">
        <v>1221</v>
      </c>
      <c r="C68" s="129"/>
      <c r="D68" s="37" t="s">
        <v>420</v>
      </c>
      <c r="E68" s="37" t="s">
        <v>421</v>
      </c>
      <c r="F68" s="37" t="s">
        <v>422</v>
      </c>
      <c r="G68" s="37" t="s">
        <v>423</v>
      </c>
      <c r="H68" s="37" t="s">
        <v>424</v>
      </c>
      <c r="I68" s="37" t="s">
        <v>425</v>
      </c>
      <c r="J68" s="37" t="s">
        <v>426</v>
      </c>
      <c r="K68" s="37" t="s">
        <v>427</v>
      </c>
      <c r="L68" s="37" t="s">
        <v>428</v>
      </c>
      <c r="M68" s="37" t="s">
        <v>429</v>
      </c>
      <c r="N68" s="37" t="s">
        <v>431</v>
      </c>
      <c r="O68" s="37" t="s">
        <v>432</v>
      </c>
      <c r="P68" s="60"/>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row>
    <row r="69" spans="2:66" x14ac:dyDescent="0.55000000000000004">
      <c r="B69" s="126" t="s">
        <v>417</v>
      </c>
      <c r="C69" s="38" t="s">
        <v>409</v>
      </c>
      <c r="D69" s="38">
        <f>COUNTIF('PF80'!V10:V89,"PWM0_M_0")</f>
        <v>0</v>
      </c>
      <c r="E69" s="38">
        <f>COUNTIF('PF80'!V10:V89,"PWM0_M_1")</f>
        <v>0</v>
      </c>
      <c r="F69" s="38">
        <f>COUNTIF('PF80'!V10:V89,"PWM0_M_2")</f>
        <v>0</v>
      </c>
      <c r="G69" s="38">
        <f>COUNTIF('PF80'!V10:V89,"PWM0_M_3")</f>
        <v>0</v>
      </c>
      <c r="H69" s="38">
        <f>COUNTIF('PF80'!V10:V89,"PWM0_M_4")</f>
        <v>0</v>
      </c>
      <c r="I69" s="38">
        <f>COUNTIF('PF80'!V10:V89,"PWM0_M_5")</f>
        <v>0</v>
      </c>
      <c r="J69" s="38">
        <f>COUNTIF('PF80'!V10:V89,"PWM0_M_6")</f>
        <v>0</v>
      </c>
      <c r="K69" s="38">
        <f>COUNTIF('PF80'!V10:V89,"PWM0_M_7")</f>
        <v>0</v>
      </c>
      <c r="L69" s="38">
        <f>COUNTIF('PF80'!V10:V89,"PWM0_M_8")</f>
        <v>0</v>
      </c>
      <c r="M69" s="38">
        <f>COUNTIF('PF80'!V10:V89,"PWM0_M_9")</f>
        <v>0</v>
      </c>
      <c r="N69" s="38">
        <f>COUNTIF('PF80'!V10:V89,"PWM0_M_10")</f>
        <v>0</v>
      </c>
      <c r="O69" s="38">
        <f>COUNTIF('PF80'!V10:V89,"PWM0_M_11")</f>
        <v>0</v>
      </c>
      <c r="P69" s="61"/>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row>
    <row r="70" spans="2:66" x14ac:dyDescent="0.55000000000000004">
      <c r="B70" s="127"/>
      <c r="C70" s="38" t="s">
        <v>1219</v>
      </c>
      <c r="D70" s="38">
        <f>COUNTIF('PF80'!V10:V89,"PWM0_M_0_N")</f>
        <v>0</v>
      </c>
      <c r="E70" s="38">
        <f>COUNTIF('PF80'!V10:V89,"PWM0_M_1_N")</f>
        <v>0</v>
      </c>
      <c r="F70" s="38">
        <f>COUNTIF('PF80'!V10:V89,"PWM0_M_2_N")</f>
        <v>0</v>
      </c>
      <c r="G70" s="38">
        <f>COUNTIF('PF80'!V10:V89,"PWM0_M_3_N")</f>
        <v>0</v>
      </c>
      <c r="H70" s="38">
        <f>COUNTIF('PF80'!V10:V89,"PWM0_M_4_N")</f>
        <v>0</v>
      </c>
      <c r="I70" s="38">
        <f>COUNTIF('PF80'!V10:V89,"PWM0_M_5_N")</f>
        <v>0</v>
      </c>
      <c r="J70" s="38">
        <f>COUNTIF('PF80'!V10:V89,"PWM0_M_6_N")</f>
        <v>0</v>
      </c>
      <c r="K70" s="38">
        <f>COUNTIF('PF80'!V10:V89,"PWM0_M_7_N")</f>
        <v>0</v>
      </c>
      <c r="L70" s="38">
        <f>COUNTIF('PF80'!V10:V89,"PWM0_M_8_N")</f>
        <v>0</v>
      </c>
      <c r="M70" s="38">
        <f>COUNTIF('PF80'!V10:V89,"PWM0_M_9_N")</f>
        <v>0</v>
      </c>
      <c r="N70" s="38">
        <f>COUNTIF('PF80'!V10:V89,"PWM0_M_10_N")</f>
        <v>0</v>
      </c>
      <c r="O70" s="38">
        <f>COUNTIF('PF80'!V10:V89,"PWM0_M_11_N")</f>
        <v>0</v>
      </c>
      <c r="P70" s="61"/>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row>
    <row r="71" spans="2:66" x14ac:dyDescent="0.55000000000000004">
      <c r="B71" s="126" t="s">
        <v>418</v>
      </c>
      <c r="C71" s="38" t="s">
        <v>410</v>
      </c>
      <c r="D71" s="38">
        <f>COUNTIF('PF80'!V10:V89,"TC0_M_0_TR0")</f>
        <v>0</v>
      </c>
      <c r="E71" s="38">
        <f>COUNTIF('PF80'!V10:V89,"TC0_M_1_TR0")</f>
        <v>0</v>
      </c>
      <c r="F71" s="38">
        <f>COUNTIF('PF80'!V10:V89,"TC0_M_2_TR0")</f>
        <v>0</v>
      </c>
      <c r="G71" s="38">
        <f>COUNTIF('PF80'!V10:V89,"TC0_M_3_TR0")</f>
        <v>0</v>
      </c>
      <c r="H71" s="38">
        <f>COUNTIF('PF80'!V10:V89,"TC0_M_4_TR0")</f>
        <v>0</v>
      </c>
      <c r="I71" s="38">
        <f>COUNTIF('PF80'!V10:V89,"TC0_M_5_TR0")</f>
        <v>0</v>
      </c>
      <c r="J71" s="38">
        <f>COUNTIF('PF80'!V10:V89,"TC0_M_6_TR0")</f>
        <v>0</v>
      </c>
      <c r="K71" s="38">
        <f>COUNTIF('PF80'!V10:V89,"TC0_M_7_TR0")</f>
        <v>0</v>
      </c>
      <c r="L71" s="38">
        <f>COUNTIF('PF80'!V10:V89,"TC0_M_8_TR0")</f>
        <v>0</v>
      </c>
      <c r="M71" s="38">
        <f>COUNTIF('PF80'!V10:V89,"TC0_M_9_TR0")</f>
        <v>0</v>
      </c>
      <c r="N71" s="38">
        <f>COUNTIF('PF80'!V10:V89,"TC0_M_10_TR0")</f>
        <v>0</v>
      </c>
      <c r="O71" s="38">
        <f>COUNTIF('PF80'!V10:V89,"TC0_M_11_TR0")</f>
        <v>0</v>
      </c>
      <c r="P71" s="61"/>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row>
    <row r="72" spans="2:66" x14ac:dyDescent="0.55000000000000004">
      <c r="B72" s="127"/>
      <c r="C72" s="38" t="s">
        <v>411</v>
      </c>
      <c r="D72" s="38">
        <f>COUNTIF('PF80'!V10:V89,"TC0_M_0_TR1")</f>
        <v>0</v>
      </c>
      <c r="E72" s="38">
        <f>COUNTIF('PF80'!V10:V89,"TC0_M_1_TR1")</f>
        <v>0</v>
      </c>
      <c r="F72" s="38">
        <f>COUNTIF('PF80'!V10:V89,"TC0_M_2_TR1")</f>
        <v>0</v>
      </c>
      <c r="G72" s="38">
        <f>COUNTIF('PF80'!V10:V89,"TC0_M_3_TR1")</f>
        <v>0</v>
      </c>
      <c r="H72" s="38">
        <f>COUNTIF('PF80'!V10:V89,"TC0_M_4_TR1")</f>
        <v>0</v>
      </c>
      <c r="I72" s="38">
        <f>COUNTIF('PF80'!V10:V89,"TC0_M_5_TR1")</f>
        <v>0</v>
      </c>
      <c r="J72" s="38">
        <f>COUNTIF('PF80'!V10:V89,"TC0_M_6_TR1")</f>
        <v>0</v>
      </c>
      <c r="K72" s="38">
        <f>COUNTIF('PF80'!V10:V89,"TC0_M_7_TR1")</f>
        <v>0</v>
      </c>
      <c r="L72" s="38">
        <f>COUNTIF('PF80'!V10:V89,"TC0_M_8_TR1")</f>
        <v>0</v>
      </c>
      <c r="M72" s="38">
        <f>COUNTIF('PF80'!V10:V89,"TC0_M_9_TR1")</f>
        <v>0</v>
      </c>
      <c r="N72" s="38">
        <f>COUNTIF('PF80'!V10:V89,"TC0_M_10_TR1")</f>
        <v>0</v>
      </c>
      <c r="O72" s="38">
        <f>COUNTIF('PF80'!V10:V89,"TC0_M_11_TR1")</f>
        <v>0</v>
      </c>
      <c r="P72" s="61"/>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row>
    <row r="73" spans="2:66" x14ac:dyDescent="0.55000000000000004">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row>
    <row r="74" spans="2:66" x14ac:dyDescent="0.55000000000000004">
      <c r="B74" s="128" t="s">
        <v>1220</v>
      </c>
      <c r="C74" s="129"/>
      <c r="D74" s="37" t="s">
        <v>420</v>
      </c>
      <c r="E74" s="37" t="s">
        <v>421</v>
      </c>
      <c r="F74" s="37" t="s">
        <v>422</v>
      </c>
      <c r="G74" s="37" t="s">
        <v>423</v>
      </c>
      <c r="H74" s="37" t="s">
        <v>424</v>
      </c>
      <c r="I74" s="37" t="s">
        <v>425</v>
      </c>
      <c r="J74" s="37" t="s">
        <v>426</v>
      </c>
      <c r="K74" s="37" t="s">
        <v>427</v>
      </c>
      <c r="Q74" s="40"/>
      <c r="R74" s="40"/>
      <c r="S74" s="40"/>
      <c r="T74" s="40"/>
      <c r="U74" s="40"/>
      <c r="V74" s="40"/>
      <c r="W74" s="40"/>
      <c r="X74" s="40"/>
      <c r="Y74" s="40"/>
      <c r="Z74" s="40"/>
      <c r="AA74" s="40"/>
      <c r="AB74" s="40"/>
      <c r="AC74" s="40"/>
      <c r="AD74" s="40"/>
      <c r="AE74" s="40"/>
      <c r="AF74" s="40"/>
      <c r="AG74" s="40"/>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row>
    <row r="75" spans="2:66" x14ac:dyDescent="0.55000000000000004">
      <c r="B75" s="126" t="s">
        <v>417</v>
      </c>
      <c r="C75" s="38" t="s">
        <v>409</v>
      </c>
      <c r="D75" s="38">
        <f>COUNTIF('PF80'!V10:V89,"PWM0_H_0")</f>
        <v>0</v>
      </c>
      <c r="E75" s="38">
        <f>COUNTIF('PF80'!V10:V89,"PWM0_H_1")</f>
        <v>0</v>
      </c>
      <c r="F75" s="38">
        <f>COUNTIF('PF80'!V10:V89,"PWM0_H_2")</f>
        <v>0</v>
      </c>
      <c r="G75" s="38">
        <f>COUNTIF('PF80'!V10:V89,"PWM0_H_3")</f>
        <v>0</v>
      </c>
      <c r="H75" s="38">
        <f>COUNTIF('PF80'!V10:V89,"PWM0_H_4")</f>
        <v>0</v>
      </c>
      <c r="I75" s="38">
        <f>COUNTIF('PF80'!V10:V89,"PWM0_H_5")</f>
        <v>0</v>
      </c>
      <c r="J75" s="38">
        <f>COUNTIF('PF80'!V10:V89,"PWM0_H_6")</f>
        <v>0</v>
      </c>
      <c r="K75" s="38">
        <f>COUNTIF('PF80'!V10:V89,"PWM0_H_7")</f>
        <v>0</v>
      </c>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row>
    <row r="76" spans="2:66" x14ac:dyDescent="0.55000000000000004">
      <c r="B76" s="127"/>
      <c r="C76" s="38" t="s">
        <v>1219</v>
      </c>
      <c r="D76" s="38">
        <f>COUNTIF('PF80'!V10:V89,"PWM0_H_0_N")</f>
        <v>0</v>
      </c>
      <c r="E76" s="38">
        <f>COUNTIF('PF80'!V10:V89,"PWM0_H_1_N")</f>
        <v>0</v>
      </c>
      <c r="F76" s="38">
        <f>COUNTIF('PF80'!V10:V89,"PWM0_H_2_N")</f>
        <v>0</v>
      </c>
      <c r="G76" s="38">
        <f>COUNTIF('PF80'!V10:V89,"PWM0_H_3_N")</f>
        <v>0</v>
      </c>
      <c r="H76" s="38">
        <f>COUNTIF('PF80'!V10:V89,"PWM0_H_4_N")</f>
        <v>0</v>
      </c>
      <c r="I76" s="38">
        <f>COUNTIF('PF80'!V10:V89,"PWM0_H_5_N")</f>
        <v>0</v>
      </c>
      <c r="J76" s="38">
        <f>COUNTIF('PF80'!V10:V89,"PWM0_H_6_N")</f>
        <v>0</v>
      </c>
      <c r="K76" s="38">
        <f>COUNTIF('PF80'!V10:V89,"PWM0_H_7_N")</f>
        <v>0</v>
      </c>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row>
    <row r="77" spans="2:66" x14ac:dyDescent="0.55000000000000004">
      <c r="B77" s="126" t="s">
        <v>418</v>
      </c>
      <c r="C77" s="38" t="s">
        <v>410</v>
      </c>
      <c r="D77" s="38">
        <f>COUNTIF('PF80'!V10:V89,"TC0_H_0_TR0")</f>
        <v>0</v>
      </c>
      <c r="E77" s="38">
        <f>COUNTIF('PF80'!V10:V89,"TC0_H_1_TR0")</f>
        <v>0</v>
      </c>
      <c r="F77" s="38">
        <f>COUNTIF('PF80'!V10:V89,"TC0_H_2_TR0")</f>
        <v>0</v>
      </c>
      <c r="G77" s="38">
        <f>COUNTIF('PF80'!V10:V89,"TC0_H_3_TR0")</f>
        <v>0</v>
      </c>
      <c r="H77" s="38">
        <f>COUNTIF('PF80'!V10:V89,"TC0_H_4_TR0")</f>
        <v>0</v>
      </c>
      <c r="I77" s="38">
        <f>COUNTIF('PF80'!V10:V89,"TC0_H_5_TR0")</f>
        <v>0</v>
      </c>
      <c r="J77" s="38">
        <f>COUNTIF('PF80'!V10:V89,"TC0_H_6_TR0")</f>
        <v>0</v>
      </c>
      <c r="K77" s="38">
        <f>COUNTIF('PF80'!V10:V89,"TC0_H_7_TR0")</f>
        <v>0</v>
      </c>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row>
    <row r="78" spans="2:66" x14ac:dyDescent="0.55000000000000004">
      <c r="B78" s="127"/>
      <c r="C78" s="38" t="s">
        <v>411</v>
      </c>
      <c r="D78" s="38">
        <f>COUNTIF('PF80'!V10:V89,"TC0_H_0_TR1")</f>
        <v>0</v>
      </c>
      <c r="E78" s="38">
        <f>COUNTIF('PF80'!V10:V89,"TC0_H_1_TR1")</f>
        <v>0</v>
      </c>
      <c r="F78" s="38">
        <f>COUNTIF('PF80'!V10:V89,"TC0_H_2_TR1")</f>
        <v>0</v>
      </c>
      <c r="G78" s="38">
        <f>COUNTIF('PF80'!V10:V89,"TC0_H_3_TR1")</f>
        <v>0</v>
      </c>
      <c r="H78" s="38">
        <f>COUNTIF('PF80'!V10:V89,"TC0_H_4_TR1")</f>
        <v>0</v>
      </c>
      <c r="I78" s="38">
        <f>COUNTIF('PF80'!V10:V89,"TC0_H_5_TR1")</f>
        <v>0</v>
      </c>
      <c r="J78" s="38">
        <f>COUNTIF('PF80'!V10:V89,"TC0_H_6_TR1")</f>
        <v>0</v>
      </c>
      <c r="K78" s="38">
        <f>COUNTIF('PF80'!V10:V89,"TC0_H_7_TR1")</f>
        <v>0</v>
      </c>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row>
    <row r="79" spans="2:66" ht="10" customHeight="1" x14ac:dyDescent="0.55000000000000004"/>
    <row r="81" spans="2:6" x14ac:dyDescent="0.55000000000000004">
      <c r="B81" s="128" t="s">
        <v>405</v>
      </c>
      <c r="C81" s="129"/>
      <c r="D81" s="37" t="s">
        <v>406</v>
      </c>
      <c r="E81" s="37" t="s">
        <v>407</v>
      </c>
      <c r="F81" s="37" t="s">
        <v>408</v>
      </c>
    </row>
    <row r="82" spans="2:6" x14ac:dyDescent="0.55000000000000004">
      <c r="B82" s="123" t="s">
        <v>398</v>
      </c>
      <c r="C82" s="38" t="s">
        <v>486</v>
      </c>
      <c r="D82" s="38">
        <f>COUNTIF('PF80'!V10:V89,"ADC[0]_0")</f>
        <v>0</v>
      </c>
      <c r="E82" s="38">
        <f>COUNTIF('PF80'!V10:V89,"ADC[1]_0")</f>
        <v>0</v>
      </c>
      <c r="F82" s="38">
        <f>COUNTIF('PF80'!V10:V89,"ADC[2]_0")</f>
        <v>0</v>
      </c>
    </row>
    <row r="83" spans="2:6" x14ac:dyDescent="0.55000000000000004">
      <c r="B83" s="124"/>
      <c r="C83" s="38" t="s">
        <v>487</v>
      </c>
      <c r="D83" s="38">
        <f>COUNTIF('PF80'!V10:V89,"ADC[0]_1")</f>
        <v>0</v>
      </c>
      <c r="E83" s="38">
        <f>COUNTIF('PF80'!V10:V89,"ADC[1]_1")</f>
        <v>0</v>
      </c>
      <c r="F83" s="38">
        <f>COUNTIF('PF80'!V10:V89,"ADC[2]_1")</f>
        <v>0</v>
      </c>
    </row>
    <row r="84" spans="2:6" x14ac:dyDescent="0.55000000000000004">
      <c r="B84" s="124"/>
      <c r="C84" s="38" t="s">
        <v>488</v>
      </c>
      <c r="D84" s="38">
        <f>COUNTIF('PF80'!V10:V89,"ADC[0]_2")</f>
        <v>0</v>
      </c>
      <c r="E84" s="38">
        <f>COUNTIF('PF80'!V10:V89,"ADC[1]_2")</f>
        <v>0</v>
      </c>
      <c r="F84" s="38">
        <f>COUNTIF('PF80'!V10:V89,"ADC[2]_2")</f>
        <v>0</v>
      </c>
    </row>
    <row r="85" spans="2:6" x14ac:dyDescent="0.55000000000000004">
      <c r="B85" s="124"/>
      <c r="C85" s="38" t="s">
        <v>489</v>
      </c>
      <c r="D85" s="38">
        <f>COUNTIF('PF80'!V10:V89,"ADC[0]_3")</f>
        <v>0</v>
      </c>
      <c r="E85" s="38">
        <f>COUNTIF('PF80'!V10:V89,"ADC[1]_3")</f>
        <v>0</v>
      </c>
      <c r="F85" s="38">
        <f>COUNTIF('PF80'!V10:V89,"ADC[2]_3")</f>
        <v>0</v>
      </c>
    </row>
    <row r="86" spans="2:6" x14ac:dyDescent="0.55000000000000004">
      <c r="B86" s="124"/>
      <c r="C86" s="38" t="s">
        <v>490</v>
      </c>
      <c r="D86" s="38">
        <f>COUNTIF('PF80'!V10:V89,"ADC[0]_4")</f>
        <v>0</v>
      </c>
      <c r="E86" s="38">
        <f>COUNTIF('PF80'!V10:V89,"ADC[1]_4")</f>
        <v>0</v>
      </c>
      <c r="F86" s="38">
        <f>COUNTIF('PF80'!V10:V89,"ADC[2]_4")</f>
        <v>0</v>
      </c>
    </row>
    <row r="87" spans="2:6" x14ac:dyDescent="0.55000000000000004">
      <c r="B87" s="124"/>
      <c r="C87" s="38" t="s">
        <v>491</v>
      </c>
      <c r="D87" s="38">
        <f>COUNTIF('PF80'!V10:V89,"ADC[0]_5")</f>
        <v>0</v>
      </c>
      <c r="E87" s="38">
        <f>COUNTIF('PF80'!V10:V89,"ADC[1]_5")</f>
        <v>0</v>
      </c>
      <c r="F87" s="38">
        <f>COUNTIF('PF80'!V10:V89,"ADC[2]_5")</f>
        <v>0</v>
      </c>
    </row>
    <row r="88" spans="2:6" x14ac:dyDescent="0.55000000000000004">
      <c r="B88" s="124"/>
      <c r="C88" s="38" t="s">
        <v>492</v>
      </c>
      <c r="D88" s="38">
        <f>COUNTIF('PF80'!V10:V89,"ADC[0]_6")</f>
        <v>0</v>
      </c>
      <c r="E88" s="38">
        <f>COUNTIF('PF80'!V10:V89,"ADC[1]_6")</f>
        <v>0</v>
      </c>
      <c r="F88" s="38">
        <f>COUNTIF('PF80'!V10:V89,"ADC[2]_6")</f>
        <v>0</v>
      </c>
    </row>
    <row r="89" spans="2:6" x14ac:dyDescent="0.55000000000000004">
      <c r="B89" s="124"/>
      <c r="C89" s="38" t="s">
        <v>493</v>
      </c>
      <c r="D89" s="38">
        <f>COUNTIF('PF80'!V10:V89,"ADC[0]_7")</f>
        <v>0</v>
      </c>
      <c r="E89" s="38">
        <f>COUNTIF('PF80'!V10:V89,"ADC[1]_7")</f>
        <v>0</v>
      </c>
      <c r="F89" s="38">
        <f>COUNTIF('PF80'!V10:V89,"ADC[2]_7")</f>
        <v>0</v>
      </c>
    </row>
    <row r="90" spans="2:6" x14ac:dyDescent="0.55000000000000004">
      <c r="B90" s="124"/>
      <c r="C90" s="38" t="s">
        <v>494</v>
      </c>
      <c r="D90" s="38">
        <f>COUNTIF('PF80'!V10:V89,"ADC[0]_8")</f>
        <v>0</v>
      </c>
      <c r="E90" s="38">
        <f>COUNTIF('PF80'!V10:V89,"ADC[1]_8")</f>
        <v>0</v>
      </c>
      <c r="F90" s="38">
        <f>COUNTIF('PF80'!V10:V89,"ADC[2]_8")</f>
        <v>0</v>
      </c>
    </row>
    <row r="91" spans="2:6" x14ac:dyDescent="0.55000000000000004">
      <c r="B91" s="124"/>
      <c r="C91" s="38" t="s">
        <v>495</v>
      </c>
      <c r="D91" s="38">
        <f>COUNTIF('PF80'!V10:V89,"ADC[0]_9")</f>
        <v>0</v>
      </c>
      <c r="E91" s="38">
        <f>COUNTIF('PF80'!V10:V89,"ADC[1]_9")</f>
        <v>0</v>
      </c>
      <c r="F91" s="38">
        <f>COUNTIF('PF80'!V10:V89,"ADC[2]_9")</f>
        <v>0</v>
      </c>
    </row>
    <row r="92" spans="2:6" x14ac:dyDescent="0.55000000000000004">
      <c r="B92" s="124"/>
      <c r="C92" s="38" t="s">
        <v>496</v>
      </c>
      <c r="D92" s="38">
        <f>COUNTIF('PF80'!V10:V89,"ADC[0]_10")</f>
        <v>0</v>
      </c>
      <c r="E92" s="38">
        <f>COUNTIF('PF80'!V10:V89,"ADC[1]_10")</f>
        <v>0</v>
      </c>
      <c r="F92" s="38">
        <f>COUNTIF('PF80'!V10:V89,"ADC[2]_10")</f>
        <v>0</v>
      </c>
    </row>
    <row r="93" spans="2:6" x14ac:dyDescent="0.55000000000000004">
      <c r="B93" s="124"/>
      <c r="C93" s="38" t="s">
        <v>497</v>
      </c>
      <c r="D93" s="38">
        <f>COUNTIF('PF80'!V10:V89,"ADC[0]_11")</f>
        <v>0</v>
      </c>
      <c r="E93" s="38">
        <f>COUNTIF('PF80'!V10:V89,"ADC[1]_11")</f>
        <v>0</v>
      </c>
      <c r="F93" s="38">
        <f>COUNTIF('PF80'!V10:V89,"ADC[2]_11")</f>
        <v>0</v>
      </c>
    </row>
    <row r="94" spans="2:6" x14ac:dyDescent="0.55000000000000004">
      <c r="B94" s="124"/>
      <c r="C94" s="38" t="s">
        <v>498</v>
      </c>
      <c r="D94" s="38">
        <f>COUNTIF('PF80'!V10:V89,"ADC[0]_12")</f>
        <v>0</v>
      </c>
      <c r="E94" s="38">
        <f>COUNTIF('PF80'!V10:V89,"ADC[1]_12")</f>
        <v>0</v>
      </c>
      <c r="F94" s="38">
        <f>COUNTIF('PF80'!V10:V89,"ADC[2]_12")</f>
        <v>0</v>
      </c>
    </row>
    <row r="95" spans="2:6" x14ac:dyDescent="0.55000000000000004">
      <c r="B95" s="124"/>
      <c r="C95" s="38" t="s">
        <v>499</v>
      </c>
      <c r="D95" s="38">
        <f>COUNTIF('PF80'!V10:V89,"ADC[0]_13")</f>
        <v>0</v>
      </c>
      <c r="E95" s="38">
        <f>COUNTIF('PF80'!V10:V89,"ADC[1]_13")</f>
        <v>0</v>
      </c>
      <c r="F95" s="38">
        <f>COUNTIF('PF80'!V10:V89,"ADC[2]_13")</f>
        <v>0</v>
      </c>
    </row>
    <row r="96" spans="2:6" x14ac:dyDescent="0.55000000000000004">
      <c r="B96" s="124"/>
      <c r="C96" s="38" t="s">
        <v>500</v>
      </c>
      <c r="D96" s="38">
        <f>COUNTIF('PF80'!V10:V89,"ADC[0]_14")</f>
        <v>0</v>
      </c>
      <c r="E96" s="38">
        <f>COUNTIF('PF80'!V10:V89,"ADC[1]_14")</f>
        <v>0</v>
      </c>
      <c r="F96" s="38">
        <f>COUNTIF('PF80'!V10:V89,"ADC[2]_14")</f>
        <v>0</v>
      </c>
    </row>
    <row r="97" spans="2:6" x14ac:dyDescent="0.55000000000000004">
      <c r="B97" s="124"/>
      <c r="C97" s="38" t="s">
        <v>501</v>
      </c>
      <c r="D97" s="38">
        <f>COUNTIF('PF80'!V10:V89,"ADC[0]_15")</f>
        <v>0</v>
      </c>
      <c r="E97" s="38">
        <f>COUNTIF('PF80'!V10:V89,"ADC[1]_15")</f>
        <v>0</v>
      </c>
      <c r="F97" s="38">
        <f>COUNTIF('PF80'!V10:V89,"ADC[2]_15")</f>
        <v>0</v>
      </c>
    </row>
    <row r="98" spans="2:6" x14ac:dyDescent="0.55000000000000004">
      <c r="B98" s="124"/>
      <c r="C98" s="38" t="s">
        <v>502</v>
      </c>
      <c r="D98" s="38">
        <f>COUNTIF('PF80'!V10:V89,"ADC[0]_16")</f>
        <v>0</v>
      </c>
      <c r="E98" s="38">
        <f>COUNTIF('PF80'!V10:V89,"ADC[1]_16")</f>
        <v>0</v>
      </c>
      <c r="F98" s="38">
        <f>COUNTIF('PF80'!V10:V89,"ADC[2]_16")</f>
        <v>0</v>
      </c>
    </row>
    <row r="99" spans="2:6" x14ac:dyDescent="0.55000000000000004">
      <c r="B99" s="124"/>
      <c r="C99" s="38" t="s">
        <v>503</v>
      </c>
      <c r="D99" s="38">
        <f>COUNTIF('PF80'!V10:V89,"ADC[0]_17")</f>
        <v>0</v>
      </c>
      <c r="E99" s="38">
        <f>COUNTIF('PF80'!V10:V89,"ADC[1]_17")</f>
        <v>0</v>
      </c>
      <c r="F99" s="38">
        <f>COUNTIF('PF80'!V10:V89,"ADC[2]_17")</f>
        <v>0</v>
      </c>
    </row>
    <row r="100" spans="2:6" x14ac:dyDescent="0.55000000000000004">
      <c r="B100" s="124"/>
      <c r="C100" s="38" t="s">
        <v>504</v>
      </c>
      <c r="D100" s="38">
        <f>COUNTIF('PF80'!V10:V89,"ADC[0]_18")</f>
        <v>0</v>
      </c>
      <c r="E100" s="38">
        <f>COUNTIF('PF80'!V10:V89,"ADC[1]_18")</f>
        <v>0</v>
      </c>
      <c r="F100" s="38">
        <f>COUNTIF('PF80'!V10:V89,"ADC[2]_18")</f>
        <v>0</v>
      </c>
    </row>
    <row r="101" spans="2:6" x14ac:dyDescent="0.55000000000000004">
      <c r="B101" s="124"/>
      <c r="C101" s="38" t="s">
        <v>505</v>
      </c>
      <c r="D101" s="38">
        <f>COUNTIF('PF80'!V10:V89,"ADC[0]_19")</f>
        <v>0</v>
      </c>
      <c r="E101" s="38">
        <f>COUNTIF('PF80'!V10:V89,"ADC[1]_19")</f>
        <v>0</v>
      </c>
      <c r="F101" s="38">
        <f>COUNTIF('PF80'!V10:V89,"ADC[2]_19")</f>
        <v>0</v>
      </c>
    </row>
    <row r="102" spans="2:6" x14ac:dyDescent="0.55000000000000004">
      <c r="B102" s="124"/>
      <c r="C102" s="38" t="s">
        <v>506</v>
      </c>
      <c r="D102" s="38">
        <f>COUNTIF('PF80'!V10:V89,"ADC[0]_20")</f>
        <v>0</v>
      </c>
      <c r="E102" s="38">
        <f>COUNTIF('PF80'!V10:V89,"ADC[1]_20")</f>
        <v>0</v>
      </c>
      <c r="F102" s="38">
        <f>COUNTIF('PF80'!V10:V89,"ADC[2]_20")</f>
        <v>0</v>
      </c>
    </row>
    <row r="103" spans="2:6" x14ac:dyDescent="0.55000000000000004">
      <c r="B103" s="124"/>
      <c r="C103" s="38" t="s">
        <v>507</v>
      </c>
      <c r="D103" s="38">
        <f>COUNTIF('PF80'!V10:V89,"ADC[0]_21")</f>
        <v>0</v>
      </c>
      <c r="E103" s="38">
        <f>COUNTIF('PF80'!V10:V89,"ADC[1]_21")</f>
        <v>0</v>
      </c>
      <c r="F103" s="38">
        <f>COUNTIF('PF80'!V10:V89,"ADC[2]_21")</f>
        <v>0</v>
      </c>
    </row>
    <row r="104" spans="2:6" x14ac:dyDescent="0.55000000000000004">
      <c r="B104" s="124"/>
      <c r="C104" s="38" t="s">
        <v>508</v>
      </c>
      <c r="D104" s="38">
        <f>COUNTIF('PF80'!V10:V89,"ADC[0]_22")</f>
        <v>0</v>
      </c>
      <c r="E104" s="38">
        <f>COUNTIF('PF80'!V10:V89,"ADC[1]_22")</f>
        <v>0</v>
      </c>
      <c r="F104" s="38">
        <f>COUNTIF('PF80'!V10:V89,"ADC[2]_22")</f>
        <v>0</v>
      </c>
    </row>
    <row r="105" spans="2:6" x14ac:dyDescent="0.55000000000000004">
      <c r="B105" s="124"/>
      <c r="C105" s="38" t="s">
        <v>509</v>
      </c>
      <c r="D105" s="38">
        <f>COUNTIF('PF80'!V10:V89,"ADC[0]_23")</f>
        <v>0</v>
      </c>
      <c r="E105" s="38">
        <f>COUNTIF('PF80'!V10:V89,"ADC[1]_23")</f>
        <v>0</v>
      </c>
      <c r="F105" s="38">
        <f>COUNTIF('PF80'!V10:V89,"ADC[2]_23")</f>
        <v>0</v>
      </c>
    </row>
    <row r="106" spans="2:6" x14ac:dyDescent="0.55000000000000004">
      <c r="B106" s="124"/>
      <c r="C106" s="38" t="s">
        <v>510</v>
      </c>
      <c r="D106" s="38">
        <f>COUNTIF('PF80'!V10:V89,"ADC[0]_24")</f>
        <v>0</v>
      </c>
      <c r="E106" s="38">
        <f>COUNTIF('PF80'!V10:V89,"ADC[1]_24")</f>
        <v>0</v>
      </c>
      <c r="F106" s="38">
        <f>COUNTIF('PF80'!V10:V89,"ADC[2]_24")</f>
        <v>0</v>
      </c>
    </row>
    <row r="107" spans="2:6" x14ac:dyDescent="0.55000000000000004">
      <c r="B107" s="124"/>
      <c r="C107" s="38" t="s">
        <v>511</v>
      </c>
      <c r="D107" s="38">
        <f>COUNTIF('PF80'!V10:V89,"ADC[0]_25")</f>
        <v>0</v>
      </c>
      <c r="E107" s="38">
        <f>COUNTIF('PF80'!V10:V89,"ADC[1]_25")</f>
        <v>0</v>
      </c>
      <c r="F107" s="38">
        <f>COUNTIF('PF80'!V10:V89,"ADC[2]_25")</f>
        <v>0</v>
      </c>
    </row>
    <row r="108" spans="2:6" x14ac:dyDescent="0.55000000000000004">
      <c r="B108" s="124"/>
      <c r="C108" s="38" t="s">
        <v>512</v>
      </c>
      <c r="D108" s="38">
        <f>COUNTIF('PF80'!V10:V89,"ADC[0]_26")</f>
        <v>0</v>
      </c>
      <c r="E108" s="38">
        <f>COUNTIF('PF80'!V10:V89,"ADC[1]_26")</f>
        <v>0</v>
      </c>
      <c r="F108" s="38">
        <f>COUNTIF('PF80'!V10:V89,"ADC[2]_26")</f>
        <v>0</v>
      </c>
    </row>
    <row r="109" spans="2:6" x14ac:dyDescent="0.55000000000000004">
      <c r="B109" s="124"/>
      <c r="C109" s="38" t="s">
        <v>513</v>
      </c>
      <c r="D109" s="38">
        <f>COUNTIF('PF80'!V10:V89,"ADC[0]_27")</f>
        <v>0</v>
      </c>
      <c r="E109" s="38">
        <f>COUNTIF('PF80'!V10:V89,"ADC[1]_27")</f>
        <v>0</v>
      </c>
      <c r="F109" s="38">
        <f>COUNTIF('PF80'!V10:V89,"ADC[2]_27")</f>
        <v>0</v>
      </c>
    </row>
    <row r="110" spans="2:6" x14ac:dyDescent="0.55000000000000004">
      <c r="B110" s="124"/>
      <c r="C110" s="38" t="s">
        <v>514</v>
      </c>
      <c r="D110" s="38">
        <f>COUNTIF('PF80'!V10:V89,"ADC[0]_28")</f>
        <v>0</v>
      </c>
      <c r="E110" s="38">
        <f>COUNTIF('PF80'!V10:V89,"ADC[1]_28")</f>
        <v>0</v>
      </c>
      <c r="F110" s="38">
        <f>COUNTIF('PF80'!V10:V89,"ADC[2]_28")</f>
        <v>0</v>
      </c>
    </row>
    <row r="111" spans="2:6" x14ac:dyDescent="0.55000000000000004">
      <c r="B111" s="124"/>
      <c r="C111" s="38" t="s">
        <v>515</v>
      </c>
      <c r="D111" s="38">
        <f>COUNTIF('PF80'!V10:V89,"ADC[0]_29")</f>
        <v>0</v>
      </c>
      <c r="E111" s="38">
        <f>COUNTIF('PF80'!V10:V89,"ADC[1]_29")</f>
        <v>0</v>
      </c>
      <c r="F111" s="38">
        <f>COUNTIF('PF80'!V10:V89,"ADC[2]_29")</f>
        <v>0</v>
      </c>
    </row>
    <row r="112" spans="2:6" x14ac:dyDescent="0.55000000000000004">
      <c r="B112" s="124"/>
      <c r="C112" s="38" t="s">
        <v>516</v>
      </c>
      <c r="D112" s="38">
        <f>COUNTIF('PF80'!V10:V89,"ADC[0]_30")</f>
        <v>0</v>
      </c>
      <c r="E112" s="38">
        <f>COUNTIF('PF80'!V10:V89,"ADC[1]_30")</f>
        <v>0</v>
      </c>
      <c r="F112" s="38">
        <f>COUNTIF('PF80'!V10:V89,"ADC[2]_30")</f>
        <v>0</v>
      </c>
    </row>
    <row r="113" spans="2:7" x14ac:dyDescent="0.55000000000000004">
      <c r="B113" s="130"/>
      <c r="C113" s="38" t="s">
        <v>517</v>
      </c>
      <c r="D113" s="38">
        <f>COUNTIF('PF80'!V10:V89,"ADC[0]_31")</f>
        <v>0</v>
      </c>
      <c r="E113" s="38">
        <f>COUNTIF('PF80'!V10:V89,"ADC[1]_31")</f>
        <v>0</v>
      </c>
      <c r="F113" s="38">
        <f>COUNTIF('PF80'!V10:V89,"ADC[2]_31")</f>
        <v>0</v>
      </c>
    </row>
    <row r="114" spans="2:7" ht="20" x14ac:dyDescent="0.55000000000000004">
      <c r="B114" s="62" t="s">
        <v>518</v>
      </c>
      <c r="C114" s="63" t="s">
        <v>419</v>
      </c>
      <c r="D114" s="38">
        <f>COUNTIF('PF80'!V10:V89,"ADC[0]_M")</f>
        <v>0</v>
      </c>
      <c r="E114" s="38">
        <f>COUNTIF('PF80'!V10:V89,"ADC[1]_M")</f>
        <v>0</v>
      </c>
      <c r="F114" s="38">
        <f>COUNTIF('PF80'!V10:V89,"ADC[2]_M")</f>
        <v>0</v>
      </c>
    </row>
    <row r="117" spans="2:7" x14ac:dyDescent="0.55000000000000004">
      <c r="B117" s="128" t="s">
        <v>1201</v>
      </c>
      <c r="C117" s="129"/>
      <c r="D117" s="37" t="s">
        <v>1203</v>
      </c>
      <c r="E117" s="37" t="s">
        <v>1204</v>
      </c>
      <c r="F117" s="37" t="s">
        <v>1205</v>
      </c>
      <c r="G117" s="37" t="s">
        <v>1207</v>
      </c>
    </row>
    <row r="118" spans="2:7" x14ac:dyDescent="0.55000000000000004">
      <c r="B118" s="123" t="s">
        <v>398</v>
      </c>
      <c r="C118" s="38" t="s">
        <v>386</v>
      </c>
      <c r="D118" s="38">
        <f>COUNTIF('PF80'!V10:V89,"CXPI0_RX")</f>
        <v>0</v>
      </c>
      <c r="E118" s="38">
        <f>COUNTIF('PF80'!V10:V89,"CXPI1_RX")</f>
        <v>0</v>
      </c>
      <c r="F118" s="38">
        <f>COUNTIF('PF80'!V10:V89,"CXPI2_RX")</f>
        <v>0</v>
      </c>
      <c r="G118" s="38">
        <f>COUNTIF('PF80'!V10:V89,"CXPI3_RX")</f>
        <v>0</v>
      </c>
    </row>
    <row r="119" spans="2:7" x14ac:dyDescent="0.55000000000000004">
      <c r="B119" s="124"/>
      <c r="C119" s="38" t="s">
        <v>385</v>
      </c>
      <c r="D119" s="38">
        <f>COUNTIF('PF80'!V10:V89,"CXPI0_TX")</f>
        <v>0</v>
      </c>
      <c r="E119" s="38">
        <f>COUNTIF('PF80'!V10:V89,"CXPI1_TX")</f>
        <v>0</v>
      </c>
      <c r="F119" s="38">
        <f>COUNTIF('PF80'!V10:V89,"CXPI2_TX")</f>
        <v>0</v>
      </c>
      <c r="G119" s="38">
        <f>COUNTIF('PF80'!V10:V89,"CXPI3_TX")</f>
        <v>0</v>
      </c>
    </row>
    <row r="120" spans="2:7" x14ac:dyDescent="0.55000000000000004">
      <c r="B120" s="125"/>
      <c r="C120" s="38" t="s">
        <v>1202</v>
      </c>
      <c r="D120" s="38">
        <f>COUNTIF('PF80'!V10:V89,"CXPI0_EN")</f>
        <v>0</v>
      </c>
      <c r="E120" s="38">
        <f>COUNTIF('PF80'!V10:V89,"CXPI1_EN")</f>
        <v>0</v>
      </c>
      <c r="F120" s="38">
        <f>COUNTIF('PF80'!V10:V89,"CXPI2_EN")</f>
        <v>0</v>
      </c>
      <c r="G120" s="38">
        <f>COUNTIF('PF80'!V10:V89,"CXPI3_EN")</f>
        <v>0</v>
      </c>
    </row>
    <row r="132" spans="2:21" ht="14.5" x14ac:dyDescent="0.35">
      <c r="B132" s="118" t="s">
        <v>1216</v>
      </c>
      <c r="C132" s="118"/>
      <c r="D132" s="118"/>
      <c r="E132" s="118"/>
      <c r="F132" s="118"/>
      <c r="G132" s="118"/>
      <c r="H132" s="118"/>
      <c r="I132" s="118"/>
      <c r="J132" s="118"/>
      <c r="K132" s="118"/>
      <c r="L132" s="118"/>
      <c r="M132" s="118"/>
      <c r="N132" s="118"/>
      <c r="O132" s="118"/>
      <c r="P132" s="118"/>
      <c r="Q132" s="118"/>
      <c r="R132" s="118"/>
      <c r="S132" s="118"/>
      <c r="T132" s="118"/>
      <c r="U132" s="118"/>
    </row>
    <row r="133" spans="2:21" ht="172" customHeight="1" x14ac:dyDescent="0.55000000000000004">
      <c r="B133" s="119" t="s">
        <v>1217</v>
      </c>
      <c r="C133" s="119"/>
      <c r="D133" s="119"/>
      <c r="E133" s="119"/>
      <c r="F133" s="119"/>
      <c r="G133" s="119"/>
      <c r="H133" s="119"/>
      <c r="I133" s="119"/>
      <c r="J133" s="119"/>
      <c r="K133" s="119"/>
      <c r="L133" s="119"/>
      <c r="M133" s="119"/>
      <c r="N133" s="119"/>
      <c r="O133" s="119"/>
      <c r="P133" s="119"/>
      <c r="Q133" s="119"/>
      <c r="R133" s="119"/>
      <c r="S133" s="119"/>
      <c r="T133" s="119"/>
      <c r="U133" s="119"/>
    </row>
  </sheetData>
  <sheetProtection algorithmName="SHA-512" hashValue="dsffqNnT/DPaQuHd6cexrkxHyzSUp6JIMhvgX5qx3KAsiW+htd031AWsu9uiXU9kxVLoVDYI0h/gmU/FTJNTsw==" saltValue="Tqx4Naxdgzv2BwaStPoRig==" spinCount="100000" sheet="1" objects="1" scenarios="1" formatCells="0" formatColumns="0" formatRows="0" insertColumns="0" insertRows="0" insertHyperlinks="0" deleteColumns="0" deleteRows="0" selectLockedCells="1" sort="0" autoFilter="0" pivotTables="0" selectUnlockedCells="1"/>
  <mergeCells count="25">
    <mergeCell ref="B132:U132"/>
    <mergeCell ref="B133:U133"/>
    <mergeCell ref="B82:B113"/>
    <mergeCell ref="B65:B66"/>
    <mergeCell ref="B68:C68"/>
    <mergeCell ref="B69:B70"/>
    <mergeCell ref="B71:B72"/>
    <mergeCell ref="B74:C74"/>
    <mergeCell ref="B75:B76"/>
    <mergeCell ref="B117:C117"/>
    <mergeCell ref="B118:B120"/>
    <mergeCell ref="B77:B78"/>
    <mergeCell ref="B81:C81"/>
    <mergeCell ref="B63:B64"/>
    <mergeCell ref="B7:C7"/>
    <mergeCell ref="B8:B9"/>
    <mergeCell ref="B11:C11"/>
    <mergeCell ref="B12:B13"/>
    <mergeCell ref="B16:C16"/>
    <mergeCell ref="B17:B19"/>
    <mergeCell ref="B22:C22"/>
    <mergeCell ref="B62:C62"/>
    <mergeCell ref="B23:B36"/>
    <mergeCell ref="B37:B44"/>
    <mergeCell ref="B45:B50"/>
  </mergeCells>
  <phoneticPr fontId="3"/>
  <conditionalFormatting sqref="D17:K20">
    <cfRule type="cellIs" dxfId="146" priority="141" operator="greaterThanOrEqual">
      <formula>2</formula>
    </cfRule>
    <cfRule type="cellIs" dxfId="145" priority="155" operator="notEqual">
      <formula>0</formula>
    </cfRule>
  </conditionalFormatting>
  <conditionalFormatting sqref="D8:F9">
    <cfRule type="cellIs" dxfId="144" priority="143" operator="greaterThanOrEqual">
      <formula>2</formula>
    </cfRule>
    <cfRule type="cellIs" dxfId="143" priority="148" operator="notEqual">
      <formula>0</formula>
    </cfRule>
  </conditionalFormatting>
  <conditionalFormatting sqref="D12:F14">
    <cfRule type="cellIs" dxfId="142" priority="142" operator="greaterThanOrEqual">
      <formula>2</formula>
    </cfRule>
    <cfRule type="cellIs" dxfId="141" priority="147" operator="notEqual">
      <formula>0</formula>
    </cfRule>
  </conditionalFormatting>
  <conditionalFormatting sqref="D75:K78">
    <cfRule type="cellIs" dxfId="140" priority="138" operator="greaterThanOrEqual">
      <formula>2</formula>
    </cfRule>
    <cfRule type="cellIs" dxfId="139" priority="139" operator="notEqual">
      <formula>0</formula>
    </cfRule>
  </conditionalFormatting>
  <conditionalFormatting sqref="D69:O72">
    <cfRule type="cellIs" dxfId="138" priority="136" operator="greaterThanOrEqual">
      <formula>2</formula>
    </cfRule>
    <cfRule type="cellIs" dxfId="137" priority="137" operator="notEqual">
      <formula>0</formula>
    </cfRule>
  </conditionalFormatting>
  <conditionalFormatting sqref="D63:BN66">
    <cfRule type="cellIs" dxfId="136" priority="134" operator="greaterThanOrEqual">
      <formula>2</formula>
    </cfRule>
    <cfRule type="cellIs" dxfId="135" priority="135" operator="notEqual">
      <formula>0</formula>
    </cfRule>
  </conditionalFormatting>
  <conditionalFormatting sqref="D82:F114">
    <cfRule type="cellIs" dxfId="134" priority="132" operator="greaterThanOrEqual">
      <formula>2</formula>
    </cfRule>
    <cfRule type="cellIs" dxfId="133" priority="133" operator="notEqual">
      <formula>0</formula>
    </cfRule>
  </conditionalFormatting>
  <conditionalFormatting sqref="D45:K50">
    <cfRule type="cellIs" dxfId="132" priority="15" operator="greaterThanOrEqual">
      <formula>2</formula>
    </cfRule>
    <cfRule type="cellIs" dxfId="131" priority="16" operator="notEqual">
      <formula>0</formula>
    </cfRule>
  </conditionalFormatting>
  <conditionalFormatting sqref="D23:K23">
    <cfRule type="cellIs" dxfId="130" priority="45" operator="greaterThanOrEqual">
      <formula>2</formula>
    </cfRule>
    <cfRule type="cellIs" dxfId="129" priority="46" operator="notEqual">
      <formula>0</formula>
    </cfRule>
  </conditionalFormatting>
  <conditionalFormatting sqref="D37:K37">
    <cfRule type="cellIs" dxfId="128" priority="43" operator="greaterThanOrEqual">
      <formula>2</formula>
    </cfRule>
    <cfRule type="cellIs" dxfId="127" priority="44" operator="notEqual">
      <formula>0</formula>
    </cfRule>
  </conditionalFormatting>
  <conditionalFormatting sqref="D38:K38">
    <cfRule type="cellIs" dxfId="126" priority="41" operator="greaterThanOrEqual">
      <formula>2</formula>
    </cfRule>
    <cfRule type="cellIs" dxfId="125" priority="42" operator="notEqual">
      <formula>0</formula>
    </cfRule>
  </conditionalFormatting>
  <conditionalFormatting sqref="D44:K44">
    <cfRule type="cellIs" dxfId="124" priority="33" operator="greaterThanOrEqual">
      <formula>2</formula>
    </cfRule>
    <cfRule type="cellIs" dxfId="123" priority="34" operator="notEqual">
      <formula>0</formula>
    </cfRule>
  </conditionalFormatting>
  <conditionalFormatting sqref="D42:K42">
    <cfRule type="cellIs" dxfId="122" priority="35" operator="greaterThanOrEqual">
      <formula>2</formula>
    </cfRule>
    <cfRule type="cellIs" dxfId="121" priority="36" operator="notEqual">
      <formula>0</formula>
    </cfRule>
  </conditionalFormatting>
  <conditionalFormatting sqref="D39:K39 D41:K41 D43:K43">
    <cfRule type="cellIs" dxfId="120" priority="39" operator="greaterThanOrEqual">
      <formula>2</formula>
    </cfRule>
    <cfRule type="cellIs" dxfId="119" priority="40" operator="notEqual">
      <formula>0</formula>
    </cfRule>
  </conditionalFormatting>
  <conditionalFormatting sqref="D40:K40">
    <cfRule type="cellIs" dxfId="118" priority="37" operator="greaterThanOrEqual">
      <formula>2</formula>
    </cfRule>
    <cfRule type="cellIs" dxfId="117" priority="38" operator="notEqual">
      <formula>0</formula>
    </cfRule>
  </conditionalFormatting>
  <conditionalFormatting sqref="D24:K24">
    <cfRule type="cellIs" dxfId="116" priority="29" operator="greaterThanOrEqual">
      <formula>2</formula>
    </cfRule>
    <cfRule type="cellIs" dxfId="115" priority="30" operator="notEqual">
      <formula>0</formula>
    </cfRule>
  </conditionalFormatting>
  <conditionalFormatting sqref="D26:K26">
    <cfRule type="cellIs" dxfId="114" priority="27" operator="greaterThanOrEqual">
      <formula>2</formula>
    </cfRule>
    <cfRule type="cellIs" dxfId="113" priority="28" operator="notEqual">
      <formula>0</formula>
    </cfRule>
  </conditionalFormatting>
  <conditionalFormatting sqref="D28:K28">
    <cfRule type="cellIs" dxfId="112" priority="25" operator="greaterThanOrEqual">
      <formula>2</formula>
    </cfRule>
    <cfRule type="cellIs" dxfId="111" priority="26" operator="notEqual">
      <formula>0</formula>
    </cfRule>
  </conditionalFormatting>
  <conditionalFormatting sqref="D30:K30">
    <cfRule type="cellIs" dxfId="110" priority="23" operator="greaterThanOrEqual">
      <formula>2</formula>
    </cfRule>
    <cfRule type="cellIs" dxfId="109" priority="24" operator="notEqual">
      <formula>0</formula>
    </cfRule>
  </conditionalFormatting>
  <conditionalFormatting sqref="D32:K32">
    <cfRule type="cellIs" dxfId="108" priority="21" operator="greaterThanOrEqual">
      <formula>2</formula>
    </cfRule>
    <cfRule type="cellIs" dxfId="107" priority="22" operator="notEqual">
      <formula>0</formula>
    </cfRule>
  </conditionalFormatting>
  <conditionalFormatting sqref="D34:K34">
    <cfRule type="cellIs" dxfId="106" priority="19" operator="greaterThanOrEqual">
      <formula>2</formula>
    </cfRule>
    <cfRule type="cellIs" dxfId="105" priority="20" operator="notEqual">
      <formula>0</formula>
    </cfRule>
  </conditionalFormatting>
  <conditionalFormatting sqref="D36:K36">
    <cfRule type="cellIs" dxfId="104" priority="17" operator="greaterThanOrEqual">
      <formula>2</formula>
    </cfRule>
    <cfRule type="cellIs" dxfId="103" priority="18" operator="notEqual">
      <formula>0</formula>
    </cfRule>
  </conditionalFormatting>
  <conditionalFormatting sqref="D25:K25 D27:K27 D29:K29 D31:K31 D33:K33 D35:K35">
    <cfRule type="cellIs" dxfId="102" priority="31" operator="greaterThanOrEqual">
      <formula>2</formula>
    </cfRule>
    <cfRule type="cellIs" dxfId="101" priority="32" operator="notEqual">
      <formula>0</formula>
    </cfRule>
  </conditionalFormatting>
  <conditionalFormatting sqref="D118:F119">
    <cfRule type="cellIs" dxfId="100" priority="13" operator="greaterThanOrEqual">
      <formula>2</formula>
    </cfRule>
    <cfRule type="cellIs" dxfId="99" priority="14" operator="notEqual">
      <formula>0</formula>
    </cfRule>
  </conditionalFormatting>
  <conditionalFormatting sqref="D120:F120">
    <cfRule type="cellIs" dxfId="98" priority="11" operator="greaterThanOrEqual">
      <formula>2</formula>
    </cfRule>
    <cfRule type="cellIs" dxfId="97" priority="12" operator="notEqual">
      <formula>0</formula>
    </cfRule>
  </conditionalFormatting>
  <conditionalFormatting sqref="G118:G119">
    <cfRule type="cellIs" dxfId="96" priority="9" operator="greaterThanOrEqual">
      <formula>2</formula>
    </cfRule>
    <cfRule type="cellIs" dxfId="95" priority="10" operator="notEqual">
      <formula>0</formula>
    </cfRule>
  </conditionalFormatting>
  <conditionalFormatting sqref="G120">
    <cfRule type="cellIs" dxfId="94" priority="7" operator="greaterThanOrEqual">
      <formula>2</formula>
    </cfRule>
    <cfRule type="cellIs" dxfId="93" priority="8" operator="notEqual">
      <formula>0</formula>
    </cfRule>
  </conditionalFormatting>
  <conditionalFormatting sqref="G12:G13">
    <cfRule type="cellIs" dxfId="92" priority="5" operator="greaterThanOrEqual">
      <formula>2</formula>
    </cfRule>
    <cfRule type="cellIs" dxfId="91" priority="6" operator="notEqual">
      <formula>0</formula>
    </cfRule>
  </conditionalFormatting>
  <conditionalFormatting sqref="G8:G9">
    <cfRule type="cellIs" dxfId="90" priority="3" operator="greaterThanOrEqual">
      <formula>2</formula>
    </cfRule>
    <cfRule type="cellIs" dxfId="89" priority="4" operator="notEqual">
      <formula>0</formula>
    </cfRule>
  </conditionalFormatting>
  <conditionalFormatting sqref="L17:L19">
    <cfRule type="cellIs" dxfId="88" priority="1" operator="greaterThanOrEqual">
      <formula>2</formula>
    </cfRule>
    <cfRule type="cellIs" dxfId="87" priority="2" operator="notEqual">
      <formula>0</formula>
    </cfRule>
  </conditionalFormatting>
  <pageMargins left="0.7" right="0.7" top="0.75" bottom="0.75" header="0.3" footer="0.3"/>
  <pageSetup paperSize="9" orientation="portrait" r:id="rId1"/>
  <ignoredErrors>
    <ignoredError sqref="D10:O10 D67:O68 D73:O73 D79:O121 L77:O77 L78:O78 G76 L75:O75 D63:BN66 D69:O72 D77:G77 D75:E75 G75 D76:E76 F75:F76 L74:O74 L76:O76 D78:F78 G78 H75:K78 D14:O15 D13:F13 H13:O13 D11:F12 H11:O12 D8:F9 H8:O9 G12:G13 G8:G9 D20:O62 D16:K16 M16:O16 D17:K19 M17:O19 L17:L19" unlockedFormula="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2D28-01A3-444F-8356-166A3B535B6A}">
  <dimension ref="A1:AE44"/>
  <sheetViews>
    <sheetView zoomScale="68" zoomScaleNormal="68" workbookViewId="0">
      <selection activeCell="AF5" sqref="AF5"/>
    </sheetView>
  </sheetViews>
  <sheetFormatPr defaultRowHeight="10" x14ac:dyDescent="0.55000000000000004"/>
  <cols>
    <col min="1" max="2" width="8.6640625" style="35"/>
    <col min="3" max="3" width="18.58203125" style="35" customWidth="1"/>
    <col min="4" max="5" width="3.33203125" style="35" customWidth="1"/>
    <col min="6" max="25" width="2.33203125" style="35" customWidth="1"/>
    <col min="26" max="27" width="3.33203125" style="35" customWidth="1"/>
    <col min="28" max="28" width="18.58203125" style="35" customWidth="1"/>
    <col min="29" max="31" width="8.58203125" style="35" customWidth="1"/>
    <col min="32" max="253" width="8.6640625" style="35"/>
    <col min="254" max="254" width="14.33203125" style="35" customWidth="1"/>
    <col min="255" max="256" width="3.33203125" style="35" customWidth="1"/>
    <col min="257" max="281" width="2.4140625" style="35" customWidth="1"/>
    <col min="282" max="283" width="3.33203125" style="35" customWidth="1"/>
    <col min="284" max="284" width="14.33203125" style="35" customWidth="1"/>
    <col min="285" max="509" width="8.6640625" style="35"/>
    <col min="510" max="510" width="14.33203125" style="35" customWidth="1"/>
    <col min="511" max="512" width="3.33203125" style="35" customWidth="1"/>
    <col min="513" max="537" width="2.4140625" style="35" customWidth="1"/>
    <col min="538" max="539" width="3.33203125" style="35" customWidth="1"/>
    <col min="540" max="540" width="14.33203125" style="35" customWidth="1"/>
    <col min="541" max="765" width="8.6640625" style="35"/>
    <col min="766" max="766" width="14.33203125" style="35" customWidth="1"/>
    <col min="767" max="768" width="3.33203125" style="35" customWidth="1"/>
    <col min="769" max="793" width="2.4140625" style="35" customWidth="1"/>
    <col min="794" max="795" width="3.33203125" style="35" customWidth="1"/>
    <col min="796" max="796" width="14.33203125" style="35" customWidth="1"/>
    <col min="797" max="1021" width="8.6640625" style="35"/>
    <col min="1022" max="1022" width="14.33203125" style="35" customWidth="1"/>
    <col min="1023" max="1024" width="3.33203125" style="35" customWidth="1"/>
    <col min="1025" max="1049" width="2.4140625" style="35" customWidth="1"/>
    <col min="1050" max="1051" width="3.33203125" style="35" customWidth="1"/>
    <col min="1052" max="1052" width="14.33203125" style="35" customWidth="1"/>
    <col min="1053" max="1277" width="8.6640625" style="35"/>
    <col min="1278" max="1278" width="14.33203125" style="35" customWidth="1"/>
    <col min="1279" max="1280" width="3.33203125" style="35" customWidth="1"/>
    <col min="1281" max="1305" width="2.4140625" style="35" customWidth="1"/>
    <col min="1306" max="1307" width="3.33203125" style="35" customWidth="1"/>
    <col min="1308" max="1308" width="14.33203125" style="35" customWidth="1"/>
    <col min="1309" max="1533" width="8.6640625" style="35"/>
    <col min="1534" max="1534" width="14.33203125" style="35" customWidth="1"/>
    <col min="1535" max="1536" width="3.33203125" style="35" customWidth="1"/>
    <col min="1537" max="1561" width="2.4140625" style="35" customWidth="1"/>
    <col min="1562" max="1563" width="3.33203125" style="35" customWidth="1"/>
    <col min="1564" max="1564" width="14.33203125" style="35" customWidth="1"/>
    <col min="1565" max="1789" width="8.6640625" style="35"/>
    <col min="1790" max="1790" width="14.33203125" style="35" customWidth="1"/>
    <col min="1791" max="1792" width="3.33203125" style="35" customWidth="1"/>
    <col min="1793" max="1817" width="2.4140625" style="35" customWidth="1"/>
    <col min="1818" max="1819" width="3.33203125" style="35" customWidth="1"/>
    <col min="1820" max="1820" width="14.33203125" style="35" customWidth="1"/>
    <col min="1821" max="2045" width="8.6640625" style="35"/>
    <col min="2046" max="2046" width="14.33203125" style="35" customWidth="1"/>
    <col min="2047" max="2048" width="3.33203125" style="35" customWidth="1"/>
    <col min="2049" max="2073" width="2.4140625" style="35" customWidth="1"/>
    <col min="2074" max="2075" width="3.33203125" style="35" customWidth="1"/>
    <col min="2076" max="2076" width="14.33203125" style="35" customWidth="1"/>
    <col min="2077" max="2301" width="8.6640625" style="35"/>
    <col min="2302" max="2302" width="14.33203125" style="35" customWidth="1"/>
    <col min="2303" max="2304" width="3.33203125" style="35" customWidth="1"/>
    <col min="2305" max="2329" width="2.4140625" style="35" customWidth="1"/>
    <col min="2330" max="2331" width="3.33203125" style="35" customWidth="1"/>
    <col min="2332" max="2332" width="14.33203125" style="35" customWidth="1"/>
    <col min="2333" max="2557" width="8.6640625" style="35"/>
    <col min="2558" max="2558" width="14.33203125" style="35" customWidth="1"/>
    <col min="2559" max="2560" width="3.33203125" style="35" customWidth="1"/>
    <col min="2561" max="2585" width="2.4140625" style="35" customWidth="1"/>
    <col min="2586" max="2587" width="3.33203125" style="35" customWidth="1"/>
    <col min="2588" max="2588" width="14.33203125" style="35" customWidth="1"/>
    <col min="2589" max="2813" width="8.6640625" style="35"/>
    <col min="2814" max="2814" width="14.33203125" style="35" customWidth="1"/>
    <col min="2815" max="2816" width="3.33203125" style="35" customWidth="1"/>
    <col min="2817" max="2841" width="2.4140625" style="35" customWidth="1"/>
    <col min="2842" max="2843" width="3.33203125" style="35" customWidth="1"/>
    <col min="2844" max="2844" width="14.33203125" style="35" customWidth="1"/>
    <col min="2845" max="3069" width="8.6640625" style="35"/>
    <col min="3070" max="3070" width="14.33203125" style="35" customWidth="1"/>
    <col min="3071" max="3072" width="3.33203125" style="35" customWidth="1"/>
    <col min="3073" max="3097" width="2.4140625" style="35" customWidth="1"/>
    <col min="3098" max="3099" width="3.33203125" style="35" customWidth="1"/>
    <col min="3100" max="3100" width="14.33203125" style="35" customWidth="1"/>
    <col min="3101" max="3325" width="8.6640625" style="35"/>
    <col min="3326" max="3326" width="14.33203125" style="35" customWidth="1"/>
    <col min="3327" max="3328" width="3.33203125" style="35" customWidth="1"/>
    <col min="3329" max="3353" width="2.4140625" style="35" customWidth="1"/>
    <col min="3354" max="3355" width="3.33203125" style="35" customWidth="1"/>
    <col min="3356" max="3356" width="14.33203125" style="35" customWidth="1"/>
    <col min="3357" max="3581" width="8.6640625" style="35"/>
    <col min="3582" max="3582" width="14.33203125" style="35" customWidth="1"/>
    <col min="3583" max="3584" width="3.33203125" style="35" customWidth="1"/>
    <col min="3585" max="3609" width="2.4140625" style="35" customWidth="1"/>
    <col min="3610" max="3611" width="3.33203125" style="35" customWidth="1"/>
    <col min="3612" max="3612" width="14.33203125" style="35" customWidth="1"/>
    <col min="3613" max="3837" width="8.6640625" style="35"/>
    <col min="3838" max="3838" width="14.33203125" style="35" customWidth="1"/>
    <col min="3839" max="3840" width="3.33203125" style="35" customWidth="1"/>
    <col min="3841" max="3865" width="2.4140625" style="35" customWidth="1"/>
    <col min="3866" max="3867" width="3.33203125" style="35" customWidth="1"/>
    <col min="3868" max="3868" width="14.33203125" style="35" customWidth="1"/>
    <col min="3869" max="4093" width="8.6640625" style="35"/>
    <col min="4094" max="4094" width="14.33203125" style="35" customWidth="1"/>
    <col min="4095" max="4096" width="3.33203125" style="35" customWidth="1"/>
    <col min="4097" max="4121" width="2.4140625" style="35" customWidth="1"/>
    <col min="4122" max="4123" width="3.33203125" style="35" customWidth="1"/>
    <col min="4124" max="4124" width="14.33203125" style="35" customWidth="1"/>
    <col min="4125" max="4349" width="8.6640625" style="35"/>
    <col min="4350" max="4350" width="14.33203125" style="35" customWidth="1"/>
    <col min="4351" max="4352" width="3.33203125" style="35" customWidth="1"/>
    <col min="4353" max="4377" width="2.4140625" style="35" customWidth="1"/>
    <col min="4378" max="4379" width="3.33203125" style="35" customWidth="1"/>
    <col min="4380" max="4380" width="14.33203125" style="35" customWidth="1"/>
    <col min="4381" max="4605" width="8.6640625" style="35"/>
    <col min="4606" max="4606" width="14.33203125" style="35" customWidth="1"/>
    <col min="4607" max="4608" width="3.33203125" style="35" customWidth="1"/>
    <col min="4609" max="4633" width="2.4140625" style="35" customWidth="1"/>
    <col min="4634" max="4635" width="3.33203125" style="35" customWidth="1"/>
    <col min="4636" max="4636" width="14.33203125" style="35" customWidth="1"/>
    <col min="4637" max="4861" width="8.6640625" style="35"/>
    <col min="4862" max="4862" width="14.33203125" style="35" customWidth="1"/>
    <col min="4863" max="4864" width="3.33203125" style="35" customWidth="1"/>
    <col min="4865" max="4889" width="2.4140625" style="35" customWidth="1"/>
    <col min="4890" max="4891" width="3.33203125" style="35" customWidth="1"/>
    <col min="4892" max="4892" width="14.33203125" style="35" customWidth="1"/>
    <col min="4893" max="5117" width="8.6640625" style="35"/>
    <col min="5118" max="5118" width="14.33203125" style="35" customWidth="1"/>
    <col min="5119" max="5120" width="3.33203125" style="35" customWidth="1"/>
    <col min="5121" max="5145" width="2.4140625" style="35" customWidth="1"/>
    <col min="5146" max="5147" width="3.33203125" style="35" customWidth="1"/>
    <col min="5148" max="5148" width="14.33203125" style="35" customWidth="1"/>
    <col min="5149" max="5373" width="8.6640625" style="35"/>
    <col min="5374" max="5374" width="14.33203125" style="35" customWidth="1"/>
    <col min="5375" max="5376" width="3.33203125" style="35" customWidth="1"/>
    <col min="5377" max="5401" width="2.4140625" style="35" customWidth="1"/>
    <col min="5402" max="5403" width="3.33203125" style="35" customWidth="1"/>
    <col min="5404" max="5404" width="14.33203125" style="35" customWidth="1"/>
    <col min="5405" max="5629" width="8.6640625" style="35"/>
    <col min="5630" max="5630" width="14.33203125" style="35" customWidth="1"/>
    <col min="5631" max="5632" width="3.33203125" style="35" customWidth="1"/>
    <col min="5633" max="5657" width="2.4140625" style="35" customWidth="1"/>
    <col min="5658" max="5659" width="3.33203125" style="35" customWidth="1"/>
    <col min="5660" max="5660" width="14.33203125" style="35" customWidth="1"/>
    <col min="5661" max="5885" width="8.6640625" style="35"/>
    <col min="5886" max="5886" width="14.33203125" style="35" customWidth="1"/>
    <col min="5887" max="5888" width="3.33203125" style="35" customWidth="1"/>
    <col min="5889" max="5913" width="2.4140625" style="35" customWidth="1"/>
    <col min="5914" max="5915" width="3.33203125" style="35" customWidth="1"/>
    <col min="5916" max="5916" width="14.33203125" style="35" customWidth="1"/>
    <col min="5917" max="6141" width="8.6640625" style="35"/>
    <col min="6142" max="6142" width="14.33203125" style="35" customWidth="1"/>
    <col min="6143" max="6144" width="3.33203125" style="35" customWidth="1"/>
    <col min="6145" max="6169" width="2.4140625" style="35" customWidth="1"/>
    <col min="6170" max="6171" width="3.33203125" style="35" customWidth="1"/>
    <col min="6172" max="6172" width="14.33203125" style="35" customWidth="1"/>
    <col min="6173" max="6397" width="8.6640625" style="35"/>
    <col min="6398" max="6398" width="14.33203125" style="35" customWidth="1"/>
    <col min="6399" max="6400" width="3.33203125" style="35" customWidth="1"/>
    <col min="6401" max="6425" width="2.4140625" style="35" customWidth="1"/>
    <col min="6426" max="6427" width="3.33203125" style="35" customWidth="1"/>
    <col min="6428" max="6428" width="14.33203125" style="35" customWidth="1"/>
    <col min="6429" max="6653" width="8.6640625" style="35"/>
    <col min="6654" max="6654" width="14.33203125" style="35" customWidth="1"/>
    <col min="6655" max="6656" width="3.33203125" style="35" customWidth="1"/>
    <col min="6657" max="6681" width="2.4140625" style="35" customWidth="1"/>
    <col min="6682" max="6683" width="3.33203125" style="35" customWidth="1"/>
    <col min="6684" max="6684" width="14.33203125" style="35" customWidth="1"/>
    <col min="6685" max="6909" width="8.6640625" style="35"/>
    <col min="6910" max="6910" width="14.33203125" style="35" customWidth="1"/>
    <col min="6911" max="6912" width="3.33203125" style="35" customWidth="1"/>
    <col min="6913" max="6937" width="2.4140625" style="35" customWidth="1"/>
    <col min="6938" max="6939" width="3.33203125" style="35" customWidth="1"/>
    <col min="6940" max="6940" width="14.33203125" style="35" customWidth="1"/>
    <col min="6941" max="7165" width="8.6640625" style="35"/>
    <col min="7166" max="7166" width="14.33203125" style="35" customWidth="1"/>
    <col min="7167" max="7168" width="3.33203125" style="35" customWidth="1"/>
    <col min="7169" max="7193" width="2.4140625" style="35" customWidth="1"/>
    <col min="7194" max="7195" width="3.33203125" style="35" customWidth="1"/>
    <col min="7196" max="7196" width="14.33203125" style="35" customWidth="1"/>
    <col min="7197" max="7421" width="8.6640625" style="35"/>
    <col min="7422" max="7422" width="14.33203125" style="35" customWidth="1"/>
    <col min="7423" max="7424" width="3.33203125" style="35" customWidth="1"/>
    <col min="7425" max="7449" width="2.4140625" style="35" customWidth="1"/>
    <col min="7450" max="7451" width="3.33203125" style="35" customWidth="1"/>
    <col min="7452" max="7452" width="14.33203125" style="35" customWidth="1"/>
    <col min="7453" max="7677" width="8.6640625" style="35"/>
    <col min="7678" max="7678" width="14.33203125" style="35" customWidth="1"/>
    <col min="7679" max="7680" width="3.33203125" style="35" customWidth="1"/>
    <col min="7681" max="7705" width="2.4140625" style="35" customWidth="1"/>
    <col min="7706" max="7707" width="3.33203125" style="35" customWidth="1"/>
    <col min="7708" max="7708" width="14.33203125" style="35" customWidth="1"/>
    <col min="7709" max="7933" width="8.6640625" style="35"/>
    <col min="7934" max="7934" width="14.33203125" style="35" customWidth="1"/>
    <col min="7935" max="7936" width="3.33203125" style="35" customWidth="1"/>
    <col min="7937" max="7961" width="2.4140625" style="35" customWidth="1"/>
    <col min="7962" max="7963" width="3.33203125" style="35" customWidth="1"/>
    <col min="7964" max="7964" width="14.33203125" style="35" customWidth="1"/>
    <col min="7965" max="8189" width="8.6640625" style="35"/>
    <col min="8190" max="8190" width="14.33203125" style="35" customWidth="1"/>
    <col min="8191" max="8192" width="3.33203125" style="35" customWidth="1"/>
    <col min="8193" max="8217" width="2.4140625" style="35" customWidth="1"/>
    <col min="8218" max="8219" width="3.33203125" style="35" customWidth="1"/>
    <col min="8220" max="8220" width="14.33203125" style="35" customWidth="1"/>
    <col min="8221" max="8445" width="8.6640625" style="35"/>
    <col min="8446" max="8446" width="14.33203125" style="35" customWidth="1"/>
    <col min="8447" max="8448" width="3.33203125" style="35" customWidth="1"/>
    <col min="8449" max="8473" width="2.4140625" style="35" customWidth="1"/>
    <col min="8474" max="8475" width="3.33203125" style="35" customWidth="1"/>
    <col min="8476" max="8476" width="14.33203125" style="35" customWidth="1"/>
    <col min="8477" max="8701" width="8.6640625" style="35"/>
    <col min="8702" max="8702" width="14.33203125" style="35" customWidth="1"/>
    <col min="8703" max="8704" width="3.33203125" style="35" customWidth="1"/>
    <col min="8705" max="8729" width="2.4140625" style="35" customWidth="1"/>
    <col min="8730" max="8731" width="3.33203125" style="35" customWidth="1"/>
    <col min="8732" max="8732" width="14.33203125" style="35" customWidth="1"/>
    <col min="8733" max="8957" width="8.6640625" style="35"/>
    <col min="8958" max="8958" width="14.33203125" style="35" customWidth="1"/>
    <col min="8959" max="8960" width="3.33203125" style="35" customWidth="1"/>
    <col min="8961" max="8985" width="2.4140625" style="35" customWidth="1"/>
    <col min="8986" max="8987" width="3.33203125" style="35" customWidth="1"/>
    <col min="8988" max="8988" width="14.33203125" style="35" customWidth="1"/>
    <col min="8989" max="9213" width="8.6640625" style="35"/>
    <col min="9214" max="9214" width="14.33203125" style="35" customWidth="1"/>
    <col min="9215" max="9216" width="3.33203125" style="35" customWidth="1"/>
    <col min="9217" max="9241" width="2.4140625" style="35" customWidth="1"/>
    <col min="9242" max="9243" width="3.33203125" style="35" customWidth="1"/>
    <col min="9244" max="9244" width="14.33203125" style="35" customWidth="1"/>
    <col min="9245" max="9469" width="8.6640625" style="35"/>
    <col min="9470" max="9470" width="14.33203125" style="35" customWidth="1"/>
    <col min="9471" max="9472" width="3.33203125" style="35" customWidth="1"/>
    <col min="9473" max="9497" width="2.4140625" style="35" customWidth="1"/>
    <col min="9498" max="9499" width="3.33203125" style="35" customWidth="1"/>
    <col min="9500" max="9500" width="14.33203125" style="35" customWidth="1"/>
    <col min="9501" max="9725" width="8.6640625" style="35"/>
    <col min="9726" max="9726" width="14.33203125" style="35" customWidth="1"/>
    <col min="9727" max="9728" width="3.33203125" style="35" customWidth="1"/>
    <col min="9729" max="9753" width="2.4140625" style="35" customWidth="1"/>
    <col min="9754" max="9755" width="3.33203125" style="35" customWidth="1"/>
    <col min="9756" max="9756" width="14.33203125" style="35" customWidth="1"/>
    <col min="9757" max="9981" width="8.6640625" style="35"/>
    <col min="9982" max="9982" width="14.33203125" style="35" customWidth="1"/>
    <col min="9983" max="9984" width="3.33203125" style="35" customWidth="1"/>
    <col min="9985" max="10009" width="2.4140625" style="35" customWidth="1"/>
    <col min="10010" max="10011" width="3.33203125" style="35" customWidth="1"/>
    <col min="10012" max="10012" width="14.33203125" style="35" customWidth="1"/>
    <col min="10013" max="10237" width="8.6640625" style="35"/>
    <col min="10238" max="10238" width="14.33203125" style="35" customWidth="1"/>
    <col min="10239" max="10240" width="3.33203125" style="35" customWidth="1"/>
    <col min="10241" max="10265" width="2.4140625" style="35" customWidth="1"/>
    <col min="10266" max="10267" width="3.33203125" style="35" customWidth="1"/>
    <col min="10268" max="10268" width="14.33203125" style="35" customWidth="1"/>
    <col min="10269" max="10493" width="8.6640625" style="35"/>
    <col min="10494" max="10494" width="14.33203125" style="35" customWidth="1"/>
    <col min="10495" max="10496" width="3.33203125" style="35" customWidth="1"/>
    <col min="10497" max="10521" width="2.4140625" style="35" customWidth="1"/>
    <col min="10522" max="10523" width="3.33203125" style="35" customWidth="1"/>
    <col min="10524" max="10524" width="14.33203125" style="35" customWidth="1"/>
    <col min="10525" max="10749" width="8.6640625" style="35"/>
    <col min="10750" max="10750" width="14.33203125" style="35" customWidth="1"/>
    <col min="10751" max="10752" width="3.33203125" style="35" customWidth="1"/>
    <col min="10753" max="10777" width="2.4140625" style="35" customWidth="1"/>
    <col min="10778" max="10779" width="3.33203125" style="35" customWidth="1"/>
    <col min="10780" max="10780" width="14.33203125" style="35" customWidth="1"/>
    <col min="10781" max="11005" width="8.6640625" style="35"/>
    <col min="11006" max="11006" width="14.33203125" style="35" customWidth="1"/>
    <col min="11007" max="11008" width="3.33203125" style="35" customWidth="1"/>
    <col min="11009" max="11033" width="2.4140625" style="35" customWidth="1"/>
    <col min="11034" max="11035" width="3.33203125" style="35" customWidth="1"/>
    <col min="11036" max="11036" width="14.33203125" style="35" customWidth="1"/>
    <col min="11037" max="11261" width="8.6640625" style="35"/>
    <col min="11262" max="11262" width="14.33203125" style="35" customWidth="1"/>
    <col min="11263" max="11264" width="3.33203125" style="35" customWidth="1"/>
    <col min="11265" max="11289" width="2.4140625" style="35" customWidth="1"/>
    <col min="11290" max="11291" width="3.33203125" style="35" customWidth="1"/>
    <col min="11292" max="11292" width="14.33203125" style="35" customWidth="1"/>
    <col min="11293" max="11517" width="8.6640625" style="35"/>
    <col min="11518" max="11518" width="14.33203125" style="35" customWidth="1"/>
    <col min="11519" max="11520" width="3.33203125" style="35" customWidth="1"/>
    <col min="11521" max="11545" width="2.4140625" style="35" customWidth="1"/>
    <col min="11546" max="11547" width="3.33203125" style="35" customWidth="1"/>
    <col min="11548" max="11548" width="14.33203125" style="35" customWidth="1"/>
    <col min="11549" max="11773" width="8.6640625" style="35"/>
    <col min="11774" max="11774" width="14.33203125" style="35" customWidth="1"/>
    <col min="11775" max="11776" width="3.33203125" style="35" customWidth="1"/>
    <col min="11777" max="11801" width="2.4140625" style="35" customWidth="1"/>
    <col min="11802" max="11803" width="3.33203125" style="35" customWidth="1"/>
    <col min="11804" max="11804" width="14.33203125" style="35" customWidth="1"/>
    <col min="11805" max="12029" width="8.6640625" style="35"/>
    <col min="12030" max="12030" width="14.33203125" style="35" customWidth="1"/>
    <col min="12031" max="12032" width="3.33203125" style="35" customWidth="1"/>
    <col min="12033" max="12057" width="2.4140625" style="35" customWidth="1"/>
    <col min="12058" max="12059" width="3.33203125" style="35" customWidth="1"/>
    <col min="12060" max="12060" width="14.33203125" style="35" customWidth="1"/>
    <col min="12061" max="12285" width="8.6640625" style="35"/>
    <col min="12286" max="12286" width="14.33203125" style="35" customWidth="1"/>
    <col min="12287" max="12288" width="3.33203125" style="35" customWidth="1"/>
    <col min="12289" max="12313" width="2.4140625" style="35" customWidth="1"/>
    <col min="12314" max="12315" width="3.33203125" style="35" customWidth="1"/>
    <col min="12316" max="12316" width="14.33203125" style="35" customWidth="1"/>
    <col min="12317" max="12541" width="8.6640625" style="35"/>
    <col min="12542" max="12542" width="14.33203125" style="35" customWidth="1"/>
    <col min="12543" max="12544" width="3.33203125" style="35" customWidth="1"/>
    <col min="12545" max="12569" width="2.4140625" style="35" customWidth="1"/>
    <col min="12570" max="12571" width="3.33203125" style="35" customWidth="1"/>
    <col min="12572" max="12572" width="14.33203125" style="35" customWidth="1"/>
    <col min="12573" max="12797" width="8.6640625" style="35"/>
    <col min="12798" max="12798" width="14.33203125" style="35" customWidth="1"/>
    <col min="12799" max="12800" width="3.33203125" style="35" customWidth="1"/>
    <col min="12801" max="12825" width="2.4140625" style="35" customWidth="1"/>
    <col min="12826" max="12827" width="3.33203125" style="35" customWidth="1"/>
    <col min="12828" max="12828" width="14.33203125" style="35" customWidth="1"/>
    <col min="12829" max="13053" width="8.6640625" style="35"/>
    <col min="13054" max="13054" width="14.33203125" style="35" customWidth="1"/>
    <col min="13055" max="13056" width="3.33203125" style="35" customWidth="1"/>
    <col min="13057" max="13081" width="2.4140625" style="35" customWidth="1"/>
    <col min="13082" max="13083" width="3.33203125" style="35" customWidth="1"/>
    <col min="13084" max="13084" width="14.33203125" style="35" customWidth="1"/>
    <col min="13085" max="13309" width="8.6640625" style="35"/>
    <col min="13310" max="13310" width="14.33203125" style="35" customWidth="1"/>
    <col min="13311" max="13312" width="3.33203125" style="35" customWidth="1"/>
    <col min="13313" max="13337" width="2.4140625" style="35" customWidth="1"/>
    <col min="13338" max="13339" width="3.33203125" style="35" customWidth="1"/>
    <col min="13340" max="13340" width="14.33203125" style="35" customWidth="1"/>
    <col min="13341" max="13565" width="8.6640625" style="35"/>
    <col min="13566" max="13566" width="14.33203125" style="35" customWidth="1"/>
    <col min="13567" max="13568" width="3.33203125" style="35" customWidth="1"/>
    <col min="13569" max="13593" width="2.4140625" style="35" customWidth="1"/>
    <col min="13594" max="13595" width="3.33203125" style="35" customWidth="1"/>
    <col min="13596" max="13596" width="14.33203125" style="35" customWidth="1"/>
    <col min="13597" max="13821" width="8.6640625" style="35"/>
    <col min="13822" max="13822" width="14.33203125" style="35" customWidth="1"/>
    <col min="13823" max="13824" width="3.33203125" style="35" customWidth="1"/>
    <col min="13825" max="13849" width="2.4140625" style="35" customWidth="1"/>
    <col min="13850" max="13851" width="3.33203125" style="35" customWidth="1"/>
    <col min="13852" max="13852" width="14.33203125" style="35" customWidth="1"/>
    <col min="13853" max="14077" width="8.6640625" style="35"/>
    <col min="14078" max="14078" width="14.33203125" style="35" customWidth="1"/>
    <col min="14079" max="14080" width="3.33203125" style="35" customWidth="1"/>
    <col min="14081" max="14105" width="2.4140625" style="35" customWidth="1"/>
    <col min="14106" max="14107" width="3.33203125" style="35" customWidth="1"/>
    <col min="14108" max="14108" width="14.33203125" style="35" customWidth="1"/>
    <col min="14109" max="14333" width="8.6640625" style="35"/>
    <col min="14334" max="14334" width="14.33203125" style="35" customWidth="1"/>
    <col min="14335" max="14336" width="3.33203125" style="35" customWidth="1"/>
    <col min="14337" max="14361" width="2.4140625" style="35" customWidth="1"/>
    <col min="14362" max="14363" width="3.33203125" style="35" customWidth="1"/>
    <col min="14364" max="14364" width="14.33203125" style="35" customWidth="1"/>
    <col min="14365" max="14589" width="8.6640625" style="35"/>
    <col min="14590" max="14590" width="14.33203125" style="35" customWidth="1"/>
    <col min="14591" max="14592" width="3.33203125" style="35" customWidth="1"/>
    <col min="14593" max="14617" width="2.4140625" style="35" customWidth="1"/>
    <col min="14618" max="14619" width="3.33203125" style="35" customWidth="1"/>
    <col min="14620" max="14620" width="14.33203125" style="35" customWidth="1"/>
    <col min="14621" max="14845" width="8.6640625" style="35"/>
    <col min="14846" max="14846" width="14.33203125" style="35" customWidth="1"/>
    <col min="14847" max="14848" width="3.33203125" style="35" customWidth="1"/>
    <col min="14849" max="14873" width="2.4140625" style="35" customWidth="1"/>
    <col min="14874" max="14875" width="3.33203125" style="35" customWidth="1"/>
    <col min="14876" max="14876" width="14.33203125" style="35" customWidth="1"/>
    <col min="14877" max="15101" width="8.6640625" style="35"/>
    <col min="15102" max="15102" width="14.33203125" style="35" customWidth="1"/>
    <col min="15103" max="15104" width="3.33203125" style="35" customWidth="1"/>
    <col min="15105" max="15129" width="2.4140625" style="35" customWidth="1"/>
    <col min="15130" max="15131" width="3.33203125" style="35" customWidth="1"/>
    <col min="15132" max="15132" width="14.33203125" style="35" customWidth="1"/>
    <col min="15133" max="15357" width="8.6640625" style="35"/>
    <col min="15358" max="15358" width="14.33203125" style="35" customWidth="1"/>
    <col min="15359" max="15360" width="3.33203125" style="35" customWidth="1"/>
    <col min="15361" max="15385" width="2.4140625" style="35" customWidth="1"/>
    <col min="15386" max="15387" width="3.33203125" style="35" customWidth="1"/>
    <col min="15388" max="15388" width="14.33203125" style="35" customWidth="1"/>
    <col min="15389" max="15613" width="8.6640625" style="35"/>
    <col min="15614" max="15614" width="14.33203125" style="35" customWidth="1"/>
    <col min="15615" max="15616" width="3.33203125" style="35" customWidth="1"/>
    <col min="15617" max="15641" width="2.4140625" style="35" customWidth="1"/>
    <col min="15642" max="15643" width="3.33203125" style="35" customWidth="1"/>
    <col min="15644" max="15644" width="14.33203125" style="35" customWidth="1"/>
    <col min="15645" max="15869" width="8.6640625" style="35"/>
    <col min="15870" max="15870" width="14.33203125" style="35" customWidth="1"/>
    <col min="15871" max="15872" width="3.33203125" style="35" customWidth="1"/>
    <col min="15873" max="15897" width="2.4140625" style="35" customWidth="1"/>
    <col min="15898" max="15899" width="3.33203125" style="35" customWidth="1"/>
    <col min="15900" max="15900" width="14.33203125" style="35" customWidth="1"/>
    <col min="15901" max="16125" width="8.6640625" style="35"/>
    <col min="16126" max="16126" width="14.33203125" style="35" customWidth="1"/>
    <col min="16127" max="16128" width="3.33203125" style="35" customWidth="1"/>
    <col min="16129" max="16153" width="2.4140625" style="35" customWidth="1"/>
    <col min="16154" max="16155" width="3.33203125" style="35" customWidth="1"/>
    <col min="16156" max="16156" width="14.33203125" style="35" customWidth="1"/>
    <col min="16157" max="16384" width="8.6640625" style="35"/>
  </cols>
  <sheetData>
    <row r="1" spans="1:31" ht="25" customHeight="1" x14ac:dyDescent="0.55000000000000004">
      <c r="A1" s="34" t="s">
        <v>363</v>
      </c>
      <c r="AC1" s="4"/>
      <c r="AD1" s="4"/>
      <c r="AE1" s="4"/>
    </row>
    <row r="2" spans="1:31" ht="25" customHeight="1" x14ac:dyDescent="0.55000000000000004">
      <c r="A2" s="34"/>
      <c r="AC2" s="4"/>
      <c r="AD2" s="4"/>
      <c r="AE2" s="4"/>
    </row>
    <row r="3" spans="1:31" ht="25" customHeight="1" x14ac:dyDescent="0.55000000000000004">
      <c r="A3" s="34"/>
      <c r="AC3" s="4"/>
      <c r="AD3" s="4"/>
      <c r="AE3" s="4"/>
    </row>
    <row r="4" spans="1:31" ht="25" customHeight="1" x14ac:dyDescent="0.55000000000000004">
      <c r="A4" s="34"/>
      <c r="AC4" s="4"/>
      <c r="AD4" s="4"/>
      <c r="AE4" s="4"/>
    </row>
    <row r="5" spans="1:31" ht="25" customHeight="1" x14ac:dyDescent="0.55000000000000004">
      <c r="A5" s="34"/>
      <c r="AC5" s="4"/>
      <c r="AD5" s="4"/>
      <c r="AE5" s="24" t="s">
        <v>1185</v>
      </c>
    </row>
    <row r="7" spans="1:31" ht="105" customHeight="1" x14ac:dyDescent="0.55000000000000004">
      <c r="F7" s="68" t="str">
        <f>'PF80'!V89</f>
        <v>VDDD</v>
      </c>
      <c r="G7" s="69">
        <f>'PF80'!V88</f>
        <v>0</v>
      </c>
      <c r="H7" s="69">
        <f>'PF80'!V87</f>
        <v>0</v>
      </c>
      <c r="I7" s="69">
        <f>'PF80'!V86</f>
        <v>0</v>
      </c>
      <c r="J7" s="69">
        <f>'PF80'!V85</f>
        <v>0</v>
      </c>
      <c r="K7" s="69">
        <f>'PF80'!V84</f>
        <v>0</v>
      </c>
      <c r="L7" s="69">
        <f>'PF80'!V83</f>
        <v>0</v>
      </c>
      <c r="M7" s="69">
        <f>'PF80'!V82</f>
        <v>0</v>
      </c>
      <c r="N7" s="68" t="str">
        <f>'PF80'!V81</f>
        <v>VCCD</v>
      </c>
      <c r="O7" s="70" t="str">
        <f>'PF80'!V80</f>
        <v>VSSD</v>
      </c>
      <c r="P7" s="70" t="str">
        <f>'PF80'!V79</f>
        <v>VSSD</v>
      </c>
      <c r="Q7" s="68" t="str">
        <f>'PF80'!V78</f>
        <v>VDDD</v>
      </c>
      <c r="R7" s="71" t="str">
        <f>'PF80'!V77</f>
        <v>XRES_L</v>
      </c>
      <c r="S7" s="69">
        <f>'PF80'!V76</f>
        <v>0</v>
      </c>
      <c r="T7" s="69">
        <f>'PF80'!V75</f>
        <v>0</v>
      </c>
      <c r="U7" s="69">
        <f>'PF80'!V74</f>
        <v>0</v>
      </c>
      <c r="V7" s="69">
        <f>'PF80'!V73</f>
        <v>0</v>
      </c>
      <c r="W7" s="69">
        <f>'PF80'!V72</f>
        <v>0</v>
      </c>
      <c r="X7" s="69">
        <f>'PF80'!V71</f>
        <v>0</v>
      </c>
      <c r="Y7" s="70" t="str">
        <f>'PF80'!V70</f>
        <v>VSSD</v>
      </c>
    </row>
    <row r="8" spans="1:31" ht="15" customHeight="1" x14ac:dyDescent="0.55000000000000004">
      <c r="D8" s="72"/>
      <c r="E8" s="73"/>
      <c r="F8" s="73">
        <v>80</v>
      </c>
      <c r="G8" s="73">
        <v>79</v>
      </c>
      <c r="H8" s="73">
        <v>78</v>
      </c>
      <c r="I8" s="73">
        <v>77</v>
      </c>
      <c r="J8" s="73">
        <v>76</v>
      </c>
      <c r="K8" s="73">
        <v>75</v>
      </c>
      <c r="L8" s="73">
        <v>74</v>
      </c>
      <c r="M8" s="73">
        <v>73</v>
      </c>
      <c r="N8" s="73">
        <v>72</v>
      </c>
      <c r="O8" s="73">
        <v>71</v>
      </c>
      <c r="P8" s="73">
        <v>70</v>
      </c>
      <c r="Q8" s="73">
        <v>69</v>
      </c>
      <c r="R8" s="73">
        <v>68</v>
      </c>
      <c r="S8" s="73">
        <v>67</v>
      </c>
      <c r="T8" s="73">
        <v>66</v>
      </c>
      <c r="U8" s="73">
        <v>65</v>
      </c>
      <c r="V8" s="73">
        <v>64</v>
      </c>
      <c r="W8" s="73">
        <v>63</v>
      </c>
      <c r="X8" s="73">
        <v>62</v>
      </c>
      <c r="Y8" s="73">
        <v>61</v>
      </c>
      <c r="Z8" s="73"/>
      <c r="AA8" s="74"/>
    </row>
    <row r="9" spans="1:31" ht="15" customHeight="1" x14ac:dyDescent="0.55000000000000004">
      <c r="D9" s="75"/>
      <c r="E9" s="76"/>
      <c r="F9" s="76"/>
      <c r="G9" s="76"/>
      <c r="H9" s="76"/>
      <c r="I9" s="76"/>
      <c r="J9" s="76"/>
      <c r="K9" s="76"/>
      <c r="L9" s="76"/>
      <c r="M9" s="76"/>
      <c r="N9" s="76"/>
      <c r="O9" s="76"/>
      <c r="P9" s="76"/>
      <c r="Q9" s="76"/>
      <c r="R9" s="76"/>
      <c r="S9" s="76"/>
      <c r="T9" s="76"/>
      <c r="U9" s="76"/>
      <c r="V9" s="76"/>
      <c r="W9" s="76"/>
      <c r="X9" s="76"/>
      <c r="Y9" s="76"/>
      <c r="Z9" s="76"/>
      <c r="AA9" s="77"/>
    </row>
    <row r="10" spans="1:31" ht="15" customHeight="1" x14ac:dyDescent="0.55000000000000004">
      <c r="B10" s="78"/>
      <c r="C10" s="79" t="str">
        <f>'PF80'!V10</f>
        <v>VSSD</v>
      </c>
      <c r="D10" s="75">
        <v>1</v>
      </c>
      <c r="E10" s="76"/>
      <c r="F10" s="136" t="s">
        <v>355</v>
      </c>
      <c r="G10" s="136"/>
      <c r="H10" s="136"/>
      <c r="I10" s="136"/>
      <c r="J10" s="136"/>
      <c r="K10" s="136"/>
      <c r="L10" s="136"/>
      <c r="M10" s="136"/>
      <c r="N10" s="136"/>
      <c r="O10" s="136"/>
      <c r="P10" s="136"/>
      <c r="Q10" s="136"/>
      <c r="R10" s="136"/>
      <c r="S10" s="136"/>
      <c r="T10" s="136"/>
      <c r="U10" s="136"/>
      <c r="V10" s="136"/>
      <c r="W10" s="136"/>
      <c r="X10" s="136"/>
      <c r="Y10" s="136"/>
      <c r="Z10" s="76"/>
      <c r="AA10" s="77">
        <v>60</v>
      </c>
      <c r="AB10" s="80" t="str">
        <f>'PF80'!V69</f>
        <v>VDDD</v>
      </c>
    </row>
    <row r="11" spans="1:31" ht="15" customHeight="1" x14ac:dyDescent="0.55000000000000004">
      <c r="B11" s="78"/>
      <c r="C11" s="81">
        <f>'PF80'!V11</f>
        <v>0</v>
      </c>
      <c r="D11" s="75">
        <v>2</v>
      </c>
      <c r="E11" s="76"/>
      <c r="F11" s="136"/>
      <c r="G11" s="136"/>
      <c r="H11" s="136"/>
      <c r="I11" s="136"/>
      <c r="J11" s="136"/>
      <c r="K11" s="136"/>
      <c r="L11" s="136"/>
      <c r="M11" s="136"/>
      <c r="N11" s="136"/>
      <c r="O11" s="136"/>
      <c r="P11" s="136"/>
      <c r="Q11" s="136"/>
      <c r="R11" s="136"/>
      <c r="S11" s="136"/>
      <c r="T11" s="136"/>
      <c r="U11" s="136"/>
      <c r="V11" s="136"/>
      <c r="W11" s="136"/>
      <c r="X11" s="136"/>
      <c r="Y11" s="136"/>
      <c r="Z11" s="76"/>
      <c r="AA11" s="77">
        <v>59</v>
      </c>
      <c r="AB11" s="82">
        <f>'PF80'!V68</f>
        <v>0</v>
      </c>
    </row>
    <row r="12" spans="1:31" ht="15" customHeight="1" x14ac:dyDescent="0.55000000000000004">
      <c r="B12" s="78"/>
      <c r="C12" s="81">
        <f>'PF80'!V12</f>
        <v>0</v>
      </c>
      <c r="D12" s="75">
        <v>3</v>
      </c>
      <c r="E12" s="76"/>
      <c r="F12" s="136"/>
      <c r="G12" s="136"/>
      <c r="H12" s="136"/>
      <c r="I12" s="136"/>
      <c r="J12" s="136"/>
      <c r="K12" s="136"/>
      <c r="L12" s="136"/>
      <c r="M12" s="136"/>
      <c r="N12" s="136"/>
      <c r="O12" s="136"/>
      <c r="P12" s="136"/>
      <c r="Q12" s="136"/>
      <c r="R12" s="136"/>
      <c r="S12" s="136"/>
      <c r="T12" s="136"/>
      <c r="U12" s="136"/>
      <c r="V12" s="136"/>
      <c r="W12" s="136"/>
      <c r="X12" s="136"/>
      <c r="Y12" s="136"/>
      <c r="Z12" s="76"/>
      <c r="AA12" s="77">
        <v>58</v>
      </c>
      <c r="AB12" s="82">
        <f>'PF80'!V67</f>
        <v>0</v>
      </c>
    </row>
    <row r="13" spans="1:31" ht="15" customHeight="1" x14ac:dyDescent="0.55000000000000004">
      <c r="B13" s="78"/>
      <c r="C13" s="81">
        <f>'PF80'!V13</f>
        <v>0</v>
      </c>
      <c r="D13" s="75">
        <v>4</v>
      </c>
      <c r="E13" s="76"/>
      <c r="F13" s="136"/>
      <c r="G13" s="136"/>
      <c r="H13" s="136"/>
      <c r="I13" s="136"/>
      <c r="J13" s="136"/>
      <c r="K13" s="136"/>
      <c r="L13" s="136"/>
      <c r="M13" s="136"/>
      <c r="N13" s="136"/>
      <c r="O13" s="136"/>
      <c r="P13" s="136"/>
      <c r="Q13" s="136"/>
      <c r="R13" s="136"/>
      <c r="S13" s="136"/>
      <c r="T13" s="136"/>
      <c r="U13" s="136"/>
      <c r="V13" s="136"/>
      <c r="W13" s="136"/>
      <c r="X13" s="136"/>
      <c r="Y13" s="136"/>
      <c r="Z13" s="76"/>
      <c r="AA13" s="77">
        <v>57</v>
      </c>
      <c r="AB13" s="82">
        <f>'PF80'!V66</f>
        <v>0</v>
      </c>
    </row>
    <row r="14" spans="1:31" ht="15" customHeight="1" x14ac:dyDescent="0.55000000000000004">
      <c r="B14" s="78"/>
      <c r="C14" s="81">
        <f>'PF80'!V14</f>
        <v>0</v>
      </c>
      <c r="D14" s="75">
        <v>5</v>
      </c>
      <c r="E14" s="76"/>
      <c r="F14" s="136"/>
      <c r="G14" s="136"/>
      <c r="H14" s="136"/>
      <c r="I14" s="136"/>
      <c r="J14" s="136"/>
      <c r="K14" s="136"/>
      <c r="L14" s="136"/>
      <c r="M14" s="136"/>
      <c r="N14" s="136"/>
      <c r="O14" s="136"/>
      <c r="P14" s="136"/>
      <c r="Q14" s="136"/>
      <c r="R14" s="136"/>
      <c r="S14" s="136"/>
      <c r="T14" s="136"/>
      <c r="U14" s="136"/>
      <c r="V14" s="136"/>
      <c r="W14" s="136"/>
      <c r="X14" s="136"/>
      <c r="Y14" s="136"/>
      <c r="Z14" s="76"/>
      <c r="AA14" s="77">
        <v>56</v>
      </c>
      <c r="AB14" s="82">
        <f>'PF80'!V65</f>
        <v>0</v>
      </c>
    </row>
    <row r="15" spans="1:31" ht="15" customHeight="1" x14ac:dyDescent="0.55000000000000004">
      <c r="B15" s="78"/>
      <c r="C15" s="81">
        <f>'PF80'!V15</f>
        <v>0</v>
      </c>
      <c r="D15" s="75">
        <v>6</v>
      </c>
      <c r="E15" s="76"/>
      <c r="F15" s="136"/>
      <c r="G15" s="136"/>
      <c r="H15" s="136"/>
      <c r="I15" s="136"/>
      <c r="J15" s="136"/>
      <c r="K15" s="136"/>
      <c r="L15" s="136"/>
      <c r="M15" s="136"/>
      <c r="N15" s="136"/>
      <c r="O15" s="136"/>
      <c r="P15" s="136"/>
      <c r="Q15" s="136"/>
      <c r="R15" s="136"/>
      <c r="S15" s="136"/>
      <c r="T15" s="136"/>
      <c r="U15" s="136"/>
      <c r="V15" s="136"/>
      <c r="W15" s="136"/>
      <c r="X15" s="136"/>
      <c r="Y15" s="136"/>
      <c r="Z15" s="76"/>
      <c r="AA15" s="77">
        <v>55</v>
      </c>
      <c r="AB15" s="82">
        <f>'PF80'!V64</f>
        <v>0</v>
      </c>
    </row>
    <row r="16" spans="1:31" ht="15" customHeight="1" x14ac:dyDescent="0.55000000000000004">
      <c r="B16" s="78"/>
      <c r="C16" s="81">
        <f>'PF80'!V16</f>
        <v>0</v>
      </c>
      <c r="D16" s="75">
        <v>7</v>
      </c>
      <c r="E16" s="76"/>
      <c r="F16" s="136"/>
      <c r="G16" s="136"/>
      <c r="H16" s="136"/>
      <c r="I16" s="136"/>
      <c r="J16" s="136"/>
      <c r="K16" s="136"/>
      <c r="L16" s="136"/>
      <c r="M16" s="136"/>
      <c r="N16" s="136"/>
      <c r="O16" s="136"/>
      <c r="P16" s="136"/>
      <c r="Q16" s="136"/>
      <c r="R16" s="136"/>
      <c r="S16" s="136"/>
      <c r="T16" s="136"/>
      <c r="U16" s="136"/>
      <c r="V16" s="136"/>
      <c r="W16" s="136"/>
      <c r="X16" s="136"/>
      <c r="Y16" s="136"/>
      <c r="Z16" s="76"/>
      <c r="AA16" s="77">
        <v>54</v>
      </c>
      <c r="AB16" s="82">
        <f>'PF80'!V63</f>
        <v>0</v>
      </c>
    </row>
    <row r="17" spans="2:28" ht="15" customHeight="1" x14ac:dyDescent="0.55000000000000004">
      <c r="B17" s="78"/>
      <c r="C17" s="81">
        <f>'PF80'!V17</f>
        <v>0</v>
      </c>
      <c r="D17" s="75">
        <v>8</v>
      </c>
      <c r="E17" s="76"/>
      <c r="F17" s="136"/>
      <c r="G17" s="136"/>
      <c r="H17" s="136"/>
      <c r="I17" s="136"/>
      <c r="J17" s="136"/>
      <c r="K17" s="136"/>
      <c r="L17" s="136"/>
      <c r="M17" s="136"/>
      <c r="N17" s="136"/>
      <c r="O17" s="136"/>
      <c r="P17" s="136"/>
      <c r="Q17" s="136"/>
      <c r="R17" s="136"/>
      <c r="S17" s="136"/>
      <c r="T17" s="136"/>
      <c r="U17" s="136"/>
      <c r="V17" s="136"/>
      <c r="W17" s="136"/>
      <c r="X17" s="136"/>
      <c r="Y17" s="136"/>
      <c r="Z17" s="76"/>
      <c r="AA17" s="77">
        <v>53</v>
      </c>
      <c r="AB17" s="82">
        <f>'PF80'!V62</f>
        <v>0</v>
      </c>
    </row>
    <row r="18" spans="2:28" ht="15" customHeight="1" x14ac:dyDescent="0.55000000000000004">
      <c r="B18" s="78"/>
      <c r="C18" s="81">
        <f>'PF80'!V18</f>
        <v>0</v>
      </c>
      <c r="D18" s="75">
        <v>9</v>
      </c>
      <c r="E18" s="76"/>
      <c r="F18" s="136"/>
      <c r="G18" s="136"/>
      <c r="H18" s="136"/>
      <c r="I18" s="136"/>
      <c r="J18" s="136"/>
      <c r="K18" s="136"/>
      <c r="L18" s="136"/>
      <c r="M18" s="136"/>
      <c r="N18" s="136"/>
      <c r="O18" s="136"/>
      <c r="P18" s="136"/>
      <c r="Q18" s="136"/>
      <c r="R18" s="136"/>
      <c r="S18" s="136"/>
      <c r="T18" s="136"/>
      <c r="U18" s="136"/>
      <c r="V18" s="136"/>
      <c r="W18" s="136"/>
      <c r="X18" s="136"/>
      <c r="Y18" s="136"/>
      <c r="Z18" s="76"/>
      <c r="AA18" s="77">
        <v>52</v>
      </c>
      <c r="AB18" s="82">
        <f>'PF80'!V61</f>
        <v>0</v>
      </c>
    </row>
    <row r="19" spans="2:28" ht="15" customHeight="1" x14ac:dyDescent="0.55000000000000004">
      <c r="B19" s="78"/>
      <c r="C19" s="81">
        <f>'PF80'!V19</f>
        <v>0</v>
      </c>
      <c r="D19" s="75">
        <v>10</v>
      </c>
      <c r="E19" s="76"/>
      <c r="F19" s="136"/>
      <c r="G19" s="136"/>
      <c r="H19" s="136"/>
      <c r="I19" s="136"/>
      <c r="J19" s="136"/>
      <c r="K19" s="136"/>
      <c r="L19" s="136"/>
      <c r="M19" s="136"/>
      <c r="N19" s="136"/>
      <c r="O19" s="136"/>
      <c r="P19" s="136"/>
      <c r="Q19" s="136"/>
      <c r="R19" s="136"/>
      <c r="S19" s="136"/>
      <c r="T19" s="136"/>
      <c r="U19" s="136"/>
      <c r="V19" s="136"/>
      <c r="W19" s="136"/>
      <c r="X19" s="136"/>
      <c r="Y19" s="136"/>
      <c r="Z19" s="76"/>
      <c r="AA19" s="77">
        <v>51</v>
      </c>
      <c r="AB19" s="82">
        <f>'PF80'!V60</f>
        <v>0</v>
      </c>
    </row>
    <row r="20" spans="2:28" ht="15" customHeight="1" x14ac:dyDescent="0.55000000000000004">
      <c r="B20" s="78"/>
      <c r="C20" s="81">
        <f>'PF80'!V20</f>
        <v>0</v>
      </c>
      <c r="D20" s="75">
        <v>11</v>
      </c>
      <c r="E20" s="76"/>
      <c r="F20" s="136"/>
      <c r="G20" s="136"/>
      <c r="H20" s="136"/>
      <c r="I20" s="136"/>
      <c r="J20" s="136"/>
      <c r="K20" s="136"/>
      <c r="L20" s="136"/>
      <c r="M20" s="136"/>
      <c r="N20" s="136"/>
      <c r="O20" s="136"/>
      <c r="P20" s="136"/>
      <c r="Q20" s="136"/>
      <c r="R20" s="136"/>
      <c r="S20" s="136"/>
      <c r="T20" s="136"/>
      <c r="U20" s="136"/>
      <c r="V20" s="136"/>
      <c r="W20" s="136"/>
      <c r="X20" s="136"/>
      <c r="Y20" s="136"/>
      <c r="Z20" s="76"/>
      <c r="AA20" s="77">
        <v>50</v>
      </c>
      <c r="AB20" s="82">
        <f>'PF80'!V59</f>
        <v>0</v>
      </c>
    </row>
    <row r="21" spans="2:28" ht="15" customHeight="1" x14ac:dyDescent="0.55000000000000004">
      <c r="B21" s="78"/>
      <c r="C21" s="81">
        <f>'PF80'!V21</f>
        <v>0</v>
      </c>
      <c r="D21" s="75">
        <v>12</v>
      </c>
      <c r="E21" s="76"/>
      <c r="F21" s="136"/>
      <c r="G21" s="136"/>
      <c r="H21" s="136"/>
      <c r="I21" s="136"/>
      <c r="J21" s="136"/>
      <c r="K21" s="136"/>
      <c r="L21" s="136"/>
      <c r="M21" s="136"/>
      <c r="N21" s="136"/>
      <c r="O21" s="136"/>
      <c r="P21" s="136"/>
      <c r="Q21" s="136"/>
      <c r="R21" s="136"/>
      <c r="S21" s="136"/>
      <c r="T21" s="136"/>
      <c r="U21" s="136"/>
      <c r="V21" s="136"/>
      <c r="W21" s="136"/>
      <c r="X21" s="136"/>
      <c r="Y21" s="136"/>
      <c r="Z21" s="76"/>
      <c r="AA21" s="77">
        <v>49</v>
      </c>
      <c r="AB21" s="82">
        <f>'PF80'!V58</f>
        <v>0</v>
      </c>
    </row>
    <row r="22" spans="2:28" ht="15" customHeight="1" x14ac:dyDescent="0.55000000000000004">
      <c r="B22" s="78"/>
      <c r="C22" s="81">
        <f>'PF80'!V22</f>
        <v>0</v>
      </c>
      <c r="D22" s="75">
        <v>13</v>
      </c>
      <c r="E22" s="76"/>
      <c r="F22" s="136"/>
      <c r="G22" s="136"/>
      <c r="H22" s="136"/>
      <c r="I22" s="136"/>
      <c r="J22" s="136"/>
      <c r="K22" s="136"/>
      <c r="L22" s="136"/>
      <c r="M22" s="136"/>
      <c r="N22" s="136"/>
      <c r="O22" s="136"/>
      <c r="P22" s="136"/>
      <c r="Q22" s="136"/>
      <c r="R22" s="136"/>
      <c r="S22" s="136"/>
      <c r="T22" s="136"/>
      <c r="U22" s="136"/>
      <c r="V22" s="136"/>
      <c r="W22" s="136"/>
      <c r="X22" s="136"/>
      <c r="Y22" s="136"/>
      <c r="Z22" s="76"/>
      <c r="AA22" s="77">
        <v>48</v>
      </c>
      <c r="AB22" s="82">
        <f>'PF80'!V57</f>
        <v>0</v>
      </c>
    </row>
    <row r="23" spans="2:28" ht="15" customHeight="1" x14ac:dyDescent="0.55000000000000004">
      <c r="B23" s="78"/>
      <c r="C23" s="81">
        <f>'PF80'!V23</f>
        <v>0</v>
      </c>
      <c r="D23" s="75">
        <v>14</v>
      </c>
      <c r="E23" s="76"/>
      <c r="F23" s="136"/>
      <c r="G23" s="136"/>
      <c r="H23" s="136"/>
      <c r="I23" s="136"/>
      <c r="J23" s="136"/>
      <c r="K23" s="136"/>
      <c r="L23" s="136"/>
      <c r="M23" s="136"/>
      <c r="N23" s="136"/>
      <c r="O23" s="136"/>
      <c r="P23" s="136"/>
      <c r="Q23" s="136"/>
      <c r="R23" s="136"/>
      <c r="S23" s="136"/>
      <c r="T23" s="136"/>
      <c r="U23" s="136"/>
      <c r="V23" s="136"/>
      <c r="W23" s="136"/>
      <c r="X23" s="136"/>
      <c r="Y23" s="136"/>
      <c r="Z23" s="76"/>
      <c r="AA23" s="77">
        <v>47</v>
      </c>
      <c r="AB23" s="82">
        <f>'PF80'!V56</f>
        <v>0</v>
      </c>
    </row>
    <row r="24" spans="2:28" ht="15" customHeight="1" x14ac:dyDescent="0.55000000000000004">
      <c r="B24" s="78"/>
      <c r="C24" s="81">
        <f>'PF80'!V24</f>
        <v>0</v>
      </c>
      <c r="D24" s="75">
        <v>15</v>
      </c>
      <c r="E24" s="76"/>
      <c r="F24" s="136"/>
      <c r="G24" s="136"/>
      <c r="H24" s="136"/>
      <c r="I24" s="136"/>
      <c r="J24" s="136"/>
      <c r="K24" s="136"/>
      <c r="L24" s="136"/>
      <c r="M24" s="136"/>
      <c r="N24" s="136"/>
      <c r="O24" s="136"/>
      <c r="P24" s="136"/>
      <c r="Q24" s="136"/>
      <c r="R24" s="136"/>
      <c r="S24" s="136"/>
      <c r="T24" s="136"/>
      <c r="U24" s="136"/>
      <c r="V24" s="136"/>
      <c r="W24" s="136"/>
      <c r="X24" s="136"/>
      <c r="Y24" s="136"/>
      <c r="Z24" s="76"/>
      <c r="AA24" s="77">
        <v>46</v>
      </c>
      <c r="AB24" s="82">
        <f>'PF80'!V55</f>
        <v>0</v>
      </c>
    </row>
    <row r="25" spans="2:28" ht="15" customHeight="1" x14ac:dyDescent="0.55000000000000004">
      <c r="B25" s="78"/>
      <c r="C25" s="81">
        <f>'PF80'!V25</f>
        <v>0</v>
      </c>
      <c r="D25" s="75">
        <v>16</v>
      </c>
      <c r="E25" s="76"/>
      <c r="F25" s="136"/>
      <c r="G25" s="136"/>
      <c r="H25" s="136"/>
      <c r="I25" s="136"/>
      <c r="J25" s="136"/>
      <c r="K25" s="136"/>
      <c r="L25" s="136"/>
      <c r="M25" s="136"/>
      <c r="N25" s="136"/>
      <c r="O25" s="136"/>
      <c r="P25" s="136"/>
      <c r="Q25" s="136"/>
      <c r="R25" s="136"/>
      <c r="S25" s="136"/>
      <c r="T25" s="136"/>
      <c r="U25" s="136"/>
      <c r="V25" s="136"/>
      <c r="W25" s="136"/>
      <c r="X25" s="136"/>
      <c r="Y25" s="136"/>
      <c r="Z25" s="76"/>
      <c r="AA25" s="77">
        <v>45</v>
      </c>
      <c r="AB25" s="82">
        <f>'PF80'!V54</f>
        <v>0</v>
      </c>
    </row>
    <row r="26" spans="2:28" ht="15" customHeight="1" x14ac:dyDescent="0.55000000000000004">
      <c r="B26" s="78"/>
      <c r="C26" s="81">
        <f>'PF80'!V26</f>
        <v>0</v>
      </c>
      <c r="D26" s="75">
        <v>17</v>
      </c>
      <c r="E26" s="76"/>
      <c r="F26" s="136"/>
      <c r="G26" s="136"/>
      <c r="H26" s="136"/>
      <c r="I26" s="136"/>
      <c r="J26" s="136"/>
      <c r="K26" s="136"/>
      <c r="L26" s="136"/>
      <c r="M26" s="136"/>
      <c r="N26" s="136"/>
      <c r="O26" s="136"/>
      <c r="P26" s="136"/>
      <c r="Q26" s="136"/>
      <c r="R26" s="136"/>
      <c r="S26" s="136"/>
      <c r="T26" s="136"/>
      <c r="U26" s="136"/>
      <c r="V26" s="136"/>
      <c r="W26" s="136"/>
      <c r="X26" s="136"/>
      <c r="Y26" s="136"/>
      <c r="Z26" s="76"/>
      <c r="AA26" s="77">
        <v>44</v>
      </c>
      <c r="AB26" s="82">
        <f>'PF80'!V53</f>
        <v>0</v>
      </c>
    </row>
    <row r="27" spans="2:28" ht="15" customHeight="1" x14ac:dyDescent="0.55000000000000004">
      <c r="B27" s="78"/>
      <c r="C27" s="81">
        <f>'PF80'!V27</f>
        <v>0</v>
      </c>
      <c r="D27" s="75">
        <v>18</v>
      </c>
      <c r="E27" s="76"/>
      <c r="F27" s="136"/>
      <c r="G27" s="136"/>
      <c r="H27" s="136"/>
      <c r="I27" s="136"/>
      <c r="J27" s="136"/>
      <c r="K27" s="136"/>
      <c r="L27" s="136"/>
      <c r="M27" s="136"/>
      <c r="N27" s="136"/>
      <c r="O27" s="136"/>
      <c r="P27" s="136"/>
      <c r="Q27" s="136"/>
      <c r="R27" s="136"/>
      <c r="S27" s="136"/>
      <c r="T27" s="136"/>
      <c r="U27" s="136"/>
      <c r="V27" s="136"/>
      <c r="W27" s="136"/>
      <c r="X27" s="136"/>
      <c r="Y27" s="136"/>
      <c r="Z27" s="76"/>
      <c r="AA27" s="77">
        <v>43</v>
      </c>
      <c r="AB27" s="82">
        <f>'PF80'!V52</f>
        <v>0</v>
      </c>
    </row>
    <row r="28" spans="2:28" ht="15" customHeight="1" x14ac:dyDescent="0.55000000000000004">
      <c r="B28" s="78"/>
      <c r="C28" s="81">
        <f>'PF80'!V28</f>
        <v>0</v>
      </c>
      <c r="D28" s="75">
        <v>19</v>
      </c>
      <c r="E28" s="76"/>
      <c r="F28" s="136"/>
      <c r="G28" s="136"/>
      <c r="H28" s="136"/>
      <c r="I28" s="136"/>
      <c r="J28" s="136"/>
      <c r="K28" s="136"/>
      <c r="L28" s="136"/>
      <c r="M28" s="136"/>
      <c r="N28" s="136"/>
      <c r="O28" s="136"/>
      <c r="P28" s="136"/>
      <c r="Q28" s="136"/>
      <c r="R28" s="136"/>
      <c r="S28" s="136"/>
      <c r="T28" s="136"/>
      <c r="U28" s="136"/>
      <c r="V28" s="136"/>
      <c r="W28" s="136"/>
      <c r="X28" s="136"/>
      <c r="Y28" s="136"/>
      <c r="Z28" s="76"/>
      <c r="AA28" s="77">
        <v>42</v>
      </c>
      <c r="AB28" s="82">
        <f>'PF80'!V51</f>
        <v>0</v>
      </c>
    </row>
    <row r="29" spans="2:28" ht="15" customHeight="1" x14ac:dyDescent="0.55000000000000004">
      <c r="B29" s="78"/>
      <c r="C29" s="83" t="str">
        <f>'PF80'!V29</f>
        <v>VDDIO_1</v>
      </c>
      <c r="D29" s="75">
        <v>20</v>
      </c>
      <c r="E29" s="76"/>
      <c r="F29" s="136"/>
      <c r="G29" s="136"/>
      <c r="H29" s="136"/>
      <c r="I29" s="136"/>
      <c r="J29" s="136"/>
      <c r="K29" s="136"/>
      <c r="L29" s="136"/>
      <c r="M29" s="136"/>
      <c r="N29" s="136"/>
      <c r="O29" s="136"/>
      <c r="P29" s="136"/>
      <c r="Q29" s="136"/>
      <c r="R29" s="136"/>
      <c r="S29" s="136"/>
      <c r="T29" s="136"/>
      <c r="U29" s="136"/>
      <c r="V29" s="136"/>
      <c r="W29" s="136"/>
      <c r="X29" s="136"/>
      <c r="Y29" s="136"/>
      <c r="Z29" s="76"/>
      <c r="AA29" s="77">
        <v>41</v>
      </c>
      <c r="AB29" s="84" t="str">
        <f>'PF80'!V50</f>
        <v>VSSD</v>
      </c>
    </row>
    <row r="30" spans="2:28" ht="15" customHeight="1" x14ac:dyDescent="0.55000000000000004">
      <c r="D30" s="75"/>
      <c r="E30" s="76"/>
      <c r="F30" s="76"/>
      <c r="G30" s="76"/>
      <c r="H30" s="76"/>
      <c r="I30" s="76"/>
      <c r="J30" s="76"/>
      <c r="K30" s="76"/>
      <c r="L30" s="76"/>
      <c r="M30" s="76"/>
      <c r="N30" s="76"/>
      <c r="O30" s="76"/>
      <c r="P30" s="76"/>
      <c r="Q30" s="76"/>
      <c r="R30" s="76"/>
      <c r="S30" s="76"/>
      <c r="T30" s="76"/>
      <c r="U30" s="76"/>
      <c r="V30" s="76"/>
      <c r="W30" s="76"/>
      <c r="X30" s="76"/>
      <c r="Y30" s="76"/>
      <c r="Z30" s="76"/>
      <c r="AA30" s="77"/>
    </row>
    <row r="31" spans="2:28" ht="15" customHeight="1" x14ac:dyDescent="0.55000000000000004">
      <c r="D31" s="74"/>
      <c r="E31" s="85"/>
      <c r="F31" s="85">
        <v>21</v>
      </c>
      <c r="G31" s="85">
        <v>22</v>
      </c>
      <c r="H31" s="85">
        <v>23</v>
      </c>
      <c r="I31" s="85">
        <v>24</v>
      </c>
      <c r="J31" s="85">
        <v>25</v>
      </c>
      <c r="K31" s="85">
        <v>26</v>
      </c>
      <c r="L31" s="85">
        <v>27</v>
      </c>
      <c r="M31" s="85">
        <v>28</v>
      </c>
      <c r="N31" s="85">
        <v>29</v>
      </c>
      <c r="O31" s="85">
        <v>30</v>
      </c>
      <c r="P31" s="85">
        <v>31</v>
      </c>
      <c r="Q31" s="85">
        <v>32</v>
      </c>
      <c r="R31" s="85">
        <v>33</v>
      </c>
      <c r="S31" s="85">
        <v>34</v>
      </c>
      <c r="T31" s="85">
        <v>35</v>
      </c>
      <c r="U31" s="85">
        <v>36</v>
      </c>
      <c r="V31" s="85">
        <v>37</v>
      </c>
      <c r="W31" s="85">
        <v>38</v>
      </c>
      <c r="X31" s="85">
        <v>39</v>
      </c>
      <c r="Y31" s="85">
        <v>40</v>
      </c>
      <c r="Z31" s="85"/>
      <c r="AA31" s="72"/>
    </row>
    <row r="32" spans="2:28" ht="105" customHeight="1" x14ac:dyDescent="0.55000000000000004">
      <c r="F32" s="86" t="str">
        <f>'PF80'!V30</f>
        <v>VSSD</v>
      </c>
      <c r="G32" s="88">
        <f>'PF80'!V31</f>
        <v>0</v>
      </c>
      <c r="H32" s="88">
        <f>'PF80'!V32</f>
        <v>0</v>
      </c>
      <c r="I32" s="88">
        <f>'PF80'!V33</f>
        <v>0</v>
      </c>
      <c r="J32" s="88">
        <f>'PF80'!V34</f>
        <v>0</v>
      </c>
      <c r="K32" s="88">
        <f>'PF80'!V35</f>
        <v>0</v>
      </c>
      <c r="L32" s="88">
        <f>'PF80'!V36</f>
        <v>0</v>
      </c>
      <c r="M32" s="88">
        <f>'PF80'!V37</f>
        <v>0</v>
      </c>
      <c r="N32" s="88">
        <f>'PF80'!V38</f>
        <v>0</v>
      </c>
      <c r="O32" s="88">
        <f>'PF80'!V39</f>
        <v>0</v>
      </c>
      <c r="P32" s="88">
        <f>'PF80'!V40</f>
        <v>0</v>
      </c>
      <c r="Q32" s="89" t="str">
        <f>'PF80'!V41</f>
        <v>VREFL</v>
      </c>
      <c r="R32" s="86" t="str">
        <f>'PF80'!V42</f>
        <v>VSSA</v>
      </c>
      <c r="S32" s="87" t="str">
        <f>'PF80'!V43</f>
        <v>VDDA</v>
      </c>
      <c r="T32" s="89" t="str">
        <f>'PF80'!V44</f>
        <v>VREFH</v>
      </c>
      <c r="U32" s="88">
        <f>'PF80'!V45</f>
        <v>0</v>
      </c>
      <c r="V32" s="88">
        <f>'PF80'!V46</f>
        <v>0</v>
      </c>
      <c r="W32" s="88">
        <f>'PF80'!V47</f>
        <v>0</v>
      </c>
      <c r="X32" s="88">
        <f>'PF80'!V48</f>
        <v>0</v>
      </c>
      <c r="Y32" s="87" t="str">
        <f>'PF80'!V49</f>
        <v>VDDIO_2</v>
      </c>
    </row>
    <row r="43" spans="2:29" ht="13" x14ac:dyDescent="0.55000000000000004">
      <c r="B43" s="150" t="s">
        <v>1216</v>
      </c>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row>
    <row r="44" spans="2:29" ht="193" customHeight="1" x14ac:dyDescent="0.55000000000000004">
      <c r="B44" s="151" t="s">
        <v>1217</v>
      </c>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row>
  </sheetData>
  <sheetProtection algorithmName="SHA-512" hashValue="XNhUR3fCUT5CklQ7eGfajL3Dfx2sjq0LRzp3E/o2uJf/WK/Zr3UBjMyBjyGf1eDxxdz1DYDoovoqWI1FdGNrdg==" saltValue="E/D5TpSyQClzSxAW2VPnwA==" spinCount="100000" sheet="1" objects="1" scenarios="1" formatCells="0" formatColumns="0" formatRows="0" insertColumns="0" insertRows="0" insertHyperlinks="0" deleteColumns="0" deleteRows="0" selectLockedCells="1" sort="0" autoFilter="0" pivotTables="0"/>
  <mergeCells count="3">
    <mergeCell ref="F10:Y29"/>
    <mergeCell ref="B43:AC43"/>
    <mergeCell ref="B44:AC44"/>
  </mergeCells>
  <phoneticPr fontId="3"/>
  <pageMargins left="0.7" right="0.7" top="0.75" bottom="0.75" header="0.3" footer="0.3"/>
  <pageSetup paperSize="9" orientation="portrait" r:id="rId1"/>
  <ignoredErrors>
    <ignoredError sqref="F7:Y9 F30:Y32 F10:Y29 C10:E29 Z10:AB29" unlockedFormula="1"/>
  </ignoredError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FDD03-608D-430E-8598-6B20A360F613}">
  <dimension ref="A1:AF157"/>
  <sheetViews>
    <sheetView zoomScale="75" zoomScaleNormal="75" workbookViewId="0">
      <pane xSplit="3" ySplit="9" topLeftCell="N10" activePane="bottomRight" state="frozen"/>
      <selection pane="topRight" activeCell="D1" sqref="D1"/>
      <selection pane="bottomLeft" activeCell="A6" sqref="A6"/>
      <selection pane="bottomRight" activeCell="AG5" sqref="AG5"/>
    </sheetView>
  </sheetViews>
  <sheetFormatPr defaultColWidth="8.6640625" defaultRowHeight="10" x14ac:dyDescent="0.55000000000000004"/>
  <cols>
    <col min="1" max="1" width="2.58203125" style="4" customWidth="1"/>
    <col min="2" max="2" width="8.6640625" style="4"/>
    <col min="3" max="3" width="3.58203125" style="4" customWidth="1"/>
    <col min="4" max="4" width="9.58203125" style="4" customWidth="1"/>
    <col min="5" max="5" width="8.83203125" style="4" customWidth="1"/>
    <col min="6" max="7" width="11.08203125" style="4" customWidth="1"/>
    <col min="8" max="8" width="11.6640625" style="4" customWidth="1"/>
    <col min="9" max="9" width="11.5" style="4" customWidth="1"/>
    <col min="10" max="10" width="11.1640625" style="4" customWidth="1"/>
    <col min="11" max="11" width="12.08203125" style="4" customWidth="1"/>
    <col min="12" max="12" width="11.83203125" style="4" customWidth="1"/>
    <col min="13" max="16" width="8.83203125" style="4" customWidth="1"/>
    <col min="17" max="20" width="14.08203125" style="4" customWidth="1"/>
    <col min="21" max="21" width="17.6640625" style="4" customWidth="1"/>
    <col min="22" max="22" width="16.4140625" style="4" bestFit="1" customWidth="1"/>
    <col min="23" max="23" width="10.4140625" style="4" customWidth="1"/>
    <col min="24" max="24" width="24.83203125" style="4" bestFit="1" customWidth="1"/>
    <col min="25" max="25" width="24.83203125" style="4" customWidth="1"/>
    <col min="26" max="26" width="7.83203125" style="4" bestFit="1" customWidth="1"/>
    <col min="27" max="27" width="6.83203125" style="4" bestFit="1" customWidth="1"/>
    <col min="28" max="29" width="12.58203125" style="4" customWidth="1"/>
    <col min="30" max="32" width="8.58203125" style="4" customWidth="1"/>
    <col min="33" max="33" width="8.6640625" style="4"/>
    <col min="34" max="36" width="8.58203125" style="4" customWidth="1"/>
    <col min="37" max="16384" width="8.6640625" style="4"/>
  </cols>
  <sheetData>
    <row r="1" spans="1:32" ht="25" customHeight="1" x14ac:dyDescent="0.55000000000000004">
      <c r="A1" s="1" t="s">
        <v>367</v>
      </c>
      <c r="AD1" s="23"/>
      <c r="AE1" s="23"/>
      <c r="AF1" s="23"/>
    </row>
    <row r="2" spans="1:32" ht="25" customHeight="1" x14ac:dyDescent="0.55000000000000004">
      <c r="A2" s="1"/>
      <c r="AD2" s="23"/>
      <c r="AE2" s="23"/>
      <c r="AF2" s="23"/>
    </row>
    <row r="3" spans="1:32" ht="25" customHeight="1" x14ac:dyDescent="0.55000000000000004">
      <c r="A3" s="1"/>
      <c r="AD3" s="23"/>
      <c r="AE3" s="23"/>
      <c r="AF3" s="23"/>
    </row>
    <row r="4" spans="1:32" ht="25" customHeight="1" x14ac:dyDescent="0.55000000000000004">
      <c r="A4" s="1"/>
      <c r="AD4" s="23"/>
      <c r="AE4" s="23"/>
      <c r="AF4" s="23"/>
    </row>
    <row r="5" spans="1:32" ht="25" customHeight="1" x14ac:dyDescent="0.55000000000000004">
      <c r="A5" s="1"/>
      <c r="AC5" s="5"/>
      <c r="AD5" s="23"/>
      <c r="AE5" s="23"/>
      <c r="AF5" s="24" t="s">
        <v>1185</v>
      </c>
    </row>
    <row r="6" spans="1:32" x14ac:dyDescent="0.55000000000000004">
      <c r="B6" s="4" t="s">
        <v>519</v>
      </c>
      <c r="E6" s="4" t="s">
        <v>529</v>
      </c>
      <c r="F6" s="4" t="s">
        <v>529</v>
      </c>
      <c r="G6" s="4" t="s">
        <v>520</v>
      </c>
      <c r="H6" s="4" t="s">
        <v>520</v>
      </c>
      <c r="I6" s="4" t="s">
        <v>529</v>
      </c>
      <c r="J6" s="4" t="s">
        <v>521</v>
      </c>
      <c r="K6" s="4" t="s">
        <v>522</v>
      </c>
      <c r="L6" s="4" t="s">
        <v>523</v>
      </c>
      <c r="M6" s="4" t="s">
        <v>524</v>
      </c>
      <c r="N6" s="4" t="s">
        <v>525</v>
      </c>
      <c r="O6" s="4" t="s">
        <v>1130</v>
      </c>
      <c r="P6" s="4" t="s">
        <v>526</v>
      </c>
      <c r="Q6" s="4" t="s">
        <v>526</v>
      </c>
      <c r="R6" s="4" t="s">
        <v>522</v>
      </c>
      <c r="S6" s="4" t="s">
        <v>527</v>
      </c>
      <c r="T6" s="4" t="s">
        <v>523</v>
      </c>
      <c r="U6" s="4" t="s">
        <v>528</v>
      </c>
    </row>
    <row r="7" spans="1:32" ht="10.5" customHeight="1" x14ac:dyDescent="0.55000000000000004">
      <c r="B7" s="138" t="s">
        <v>1129</v>
      </c>
      <c r="C7" s="147" t="s">
        <v>252</v>
      </c>
      <c r="D7" s="141" t="s">
        <v>373</v>
      </c>
      <c r="E7" s="6"/>
      <c r="F7" s="7"/>
      <c r="G7" s="7"/>
      <c r="H7" s="7"/>
      <c r="I7" s="121" t="s">
        <v>1</v>
      </c>
      <c r="J7" s="121"/>
      <c r="K7" s="121"/>
      <c r="L7" s="7"/>
      <c r="M7" s="7"/>
      <c r="N7" s="7"/>
      <c r="O7" s="7"/>
      <c r="P7" s="7"/>
      <c r="Q7" s="8"/>
      <c r="R7" s="144" t="s">
        <v>346</v>
      </c>
      <c r="S7" s="121"/>
      <c r="T7" s="145"/>
      <c r="U7" s="138" t="s">
        <v>264</v>
      </c>
      <c r="V7" s="111" t="s">
        <v>262</v>
      </c>
      <c r="W7" s="112"/>
      <c r="X7" s="113"/>
      <c r="Y7" s="101" t="s">
        <v>1187</v>
      </c>
      <c r="Z7" s="114" t="s">
        <v>545</v>
      </c>
      <c r="AA7" s="115"/>
      <c r="AB7" s="106" t="s">
        <v>372</v>
      </c>
      <c r="AC7" s="107"/>
    </row>
    <row r="8" spans="1:32" ht="10.5" x14ac:dyDescent="0.55000000000000004">
      <c r="B8" s="139"/>
      <c r="C8" s="148"/>
      <c r="D8" s="142"/>
      <c r="E8" s="67" t="s">
        <v>348</v>
      </c>
      <c r="F8" s="67" t="s">
        <v>2</v>
      </c>
      <c r="G8" s="67" t="s">
        <v>3</v>
      </c>
      <c r="H8" s="67" t="s">
        <v>4</v>
      </c>
      <c r="I8" s="67" t="s">
        <v>5</v>
      </c>
      <c r="J8" s="67" t="s">
        <v>6</v>
      </c>
      <c r="K8" s="67" t="s">
        <v>7</v>
      </c>
      <c r="L8" s="67" t="s">
        <v>8</v>
      </c>
      <c r="M8" s="67" t="s">
        <v>9</v>
      </c>
      <c r="N8" s="67" t="s">
        <v>10</v>
      </c>
      <c r="O8" s="67" t="s">
        <v>1128</v>
      </c>
      <c r="P8" s="67" t="s">
        <v>11</v>
      </c>
      <c r="Q8" s="67" t="s">
        <v>12</v>
      </c>
      <c r="R8" s="67" t="s">
        <v>265</v>
      </c>
      <c r="S8" s="67" t="s">
        <v>266</v>
      </c>
      <c r="T8" s="67" t="s">
        <v>267</v>
      </c>
      <c r="U8" s="139"/>
      <c r="V8" s="108" t="s">
        <v>263</v>
      </c>
      <c r="W8" s="108" t="s">
        <v>1186</v>
      </c>
      <c r="X8" s="109" t="s">
        <v>370</v>
      </c>
      <c r="Y8" s="102"/>
      <c r="Z8" s="116" t="s">
        <v>544</v>
      </c>
      <c r="AA8" s="116" t="s">
        <v>542</v>
      </c>
      <c r="AB8" s="104" t="s">
        <v>1183</v>
      </c>
      <c r="AC8" s="104" t="s">
        <v>1184</v>
      </c>
    </row>
    <row r="9" spans="1:32" ht="10.25" customHeight="1" x14ac:dyDescent="0.55000000000000004">
      <c r="B9" s="146"/>
      <c r="C9" s="149"/>
      <c r="D9" s="143"/>
      <c r="E9" s="67" t="s">
        <v>349</v>
      </c>
      <c r="F9" s="67" t="s">
        <v>13</v>
      </c>
      <c r="G9" s="67" t="s">
        <v>14</v>
      </c>
      <c r="H9" s="67" t="s">
        <v>15</v>
      </c>
      <c r="I9" s="67" t="s">
        <v>16</v>
      </c>
      <c r="J9" s="67" t="s">
        <v>17</v>
      </c>
      <c r="K9" s="67" t="s">
        <v>18</v>
      </c>
      <c r="L9" s="67" t="s">
        <v>19</v>
      </c>
      <c r="M9" s="67" t="s">
        <v>20</v>
      </c>
      <c r="N9" s="67" t="s">
        <v>21</v>
      </c>
      <c r="O9" s="67" t="s">
        <v>22</v>
      </c>
      <c r="P9" s="67" t="s">
        <v>1126</v>
      </c>
      <c r="Q9" s="67" t="s">
        <v>1127</v>
      </c>
      <c r="R9" s="67" t="s">
        <v>347</v>
      </c>
      <c r="S9" s="67" t="s">
        <v>268</v>
      </c>
      <c r="T9" s="67" t="s">
        <v>269</v>
      </c>
      <c r="U9" s="140"/>
      <c r="V9" s="108"/>
      <c r="W9" s="108"/>
      <c r="X9" s="110"/>
      <c r="Y9" s="103"/>
      <c r="Z9" s="117"/>
      <c r="AA9" s="117"/>
      <c r="AB9" s="105"/>
      <c r="AC9" s="105"/>
    </row>
    <row r="10" spans="1:32" x14ac:dyDescent="0.2">
      <c r="B10" s="15" t="s">
        <v>1188</v>
      </c>
      <c r="C10" s="96">
        <v>1</v>
      </c>
      <c r="D10" s="15" t="s">
        <v>1188</v>
      </c>
      <c r="E10" s="14" t="s">
        <v>564</v>
      </c>
      <c r="F10" s="14" t="s">
        <v>565</v>
      </c>
      <c r="G10" s="14" t="s">
        <v>566</v>
      </c>
      <c r="H10" s="14" t="s">
        <v>567</v>
      </c>
      <c r="I10" s="12" t="s">
        <v>272</v>
      </c>
      <c r="J10" s="14" t="s">
        <v>568</v>
      </c>
      <c r="K10" s="14" t="s">
        <v>569</v>
      </c>
      <c r="L10" s="12" t="s">
        <v>272</v>
      </c>
      <c r="M10" s="14" t="s">
        <v>24</v>
      </c>
      <c r="N10" s="12" t="s">
        <v>272</v>
      </c>
      <c r="O10" s="12" t="s">
        <v>272</v>
      </c>
      <c r="P10" s="12" t="s">
        <v>272</v>
      </c>
      <c r="Q10" s="12" t="s">
        <v>272</v>
      </c>
      <c r="R10" s="12" t="s">
        <v>272</v>
      </c>
      <c r="S10" s="12" t="s">
        <v>272</v>
      </c>
      <c r="T10" s="14" t="s">
        <v>1111</v>
      </c>
      <c r="U10" s="12" t="s">
        <v>272</v>
      </c>
      <c r="V10" s="18"/>
      <c r="W10" s="12" t="s">
        <v>272</v>
      </c>
      <c r="X10" s="25" t="str">
        <f>_xlfn.IFS(AND(COUNTIF(V10,"SCB0*")=1, 'PCH64'!D60&gt;=2), "See the Notice *2", AND(COUNTIF(V10,"SCB7*")=1, 'PCH64'!K60&gt;=2), "See the Notice *2", TRUE, "")</f>
        <v/>
      </c>
      <c r="Y10" s="13"/>
      <c r="Z10" s="90" t="s">
        <v>541</v>
      </c>
      <c r="AA10" s="90" t="s">
        <v>254</v>
      </c>
      <c r="AB10" s="13"/>
      <c r="AC10" s="13"/>
    </row>
    <row r="11" spans="1:32" x14ac:dyDescent="0.2">
      <c r="B11" s="14" t="s">
        <v>25</v>
      </c>
      <c r="C11" s="96">
        <v>2</v>
      </c>
      <c r="D11" s="15" t="s">
        <v>25</v>
      </c>
      <c r="E11" s="14" t="s">
        <v>570</v>
      </c>
      <c r="F11" s="14" t="s">
        <v>571</v>
      </c>
      <c r="G11" s="14" t="s">
        <v>572</v>
      </c>
      <c r="H11" s="14" t="s">
        <v>573</v>
      </c>
      <c r="I11" s="12" t="s">
        <v>272</v>
      </c>
      <c r="J11" s="14" t="s">
        <v>574</v>
      </c>
      <c r="K11" s="14" t="s">
        <v>575</v>
      </c>
      <c r="L11" s="12" t="s">
        <v>272</v>
      </c>
      <c r="M11" s="14" t="s">
        <v>26</v>
      </c>
      <c r="N11" s="12" t="s">
        <v>272</v>
      </c>
      <c r="O11" s="12" t="s">
        <v>272</v>
      </c>
      <c r="P11" s="12" t="s">
        <v>272</v>
      </c>
      <c r="Q11" s="12" t="s">
        <v>272</v>
      </c>
      <c r="R11" s="12" t="s">
        <v>272</v>
      </c>
      <c r="S11" s="12" t="s">
        <v>272</v>
      </c>
      <c r="T11" s="14" t="s">
        <v>1112</v>
      </c>
      <c r="U11" s="12" t="s">
        <v>272</v>
      </c>
      <c r="V11" s="18"/>
      <c r="W11" s="12" t="s">
        <v>272</v>
      </c>
      <c r="X11" s="25" t="str">
        <f>_xlfn.IFS(AND(COUNTIF(V11,"SCB0*")=1, 'PCH64'!D60&gt;=2), "See the Notice *2", AND(COUNTIF(V11,"SCB7*")=1, 'PCH64'!K60&gt;=2), "See the Notice *2", TRUE, "")</f>
        <v/>
      </c>
      <c r="Y11" s="13"/>
      <c r="Z11" s="90" t="s">
        <v>270</v>
      </c>
      <c r="AA11" s="90" t="s">
        <v>254</v>
      </c>
      <c r="AB11" s="13"/>
      <c r="AC11" s="13"/>
    </row>
    <row r="12" spans="1:32" x14ac:dyDescent="0.2">
      <c r="B12" s="14" t="s">
        <v>27</v>
      </c>
      <c r="C12" s="96">
        <v>3</v>
      </c>
      <c r="D12" s="15" t="s">
        <v>27</v>
      </c>
      <c r="E12" s="14" t="s">
        <v>576</v>
      </c>
      <c r="F12" s="14" t="s">
        <v>577</v>
      </c>
      <c r="G12" s="14" t="s">
        <v>578</v>
      </c>
      <c r="H12" s="14" t="s">
        <v>579</v>
      </c>
      <c r="I12" s="12" t="s">
        <v>272</v>
      </c>
      <c r="J12" s="14" t="s">
        <v>580</v>
      </c>
      <c r="K12" s="12" t="s">
        <v>272</v>
      </c>
      <c r="L12" s="12" t="s">
        <v>272</v>
      </c>
      <c r="M12" s="14" t="s">
        <v>28</v>
      </c>
      <c r="N12" s="14" t="s">
        <v>29</v>
      </c>
      <c r="O12" s="12" t="s">
        <v>272</v>
      </c>
      <c r="P12" s="12" t="s">
        <v>272</v>
      </c>
      <c r="Q12" s="12" t="s">
        <v>272</v>
      </c>
      <c r="R12" s="14" t="s">
        <v>1113</v>
      </c>
      <c r="S12" s="12" t="s">
        <v>272</v>
      </c>
      <c r="T12" s="14" t="s">
        <v>1114</v>
      </c>
      <c r="U12" s="12" t="s">
        <v>272</v>
      </c>
      <c r="V12" s="18"/>
      <c r="W12" s="12" t="s">
        <v>272</v>
      </c>
      <c r="X12" s="25" t="str">
        <f>_xlfn.IFS(AND(COUNTIF(V12,"SCB*")=1, 'PCH64'!D60&gt;=2), "See the Notice *2", TRUE, "")</f>
        <v/>
      </c>
      <c r="Y12" s="13"/>
      <c r="Z12" s="90" t="s">
        <v>270</v>
      </c>
      <c r="AA12" s="90" t="s">
        <v>254</v>
      </c>
      <c r="AB12" s="13"/>
      <c r="AC12" s="13"/>
    </row>
    <row r="13" spans="1:32" x14ac:dyDescent="0.2">
      <c r="B13" s="14" t="s">
        <v>30</v>
      </c>
      <c r="C13" s="96">
        <v>4</v>
      </c>
      <c r="D13" s="15" t="s">
        <v>30</v>
      </c>
      <c r="E13" s="14" t="s">
        <v>581</v>
      </c>
      <c r="F13" s="14" t="s">
        <v>582</v>
      </c>
      <c r="G13" s="14" t="s">
        <v>583</v>
      </c>
      <c r="H13" s="14" t="s">
        <v>584</v>
      </c>
      <c r="I13" s="12" t="s">
        <v>272</v>
      </c>
      <c r="J13" s="14" t="s">
        <v>585</v>
      </c>
      <c r="K13" s="12" t="s">
        <v>272</v>
      </c>
      <c r="L13" s="12" t="s">
        <v>272</v>
      </c>
      <c r="M13" s="12" t="s">
        <v>272</v>
      </c>
      <c r="N13" s="14" t="s">
        <v>31</v>
      </c>
      <c r="O13" s="12" t="s">
        <v>272</v>
      </c>
      <c r="P13" s="12" t="s">
        <v>272</v>
      </c>
      <c r="Q13" s="12" t="s">
        <v>272</v>
      </c>
      <c r="R13" s="14" t="s">
        <v>1115</v>
      </c>
      <c r="S13" s="12" t="s">
        <v>272</v>
      </c>
      <c r="T13" s="14" t="s">
        <v>1116</v>
      </c>
      <c r="U13" s="12" t="s">
        <v>272</v>
      </c>
      <c r="V13" s="18"/>
      <c r="W13" s="12" t="s">
        <v>272</v>
      </c>
      <c r="X13" s="25" t="str">
        <f>_xlfn.IFS(AND(COUNTIF(V13,"SCB*")=1, 'PCH64'!D60&gt;=2), "See the Notice *2", TRUE, "")</f>
        <v/>
      </c>
      <c r="Y13" s="13"/>
      <c r="Z13" s="90" t="s">
        <v>270</v>
      </c>
      <c r="AA13" s="90" t="s">
        <v>254</v>
      </c>
      <c r="AB13" s="13"/>
      <c r="AC13" s="13"/>
    </row>
    <row r="14" spans="1:32" x14ac:dyDescent="0.2">
      <c r="B14" s="14" t="s">
        <v>38</v>
      </c>
      <c r="C14" s="96">
        <v>5</v>
      </c>
      <c r="D14" s="15" t="s">
        <v>38</v>
      </c>
      <c r="E14" s="14" t="s">
        <v>606</v>
      </c>
      <c r="F14" s="14" t="s">
        <v>607</v>
      </c>
      <c r="G14" s="14" t="s">
        <v>608</v>
      </c>
      <c r="H14" s="14" t="s">
        <v>609</v>
      </c>
      <c r="I14" s="14" t="s">
        <v>610</v>
      </c>
      <c r="J14" s="14" t="s">
        <v>611</v>
      </c>
      <c r="K14" s="12" t="s">
        <v>272</v>
      </c>
      <c r="L14" s="14" t="s">
        <v>612</v>
      </c>
      <c r="M14" s="14" t="s">
        <v>39</v>
      </c>
      <c r="N14" s="14" t="s">
        <v>40</v>
      </c>
      <c r="O14" s="12" t="s">
        <v>272</v>
      </c>
      <c r="P14" s="14" t="s">
        <v>41</v>
      </c>
      <c r="Q14" s="12" t="s">
        <v>272</v>
      </c>
      <c r="R14" s="12" t="s">
        <v>272</v>
      </c>
      <c r="S14" s="14" t="s">
        <v>273</v>
      </c>
      <c r="T14" s="14" t="s">
        <v>1123</v>
      </c>
      <c r="U14" s="12" t="s">
        <v>272</v>
      </c>
      <c r="V14" s="18"/>
      <c r="W14" s="12" t="s">
        <v>272</v>
      </c>
      <c r="X14" s="25" t="str">
        <f>_xlfn.IFS(AND(COUNTIF(V14,"SCB0*")=1, 'PCH64'!D60&gt;=2), "See the Notice *2", AND(COUNTIF(V14,"SCB7*")=1, 'PCH64'!K60&gt;=2), "See the Notice *2", TRUE, "")</f>
        <v/>
      </c>
      <c r="Y14" s="13"/>
      <c r="Z14" s="90" t="s">
        <v>271</v>
      </c>
      <c r="AA14" s="90" t="s">
        <v>254</v>
      </c>
      <c r="AB14" s="13"/>
      <c r="AC14" s="13"/>
    </row>
    <row r="15" spans="1:32" x14ac:dyDescent="0.2">
      <c r="B15" s="14" t="s">
        <v>42</v>
      </c>
      <c r="C15" s="96">
        <v>6</v>
      </c>
      <c r="D15" s="15" t="s">
        <v>42</v>
      </c>
      <c r="E15" s="14" t="s">
        <v>613</v>
      </c>
      <c r="F15" s="14" t="s">
        <v>614</v>
      </c>
      <c r="G15" s="14" t="s">
        <v>615</v>
      </c>
      <c r="H15" s="14" t="s">
        <v>616</v>
      </c>
      <c r="I15" s="14" t="s">
        <v>617</v>
      </c>
      <c r="J15" s="14" t="s">
        <v>618</v>
      </c>
      <c r="K15" s="14" t="s">
        <v>619</v>
      </c>
      <c r="L15" s="14" t="s">
        <v>620</v>
      </c>
      <c r="M15" s="14" t="s">
        <v>43</v>
      </c>
      <c r="N15" s="14" t="s">
        <v>44</v>
      </c>
      <c r="O15" s="12" t="s">
        <v>272</v>
      </c>
      <c r="P15" s="14" t="s">
        <v>45</v>
      </c>
      <c r="Q15" s="12" t="s">
        <v>272</v>
      </c>
      <c r="R15" s="12" t="s">
        <v>272</v>
      </c>
      <c r="S15" s="12" t="s">
        <v>272</v>
      </c>
      <c r="T15" s="14" t="s">
        <v>1124</v>
      </c>
      <c r="U15" s="12" t="s">
        <v>272</v>
      </c>
      <c r="V15" s="18"/>
      <c r="W15" s="12" t="s">
        <v>272</v>
      </c>
      <c r="X15" s="25" t="str">
        <f>_xlfn.IFS(AND(COUNTIF(V15,"SCB0*")=1, 'PCH64'!D60&gt;=2), "See the Notice *2", AND(COUNTIF(V15,"SCB7*")=1, 'PCH64'!K60&gt;=2), "See the Notice *2", TRUE, "")</f>
        <v/>
      </c>
      <c r="Y15" s="13"/>
      <c r="Z15" s="90" t="s">
        <v>271</v>
      </c>
      <c r="AA15" s="90" t="s">
        <v>254</v>
      </c>
      <c r="AB15" s="13"/>
      <c r="AC15" s="13"/>
    </row>
    <row r="16" spans="1:32" x14ac:dyDescent="0.2">
      <c r="B16" s="14" t="s">
        <v>79</v>
      </c>
      <c r="C16" s="96">
        <v>7</v>
      </c>
      <c r="D16" s="15" t="s">
        <v>79</v>
      </c>
      <c r="E16" s="14" t="s">
        <v>705</v>
      </c>
      <c r="F16" s="14" t="s">
        <v>607</v>
      </c>
      <c r="G16" s="14" t="s">
        <v>706</v>
      </c>
      <c r="H16" s="14" t="s">
        <v>609</v>
      </c>
      <c r="I16" s="12" t="s">
        <v>272</v>
      </c>
      <c r="J16" s="12" t="s">
        <v>272</v>
      </c>
      <c r="K16" s="12" t="s">
        <v>272</v>
      </c>
      <c r="L16" s="14" t="s">
        <v>707</v>
      </c>
      <c r="M16" s="14" t="s">
        <v>80</v>
      </c>
      <c r="N16" s="12" t="s">
        <v>272</v>
      </c>
      <c r="O16" s="12" t="s">
        <v>272</v>
      </c>
      <c r="P16" s="12" t="s">
        <v>272</v>
      </c>
      <c r="Q16" s="12" t="s">
        <v>272</v>
      </c>
      <c r="R16" s="12" t="s">
        <v>272</v>
      </c>
      <c r="S16" s="12" t="s">
        <v>272</v>
      </c>
      <c r="T16" s="12" t="s">
        <v>272</v>
      </c>
      <c r="U16" s="12" t="s">
        <v>272</v>
      </c>
      <c r="V16" s="18"/>
      <c r="W16" s="12" t="s">
        <v>272</v>
      </c>
      <c r="X16" s="25" t="str">
        <f>_xlfn.IFS(AND(COUNTIF(V16,"SCB*")=1, 'PCH64'!I60&gt;=2), "See the Notice *2", TRUE, "")</f>
        <v/>
      </c>
      <c r="Y16" s="13"/>
      <c r="Z16" s="90" t="s">
        <v>271</v>
      </c>
      <c r="AA16" s="90" t="s">
        <v>254</v>
      </c>
      <c r="AB16" s="13"/>
      <c r="AC16" s="13"/>
    </row>
    <row r="17" spans="2:29" x14ac:dyDescent="0.2">
      <c r="B17" s="14" t="s">
        <v>81</v>
      </c>
      <c r="C17" s="96">
        <v>8</v>
      </c>
      <c r="D17" s="15" t="s">
        <v>81</v>
      </c>
      <c r="E17" s="14" t="s">
        <v>596</v>
      </c>
      <c r="F17" s="14" t="s">
        <v>708</v>
      </c>
      <c r="G17" s="14" t="s">
        <v>598</v>
      </c>
      <c r="H17" s="14" t="s">
        <v>709</v>
      </c>
      <c r="I17" s="12" t="s">
        <v>272</v>
      </c>
      <c r="J17" s="12" t="s">
        <v>272</v>
      </c>
      <c r="K17" s="12" t="s">
        <v>272</v>
      </c>
      <c r="L17" s="12" t="s">
        <v>272</v>
      </c>
      <c r="M17" s="14" t="s">
        <v>82</v>
      </c>
      <c r="N17" s="12" t="s">
        <v>272</v>
      </c>
      <c r="O17" s="12" t="s">
        <v>272</v>
      </c>
      <c r="P17" s="12" t="s">
        <v>272</v>
      </c>
      <c r="Q17" s="12" t="s">
        <v>272</v>
      </c>
      <c r="R17" s="12" t="s">
        <v>272</v>
      </c>
      <c r="S17" s="12" t="s">
        <v>272</v>
      </c>
      <c r="T17" s="12" t="s">
        <v>272</v>
      </c>
      <c r="U17" s="12" t="s">
        <v>272</v>
      </c>
      <c r="V17" s="18"/>
      <c r="W17" s="12" t="s">
        <v>272</v>
      </c>
      <c r="X17" s="25"/>
      <c r="Y17" s="13"/>
      <c r="Z17" s="90" t="s">
        <v>271</v>
      </c>
      <c r="AA17" s="90" t="s">
        <v>254</v>
      </c>
      <c r="AB17" s="13"/>
      <c r="AC17" s="13"/>
    </row>
    <row r="18" spans="2:29" x14ac:dyDescent="0.2">
      <c r="B18" s="14" t="s">
        <v>91</v>
      </c>
      <c r="C18" s="96">
        <v>9</v>
      </c>
      <c r="D18" s="15" t="s">
        <v>91</v>
      </c>
      <c r="E18" s="14" t="s">
        <v>686</v>
      </c>
      <c r="F18" s="14" t="s">
        <v>582</v>
      </c>
      <c r="G18" s="14" t="s">
        <v>688</v>
      </c>
      <c r="H18" s="14" t="s">
        <v>584</v>
      </c>
      <c r="I18" s="12" t="s">
        <v>272</v>
      </c>
      <c r="J18" s="14" t="s">
        <v>710</v>
      </c>
      <c r="K18" s="12" t="s">
        <v>272</v>
      </c>
      <c r="L18" s="14" t="s">
        <v>711</v>
      </c>
      <c r="M18" s="14" t="s">
        <v>92</v>
      </c>
      <c r="N18" s="12" t="s">
        <v>272</v>
      </c>
      <c r="O18" s="12" t="s">
        <v>272</v>
      </c>
      <c r="P18" s="12" t="s">
        <v>272</v>
      </c>
      <c r="Q18" s="12" t="s">
        <v>272</v>
      </c>
      <c r="R18" s="12" t="s">
        <v>272</v>
      </c>
      <c r="S18" s="12" t="s">
        <v>272</v>
      </c>
      <c r="T18" s="12" t="s">
        <v>272</v>
      </c>
      <c r="U18" s="14" t="s">
        <v>274</v>
      </c>
      <c r="V18" s="18"/>
      <c r="W18" s="12" t="s">
        <v>272</v>
      </c>
      <c r="X18" s="25" t="str">
        <f>_xlfn.IFS(AND(COUNTIF(V18,"SCB*")=1, 'PCH64'!H60&gt;=2), "See the Notice *2", TRUE, "")</f>
        <v/>
      </c>
      <c r="Y18" s="13"/>
      <c r="Z18" s="90" t="s">
        <v>271</v>
      </c>
      <c r="AA18" s="90" t="s">
        <v>254</v>
      </c>
      <c r="AB18" s="13"/>
      <c r="AC18" s="13"/>
    </row>
    <row r="19" spans="2:29" x14ac:dyDescent="0.2">
      <c r="B19" s="14" t="s">
        <v>93</v>
      </c>
      <c r="C19" s="96">
        <v>10</v>
      </c>
      <c r="D19" s="15" t="s">
        <v>93</v>
      </c>
      <c r="E19" s="14" t="s">
        <v>656</v>
      </c>
      <c r="F19" s="14" t="s">
        <v>692</v>
      </c>
      <c r="G19" s="14" t="s">
        <v>658</v>
      </c>
      <c r="H19" s="14" t="s">
        <v>693</v>
      </c>
      <c r="I19" s="12" t="s">
        <v>272</v>
      </c>
      <c r="J19" s="14" t="s">
        <v>712</v>
      </c>
      <c r="K19" s="14" t="s">
        <v>713</v>
      </c>
      <c r="L19" s="14" t="s">
        <v>714</v>
      </c>
      <c r="M19" s="14" t="s">
        <v>94</v>
      </c>
      <c r="N19" s="12" t="s">
        <v>272</v>
      </c>
      <c r="O19" s="12" t="s">
        <v>272</v>
      </c>
      <c r="P19" s="12" t="s">
        <v>272</v>
      </c>
      <c r="Q19" s="12" t="s">
        <v>272</v>
      </c>
      <c r="R19" s="12" t="s">
        <v>272</v>
      </c>
      <c r="S19" s="12" t="s">
        <v>272</v>
      </c>
      <c r="T19" s="12" t="s">
        <v>272</v>
      </c>
      <c r="U19" s="14" t="s">
        <v>275</v>
      </c>
      <c r="V19" s="18"/>
      <c r="W19" s="12" t="s">
        <v>272</v>
      </c>
      <c r="X19" s="25" t="str">
        <f>_xlfn.IFS(AND(COUNTIF(V19,"SCB*")=1, 'PCH64'!H60&gt;=2), "See the Notice *2", TRUE, "")</f>
        <v/>
      </c>
      <c r="Y19" s="13"/>
      <c r="Z19" s="90" t="s">
        <v>271</v>
      </c>
      <c r="AA19" s="90" t="s">
        <v>254</v>
      </c>
      <c r="AB19" s="13"/>
      <c r="AC19" s="13"/>
    </row>
    <row r="20" spans="2:29" x14ac:dyDescent="0.2">
      <c r="B20" s="14" t="s">
        <v>95</v>
      </c>
      <c r="C20" s="96">
        <v>11</v>
      </c>
      <c r="D20" s="15" t="s">
        <v>95</v>
      </c>
      <c r="E20" s="14" t="s">
        <v>680</v>
      </c>
      <c r="F20" s="14" t="s">
        <v>666</v>
      </c>
      <c r="G20" s="14" t="s">
        <v>682</v>
      </c>
      <c r="H20" s="14" t="s">
        <v>668</v>
      </c>
      <c r="I20" s="12" t="s">
        <v>272</v>
      </c>
      <c r="J20" s="14" t="s">
        <v>715</v>
      </c>
      <c r="K20" s="14" t="s">
        <v>716</v>
      </c>
      <c r="L20" s="14" t="s">
        <v>717</v>
      </c>
      <c r="M20" s="14" t="s">
        <v>96</v>
      </c>
      <c r="N20" s="14" t="s">
        <v>97</v>
      </c>
      <c r="O20" s="12" t="s">
        <v>272</v>
      </c>
      <c r="P20" s="12" t="s">
        <v>272</v>
      </c>
      <c r="Q20" s="12" t="s">
        <v>272</v>
      </c>
      <c r="R20" s="12" t="s">
        <v>272</v>
      </c>
      <c r="S20" s="12" t="s">
        <v>272</v>
      </c>
      <c r="T20" s="12" t="s">
        <v>272</v>
      </c>
      <c r="U20" s="14" t="s">
        <v>276</v>
      </c>
      <c r="V20" s="18"/>
      <c r="W20" s="12" t="s">
        <v>272</v>
      </c>
      <c r="X20" s="25" t="str">
        <f>_xlfn.IFS(AND(COUNTIF(V20,"SCB*")=1, 'PCH64'!H60&gt;=2), "See the Notice *2", TRUE, "")</f>
        <v/>
      </c>
      <c r="Y20" s="13"/>
      <c r="Z20" s="90" t="s">
        <v>271</v>
      </c>
      <c r="AA20" s="90" t="s">
        <v>254</v>
      </c>
      <c r="AB20" s="13"/>
      <c r="AC20" s="13"/>
    </row>
    <row r="21" spans="2:29" x14ac:dyDescent="0.2">
      <c r="B21" s="14" t="s">
        <v>98</v>
      </c>
      <c r="C21" s="96">
        <v>12</v>
      </c>
      <c r="D21" s="15" t="s">
        <v>98</v>
      </c>
      <c r="E21" s="14" t="s">
        <v>648</v>
      </c>
      <c r="F21" s="14" t="s">
        <v>687</v>
      </c>
      <c r="G21" s="14" t="s">
        <v>650</v>
      </c>
      <c r="H21" s="14" t="s">
        <v>689</v>
      </c>
      <c r="I21" s="12" t="s">
        <v>272</v>
      </c>
      <c r="J21" s="14" t="s">
        <v>718</v>
      </c>
      <c r="K21" s="12" t="s">
        <v>272</v>
      </c>
      <c r="L21" s="14" t="s">
        <v>719</v>
      </c>
      <c r="M21" s="14" t="s">
        <v>99</v>
      </c>
      <c r="N21" s="14" t="s">
        <v>100</v>
      </c>
      <c r="O21" s="12" t="s">
        <v>272</v>
      </c>
      <c r="P21" s="12" t="s">
        <v>272</v>
      </c>
      <c r="Q21" s="14" t="s">
        <v>101</v>
      </c>
      <c r="R21" s="12" t="s">
        <v>272</v>
      </c>
      <c r="S21" s="12" t="s">
        <v>272</v>
      </c>
      <c r="T21" s="12" t="s">
        <v>272</v>
      </c>
      <c r="U21" s="14" t="s">
        <v>277</v>
      </c>
      <c r="V21" s="18"/>
      <c r="W21" s="12" t="s">
        <v>272</v>
      </c>
      <c r="X21" s="25" t="str">
        <f>_xlfn.IFS(AND(COUNTIF(V21,"SCB*")=1, 'PCH64'!H60&gt;=2), "See the Notice *2", TRUE, "")</f>
        <v/>
      </c>
      <c r="Y21" s="13"/>
      <c r="Z21" s="90" t="s">
        <v>271</v>
      </c>
      <c r="AA21" s="90" t="s">
        <v>254</v>
      </c>
      <c r="AB21" s="13"/>
      <c r="AC21" s="13"/>
    </row>
    <row r="22" spans="2:29" x14ac:dyDescent="0.2">
      <c r="B22" s="14" t="s">
        <v>102</v>
      </c>
      <c r="C22" s="96">
        <v>13</v>
      </c>
      <c r="D22" s="15" t="s">
        <v>102</v>
      </c>
      <c r="E22" s="14" t="s">
        <v>673</v>
      </c>
      <c r="F22" s="14" t="s">
        <v>657</v>
      </c>
      <c r="G22" s="14" t="s">
        <v>675</v>
      </c>
      <c r="H22" s="14" t="s">
        <v>659</v>
      </c>
      <c r="I22" s="12" t="s">
        <v>272</v>
      </c>
      <c r="J22" s="12" t="s">
        <v>272</v>
      </c>
      <c r="K22" s="12" t="s">
        <v>272</v>
      </c>
      <c r="L22" s="14" t="s">
        <v>720</v>
      </c>
      <c r="M22" s="14" t="s">
        <v>103</v>
      </c>
      <c r="N22" s="12" t="s">
        <v>272</v>
      </c>
      <c r="O22" s="12" t="s">
        <v>272</v>
      </c>
      <c r="P22" s="12" t="s">
        <v>272</v>
      </c>
      <c r="Q22" s="12" t="s">
        <v>272</v>
      </c>
      <c r="R22" s="12" t="s">
        <v>272</v>
      </c>
      <c r="S22" s="12" t="s">
        <v>272</v>
      </c>
      <c r="T22" s="12" t="s">
        <v>272</v>
      </c>
      <c r="U22" s="14" t="s">
        <v>278</v>
      </c>
      <c r="V22" s="18"/>
      <c r="W22" s="12" t="s">
        <v>272</v>
      </c>
      <c r="X22" s="25" t="str">
        <f>_xlfn.IFS(AND(COUNTIF(V22,"SCB*")=1, 'PCH64'!H60&gt;=2), "See the Notice *2", TRUE, "")</f>
        <v/>
      </c>
      <c r="Y22" s="13"/>
      <c r="Z22" s="90" t="s">
        <v>271</v>
      </c>
      <c r="AA22" s="90" t="s">
        <v>254</v>
      </c>
      <c r="AB22" s="13"/>
      <c r="AC22" s="13"/>
    </row>
    <row r="23" spans="2:29" x14ac:dyDescent="0.2">
      <c r="B23" s="14" t="s">
        <v>104</v>
      </c>
      <c r="C23" s="96">
        <v>14</v>
      </c>
      <c r="D23" s="15" t="s">
        <v>104</v>
      </c>
      <c r="E23" s="14" t="s">
        <v>642</v>
      </c>
      <c r="F23" s="14" t="s">
        <v>681</v>
      </c>
      <c r="G23" s="14" t="s">
        <v>644</v>
      </c>
      <c r="H23" s="14" t="s">
        <v>683</v>
      </c>
      <c r="I23" s="12" t="s">
        <v>272</v>
      </c>
      <c r="J23" s="12" t="s">
        <v>272</v>
      </c>
      <c r="K23" s="12" t="s">
        <v>272</v>
      </c>
      <c r="L23" s="14" t="s">
        <v>721</v>
      </c>
      <c r="M23" s="14" t="s">
        <v>105</v>
      </c>
      <c r="N23" s="12" t="s">
        <v>272</v>
      </c>
      <c r="O23" s="12" t="s">
        <v>272</v>
      </c>
      <c r="P23" s="12" t="s">
        <v>272</v>
      </c>
      <c r="Q23" s="12" t="s">
        <v>272</v>
      </c>
      <c r="R23" s="12" t="s">
        <v>272</v>
      </c>
      <c r="S23" s="12" t="s">
        <v>272</v>
      </c>
      <c r="T23" s="12" t="s">
        <v>272</v>
      </c>
      <c r="U23" s="14" t="s">
        <v>279</v>
      </c>
      <c r="V23" s="18"/>
      <c r="W23" s="12" t="s">
        <v>272</v>
      </c>
      <c r="X23" s="25" t="str">
        <f>_xlfn.IFS(AND(COUNTIF(V23,"SCB*")=1, 'PCH64'!H60&gt;=2), "See the Notice *2", TRUE, "")</f>
        <v/>
      </c>
      <c r="Y23" s="13"/>
      <c r="Z23" s="90" t="s">
        <v>271</v>
      </c>
      <c r="AA23" s="90" t="s">
        <v>254</v>
      </c>
      <c r="AB23" s="13"/>
      <c r="AC23" s="13"/>
    </row>
    <row r="24" spans="2:29" x14ac:dyDescent="0.2">
      <c r="B24" s="15" t="s">
        <v>106</v>
      </c>
      <c r="C24" s="96">
        <v>15</v>
      </c>
      <c r="D24" s="15" t="s">
        <v>106</v>
      </c>
      <c r="E24" s="14" t="s">
        <v>665</v>
      </c>
      <c r="F24" s="14" t="s">
        <v>649</v>
      </c>
      <c r="G24" s="14" t="s">
        <v>667</v>
      </c>
      <c r="H24" s="14" t="s">
        <v>651</v>
      </c>
      <c r="I24" s="12" t="s">
        <v>272</v>
      </c>
      <c r="J24" s="12" t="s">
        <v>272</v>
      </c>
      <c r="K24" s="12" t="s">
        <v>272</v>
      </c>
      <c r="L24" s="14" t="s">
        <v>722</v>
      </c>
      <c r="M24" s="12" t="s">
        <v>272</v>
      </c>
      <c r="N24" s="12" t="s">
        <v>272</v>
      </c>
      <c r="O24" s="12" t="s">
        <v>272</v>
      </c>
      <c r="P24" s="14" t="s">
        <v>107</v>
      </c>
      <c r="Q24" s="12" t="s">
        <v>272</v>
      </c>
      <c r="R24" s="12" t="s">
        <v>272</v>
      </c>
      <c r="S24" s="12" t="s">
        <v>272</v>
      </c>
      <c r="T24" s="12" t="s">
        <v>272</v>
      </c>
      <c r="U24" s="14" t="s">
        <v>280</v>
      </c>
      <c r="V24" s="66"/>
      <c r="W24" s="12" t="s">
        <v>272</v>
      </c>
      <c r="X24" s="25" t="str">
        <f>_xlfn.IFS(AND(COUNTIF(V24,"SCB*")=1, 'PCH64'!H60&gt;=2), "See the Notice *2", TRUE, "")</f>
        <v/>
      </c>
      <c r="Y24" s="13"/>
      <c r="Z24" s="90" t="s">
        <v>271</v>
      </c>
      <c r="AA24" s="90" t="s">
        <v>254</v>
      </c>
      <c r="AB24" s="13"/>
      <c r="AC24" s="13"/>
    </row>
    <row r="25" spans="2:29" x14ac:dyDescent="0.2">
      <c r="B25" s="17" t="s">
        <v>254</v>
      </c>
      <c r="C25" s="11">
        <v>16</v>
      </c>
      <c r="D25" s="11" t="s">
        <v>272</v>
      </c>
      <c r="E25" s="11" t="s">
        <v>272</v>
      </c>
      <c r="F25" s="11" t="s">
        <v>272</v>
      </c>
      <c r="G25" s="11" t="s">
        <v>272</v>
      </c>
      <c r="H25" s="11" t="s">
        <v>272</v>
      </c>
      <c r="I25" s="11" t="s">
        <v>272</v>
      </c>
      <c r="J25" s="11" t="s">
        <v>272</v>
      </c>
      <c r="K25" s="11" t="s">
        <v>272</v>
      </c>
      <c r="L25" s="11" t="s">
        <v>272</v>
      </c>
      <c r="M25" s="11" t="s">
        <v>272</v>
      </c>
      <c r="N25" s="11" t="s">
        <v>272</v>
      </c>
      <c r="O25" s="11" t="s">
        <v>272</v>
      </c>
      <c r="P25" s="11" t="s">
        <v>272</v>
      </c>
      <c r="Q25" s="11" t="s">
        <v>272</v>
      </c>
      <c r="R25" s="11" t="s">
        <v>272</v>
      </c>
      <c r="S25" s="11" t="s">
        <v>272</v>
      </c>
      <c r="T25" s="11" t="s">
        <v>272</v>
      </c>
      <c r="U25" s="11" t="s">
        <v>272</v>
      </c>
      <c r="V25" s="17" t="s">
        <v>254</v>
      </c>
      <c r="W25" s="12" t="s">
        <v>272</v>
      </c>
      <c r="X25" s="25"/>
      <c r="Y25" s="13" t="s">
        <v>530</v>
      </c>
      <c r="Z25" s="90" t="s">
        <v>543</v>
      </c>
      <c r="AA25" s="90" t="s">
        <v>543</v>
      </c>
      <c r="AB25" s="13"/>
      <c r="AC25" s="13"/>
    </row>
    <row r="26" spans="2:29" x14ac:dyDescent="0.2">
      <c r="B26" s="10" t="s">
        <v>253</v>
      </c>
      <c r="C26" s="11">
        <v>17</v>
      </c>
      <c r="D26" s="11" t="s">
        <v>272</v>
      </c>
      <c r="E26" s="11" t="s">
        <v>272</v>
      </c>
      <c r="F26" s="11" t="s">
        <v>272</v>
      </c>
      <c r="G26" s="11" t="s">
        <v>272</v>
      </c>
      <c r="H26" s="11" t="s">
        <v>272</v>
      </c>
      <c r="I26" s="11" t="s">
        <v>272</v>
      </c>
      <c r="J26" s="11" t="s">
        <v>272</v>
      </c>
      <c r="K26" s="11" t="s">
        <v>272</v>
      </c>
      <c r="L26" s="11" t="s">
        <v>272</v>
      </c>
      <c r="M26" s="11" t="s">
        <v>272</v>
      </c>
      <c r="N26" s="11" t="s">
        <v>272</v>
      </c>
      <c r="O26" s="11" t="s">
        <v>272</v>
      </c>
      <c r="P26" s="11" t="s">
        <v>272</v>
      </c>
      <c r="Q26" s="11" t="s">
        <v>272</v>
      </c>
      <c r="R26" s="11" t="s">
        <v>272</v>
      </c>
      <c r="S26" s="11" t="s">
        <v>272</v>
      </c>
      <c r="T26" s="11" t="s">
        <v>272</v>
      </c>
      <c r="U26" s="11" t="s">
        <v>272</v>
      </c>
      <c r="V26" s="10" t="s">
        <v>253</v>
      </c>
      <c r="W26" s="12" t="s">
        <v>272</v>
      </c>
      <c r="X26" s="25"/>
      <c r="Y26" s="13" t="s">
        <v>531</v>
      </c>
      <c r="Z26" s="90" t="s">
        <v>543</v>
      </c>
      <c r="AA26" s="90" t="s">
        <v>543</v>
      </c>
      <c r="AB26" s="13"/>
      <c r="AC26" s="13"/>
    </row>
    <row r="27" spans="2:29" x14ac:dyDescent="0.2">
      <c r="B27" s="14" t="s">
        <v>110</v>
      </c>
      <c r="C27" s="96">
        <v>18</v>
      </c>
      <c r="D27" s="15" t="s">
        <v>110</v>
      </c>
      <c r="E27" s="14" t="s">
        <v>723</v>
      </c>
      <c r="F27" s="14" t="s">
        <v>643</v>
      </c>
      <c r="G27" s="14" t="s">
        <v>724</v>
      </c>
      <c r="H27" s="14" t="s">
        <v>645</v>
      </c>
      <c r="I27" s="12" t="s">
        <v>272</v>
      </c>
      <c r="J27" s="14" t="s">
        <v>725</v>
      </c>
      <c r="K27" s="12" t="s">
        <v>272</v>
      </c>
      <c r="L27" s="14" t="s">
        <v>726</v>
      </c>
      <c r="M27" s="14" t="s">
        <v>99</v>
      </c>
      <c r="N27" s="12" t="s">
        <v>272</v>
      </c>
      <c r="O27" s="14" t="s">
        <v>727</v>
      </c>
      <c r="P27" s="12" t="s">
        <v>272</v>
      </c>
      <c r="Q27" s="12" t="s">
        <v>272</v>
      </c>
      <c r="R27" s="12" t="s">
        <v>272</v>
      </c>
      <c r="S27" s="12" t="s">
        <v>272</v>
      </c>
      <c r="T27" s="12" t="s">
        <v>272</v>
      </c>
      <c r="U27" s="14" t="s">
        <v>282</v>
      </c>
      <c r="V27" s="16"/>
      <c r="W27" s="12" t="s">
        <v>272</v>
      </c>
      <c r="X27" s="25" t="str">
        <f>_xlfn.IFS(AND(COUNTIF(V27,"SCB*")=1, 'PCH64'!I60&gt;=2), "See the Notice *2", TRUE, "")</f>
        <v/>
      </c>
      <c r="Y27" s="13"/>
      <c r="Z27" s="90" t="s">
        <v>271</v>
      </c>
      <c r="AA27" s="90" t="s">
        <v>254</v>
      </c>
      <c r="AB27" s="13"/>
      <c r="AC27" s="13"/>
    </row>
    <row r="28" spans="2:29" x14ac:dyDescent="0.2">
      <c r="B28" s="14" t="s">
        <v>111</v>
      </c>
      <c r="C28" s="96">
        <v>19</v>
      </c>
      <c r="D28" s="15" t="s">
        <v>111</v>
      </c>
      <c r="E28" s="14" t="s">
        <v>728</v>
      </c>
      <c r="F28" s="14" t="s">
        <v>729</v>
      </c>
      <c r="G28" s="14" t="s">
        <v>730</v>
      </c>
      <c r="H28" s="14" t="s">
        <v>731</v>
      </c>
      <c r="I28" s="12" t="s">
        <v>272</v>
      </c>
      <c r="J28" s="14" t="s">
        <v>732</v>
      </c>
      <c r="K28" s="14" t="s">
        <v>733</v>
      </c>
      <c r="L28" s="14" t="s">
        <v>734</v>
      </c>
      <c r="M28" s="14" t="s">
        <v>103</v>
      </c>
      <c r="N28" s="12" t="s">
        <v>272</v>
      </c>
      <c r="O28" s="14" t="s">
        <v>735</v>
      </c>
      <c r="P28" s="12" t="s">
        <v>272</v>
      </c>
      <c r="Q28" s="12" t="s">
        <v>272</v>
      </c>
      <c r="R28" s="12" t="s">
        <v>272</v>
      </c>
      <c r="S28" s="12" t="s">
        <v>272</v>
      </c>
      <c r="T28" s="12" t="s">
        <v>272</v>
      </c>
      <c r="U28" s="14" t="s">
        <v>283</v>
      </c>
      <c r="V28" s="16"/>
      <c r="W28" s="12" t="s">
        <v>272</v>
      </c>
      <c r="X28" s="25" t="str">
        <f>_xlfn.IFS(AND(COUNTIF(V28,"SCB*")=1, 'PCH64'!I60&gt;=2), "See the Notice *2", TRUE, "")</f>
        <v/>
      </c>
      <c r="Y28" s="13"/>
      <c r="Z28" s="90" t="s">
        <v>271</v>
      </c>
      <c r="AA28" s="90" t="s">
        <v>254</v>
      </c>
      <c r="AB28" s="13"/>
      <c r="AC28" s="13"/>
    </row>
    <row r="29" spans="2:29" x14ac:dyDescent="0.2">
      <c r="B29" s="14" t="s">
        <v>112</v>
      </c>
      <c r="C29" s="96">
        <v>20</v>
      </c>
      <c r="D29" s="15" t="s">
        <v>112</v>
      </c>
      <c r="E29" s="14" t="s">
        <v>736</v>
      </c>
      <c r="F29" s="14" t="s">
        <v>737</v>
      </c>
      <c r="G29" s="14" t="s">
        <v>738</v>
      </c>
      <c r="H29" s="14" t="s">
        <v>739</v>
      </c>
      <c r="I29" s="12" t="s">
        <v>272</v>
      </c>
      <c r="J29" s="14" t="s">
        <v>740</v>
      </c>
      <c r="K29" s="14" t="s">
        <v>741</v>
      </c>
      <c r="L29" s="14" t="s">
        <v>742</v>
      </c>
      <c r="M29" s="14" t="s">
        <v>105</v>
      </c>
      <c r="N29" s="12" t="s">
        <v>272</v>
      </c>
      <c r="O29" s="14" t="s">
        <v>743</v>
      </c>
      <c r="P29" s="12" t="s">
        <v>272</v>
      </c>
      <c r="Q29" s="12" t="s">
        <v>272</v>
      </c>
      <c r="R29" s="12" t="s">
        <v>272</v>
      </c>
      <c r="S29" s="12" t="s">
        <v>272</v>
      </c>
      <c r="T29" s="12" t="s">
        <v>272</v>
      </c>
      <c r="U29" s="14" t="s">
        <v>284</v>
      </c>
      <c r="V29" s="16"/>
      <c r="W29" s="12" t="s">
        <v>272</v>
      </c>
      <c r="X29" s="25" t="str">
        <f>_xlfn.IFS(AND(COUNTIF(V29,"SCB*")=1, 'PCH64'!I60&gt;=2), "See the Notice *2", TRUE, "")</f>
        <v/>
      </c>
      <c r="Y29" s="13"/>
      <c r="Z29" s="90" t="s">
        <v>271</v>
      </c>
      <c r="AA29" s="90" t="s">
        <v>254</v>
      </c>
      <c r="AB29" s="13"/>
      <c r="AC29" s="13"/>
    </row>
    <row r="30" spans="2:29" x14ac:dyDescent="0.2">
      <c r="B30" s="14" t="s">
        <v>120</v>
      </c>
      <c r="C30" s="96">
        <v>21</v>
      </c>
      <c r="D30" s="15" t="s">
        <v>120</v>
      </c>
      <c r="E30" s="14" t="s">
        <v>765</v>
      </c>
      <c r="F30" s="14" t="s">
        <v>571</v>
      </c>
      <c r="G30" s="14" t="s">
        <v>766</v>
      </c>
      <c r="H30" s="14" t="s">
        <v>573</v>
      </c>
      <c r="I30" s="12" t="s">
        <v>272</v>
      </c>
      <c r="J30" s="12" t="s">
        <v>272</v>
      </c>
      <c r="K30" s="12" t="s">
        <v>272</v>
      </c>
      <c r="L30" s="12" t="s">
        <v>272</v>
      </c>
      <c r="M30" s="14" t="s">
        <v>86</v>
      </c>
      <c r="N30" s="14" t="s">
        <v>40</v>
      </c>
      <c r="O30" s="12" t="s">
        <v>272</v>
      </c>
      <c r="P30" s="12" t="s">
        <v>272</v>
      </c>
      <c r="Q30" s="12" t="s">
        <v>272</v>
      </c>
      <c r="R30" s="12" t="s">
        <v>272</v>
      </c>
      <c r="S30" s="12" t="s">
        <v>272</v>
      </c>
      <c r="T30" s="12" t="s">
        <v>272</v>
      </c>
      <c r="U30" s="12" t="s">
        <v>272</v>
      </c>
      <c r="V30" s="18"/>
      <c r="W30" s="12" t="s">
        <v>272</v>
      </c>
      <c r="X30" s="25"/>
      <c r="Y30" s="13"/>
      <c r="Z30" s="90" t="s">
        <v>271</v>
      </c>
      <c r="AA30" s="90" t="s">
        <v>254</v>
      </c>
      <c r="AB30" s="13"/>
      <c r="AC30" s="13"/>
    </row>
    <row r="31" spans="2:29" x14ac:dyDescent="0.2">
      <c r="B31" s="14" t="s">
        <v>121</v>
      </c>
      <c r="C31" s="96">
        <v>22</v>
      </c>
      <c r="D31" s="15" t="s">
        <v>121</v>
      </c>
      <c r="E31" s="14" t="s">
        <v>767</v>
      </c>
      <c r="F31" s="14" t="s">
        <v>768</v>
      </c>
      <c r="G31" s="14" t="s">
        <v>769</v>
      </c>
      <c r="H31" s="14" t="s">
        <v>770</v>
      </c>
      <c r="I31" s="12" t="s">
        <v>272</v>
      </c>
      <c r="J31" s="12" t="s">
        <v>272</v>
      </c>
      <c r="K31" s="12" t="s">
        <v>272</v>
      </c>
      <c r="L31" s="12" t="s">
        <v>272</v>
      </c>
      <c r="M31" s="14" t="s">
        <v>88</v>
      </c>
      <c r="N31" s="14" t="s">
        <v>44</v>
      </c>
      <c r="O31" s="12" t="s">
        <v>272</v>
      </c>
      <c r="P31" s="14" t="s">
        <v>122</v>
      </c>
      <c r="Q31" s="12" t="s">
        <v>272</v>
      </c>
      <c r="R31" s="12" t="s">
        <v>272</v>
      </c>
      <c r="S31" s="12" t="s">
        <v>272</v>
      </c>
      <c r="T31" s="12" t="s">
        <v>272</v>
      </c>
      <c r="U31" s="14" t="s">
        <v>290</v>
      </c>
      <c r="V31" s="18"/>
      <c r="W31" s="12" t="s">
        <v>272</v>
      </c>
      <c r="X31" s="25"/>
      <c r="Y31" s="13"/>
      <c r="Z31" s="90" t="s">
        <v>271</v>
      </c>
      <c r="AA31" s="90" t="s">
        <v>254</v>
      </c>
      <c r="AB31" s="13"/>
      <c r="AC31" s="13"/>
    </row>
    <row r="32" spans="2:29" x14ac:dyDescent="0.2">
      <c r="B32" s="14" t="s">
        <v>548</v>
      </c>
      <c r="C32" s="96">
        <v>23</v>
      </c>
      <c r="D32" s="19" t="s">
        <v>546</v>
      </c>
      <c r="E32" s="12" t="s">
        <v>272</v>
      </c>
      <c r="F32" s="12" t="s">
        <v>272</v>
      </c>
      <c r="G32" s="12" t="s">
        <v>272</v>
      </c>
      <c r="H32" s="12" t="s">
        <v>272</v>
      </c>
      <c r="I32" s="12" t="s">
        <v>272</v>
      </c>
      <c r="J32" s="12" t="s">
        <v>272</v>
      </c>
      <c r="K32" s="12" t="s">
        <v>272</v>
      </c>
      <c r="L32" s="12" t="s">
        <v>272</v>
      </c>
      <c r="M32" s="12" t="s">
        <v>272</v>
      </c>
      <c r="N32" s="12" t="s">
        <v>272</v>
      </c>
      <c r="O32" s="12" t="s">
        <v>272</v>
      </c>
      <c r="P32" s="12" t="s">
        <v>272</v>
      </c>
      <c r="Q32" s="12" t="s">
        <v>272</v>
      </c>
      <c r="R32" s="12" t="s">
        <v>272</v>
      </c>
      <c r="S32" s="12" t="s">
        <v>272</v>
      </c>
      <c r="T32" s="12" t="s">
        <v>272</v>
      </c>
      <c r="U32" s="14" t="s">
        <v>302</v>
      </c>
      <c r="V32" s="18"/>
      <c r="W32" s="12" t="s">
        <v>272</v>
      </c>
      <c r="X32" s="25"/>
      <c r="Y32" s="13"/>
      <c r="Z32" s="90" t="s">
        <v>271</v>
      </c>
      <c r="AA32" s="90" t="s">
        <v>354</v>
      </c>
      <c r="AB32" s="13"/>
      <c r="AC32" s="13"/>
    </row>
    <row r="33" spans="2:29" x14ac:dyDescent="0.2">
      <c r="B33" s="14" t="s">
        <v>549</v>
      </c>
      <c r="C33" s="96">
        <v>24</v>
      </c>
      <c r="D33" s="19" t="s">
        <v>1160</v>
      </c>
      <c r="E33" s="12" t="s">
        <v>272</v>
      </c>
      <c r="F33" s="12" t="s">
        <v>272</v>
      </c>
      <c r="G33" s="12" t="s">
        <v>272</v>
      </c>
      <c r="H33" s="12" t="s">
        <v>272</v>
      </c>
      <c r="I33" s="12" t="s">
        <v>272</v>
      </c>
      <c r="J33" s="12" t="s">
        <v>272</v>
      </c>
      <c r="K33" s="12" t="s">
        <v>272</v>
      </c>
      <c r="L33" s="12" t="s">
        <v>272</v>
      </c>
      <c r="M33" s="12" t="s">
        <v>272</v>
      </c>
      <c r="N33" s="12" t="s">
        <v>272</v>
      </c>
      <c r="O33" s="12" t="s">
        <v>272</v>
      </c>
      <c r="P33" s="12" t="s">
        <v>272</v>
      </c>
      <c r="Q33" s="12" t="s">
        <v>272</v>
      </c>
      <c r="R33" s="12" t="s">
        <v>272</v>
      </c>
      <c r="S33" s="12" t="s">
        <v>272</v>
      </c>
      <c r="T33" s="12" t="s">
        <v>272</v>
      </c>
      <c r="U33" s="14" t="s">
        <v>303</v>
      </c>
      <c r="V33" s="18"/>
      <c r="W33" s="12" t="s">
        <v>272</v>
      </c>
      <c r="X33" s="25"/>
      <c r="Y33" s="13"/>
      <c r="Z33" s="90" t="s">
        <v>271</v>
      </c>
      <c r="AA33" s="90" t="s">
        <v>354</v>
      </c>
      <c r="AB33" s="13"/>
      <c r="AC33" s="13"/>
    </row>
    <row r="34" spans="2:29" x14ac:dyDescent="0.2">
      <c r="B34" s="14" t="s">
        <v>550</v>
      </c>
      <c r="C34" s="96">
        <v>25</v>
      </c>
      <c r="D34" s="19" t="s">
        <v>1161</v>
      </c>
      <c r="E34" s="12" t="s">
        <v>272</v>
      </c>
      <c r="F34" s="12" t="s">
        <v>272</v>
      </c>
      <c r="G34" s="12" t="s">
        <v>272</v>
      </c>
      <c r="H34" s="12" t="s">
        <v>272</v>
      </c>
      <c r="I34" s="12" t="s">
        <v>272</v>
      </c>
      <c r="J34" s="12" t="s">
        <v>272</v>
      </c>
      <c r="K34" s="12" t="s">
        <v>272</v>
      </c>
      <c r="L34" s="12" t="s">
        <v>272</v>
      </c>
      <c r="M34" s="12" t="s">
        <v>272</v>
      </c>
      <c r="N34" s="12" t="s">
        <v>272</v>
      </c>
      <c r="O34" s="12" t="s">
        <v>272</v>
      </c>
      <c r="P34" s="12" t="s">
        <v>272</v>
      </c>
      <c r="Q34" s="12" t="s">
        <v>272</v>
      </c>
      <c r="R34" s="12" t="s">
        <v>272</v>
      </c>
      <c r="S34" s="12" t="s">
        <v>272</v>
      </c>
      <c r="T34" s="12" t="s">
        <v>272</v>
      </c>
      <c r="U34" s="14" t="s">
        <v>304</v>
      </c>
      <c r="V34" s="18"/>
      <c r="W34" s="12" t="s">
        <v>272</v>
      </c>
      <c r="X34" s="25"/>
      <c r="Y34" s="13"/>
      <c r="Z34" s="90" t="s">
        <v>271</v>
      </c>
      <c r="AA34" s="90" t="s">
        <v>354</v>
      </c>
      <c r="AB34" s="13"/>
      <c r="AC34" s="13"/>
    </row>
    <row r="35" spans="2:29" x14ac:dyDescent="0.2">
      <c r="B35" s="20" t="s">
        <v>257</v>
      </c>
      <c r="C35" s="11">
        <v>26</v>
      </c>
      <c r="D35" s="11" t="s">
        <v>272</v>
      </c>
      <c r="E35" s="11" t="s">
        <v>272</v>
      </c>
      <c r="F35" s="11" t="s">
        <v>272</v>
      </c>
      <c r="G35" s="11" t="s">
        <v>272</v>
      </c>
      <c r="H35" s="11" t="s">
        <v>272</v>
      </c>
      <c r="I35" s="11" t="s">
        <v>272</v>
      </c>
      <c r="J35" s="11" t="s">
        <v>272</v>
      </c>
      <c r="K35" s="11" t="s">
        <v>272</v>
      </c>
      <c r="L35" s="11" t="s">
        <v>272</v>
      </c>
      <c r="M35" s="11" t="s">
        <v>272</v>
      </c>
      <c r="N35" s="11" t="s">
        <v>272</v>
      </c>
      <c r="O35" s="11" t="s">
        <v>272</v>
      </c>
      <c r="P35" s="11" t="s">
        <v>272</v>
      </c>
      <c r="Q35" s="11" t="s">
        <v>272</v>
      </c>
      <c r="R35" s="11" t="s">
        <v>272</v>
      </c>
      <c r="S35" s="11" t="s">
        <v>272</v>
      </c>
      <c r="T35" s="11" t="s">
        <v>272</v>
      </c>
      <c r="U35" s="11" t="s">
        <v>272</v>
      </c>
      <c r="V35" s="20" t="s">
        <v>257</v>
      </c>
      <c r="W35" s="12" t="s">
        <v>272</v>
      </c>
      <c r="X35" s="25"/>
      <c r="Y35" s="13" t="s">
        <v>534</v>
      </c>
      <c r="Z35" s="90" t="s">
        <v>543</v>
      </c>
      <c r="AA35" s="90" t="s">
        <v>543</v>
      </c>
      <c r="AB35" s="13"/>
      <c r="AC35" s="13"/>
    </row>
    <row r="36" spans="2:29" x14ac:dyDescent="0.2">
      <c r="B36" s="10" t="s">
        <v>258</v>
      </c>
      <c r="C36" s="11">
        <v>27</v>
      </c>
      <c r="D36" s="11" t="s">
        <v>272</v>
      </c>
      <c r="E36" s="11" t="s">
        <v>272</v>
      </c>
      <c r="F36" s="11" t="s">
        <v>272</v>
      </c>
      <c r="G36" s="11" t="s">
        <v>272</v>
      </c>
      <c r="H36" s="11" t="s">
        <v>272</v>
      </c>
      <c r="I36" s="11" t="s">
        <v>272</v>
      </c>
      <c r="J36" s="11" t="s">
        <v>272</v>
      </c>
      <c r="K36" s="11" t="s">
        <v>272</v>
      </c>
      <c r="L36" s="11" t="s">
        <v>272</v>
      </c>
      <c r="M36" s="11" t="s">
        <v>272</v>
      </c>
      <c r="N36" s="11" t="s">
        <v>272</v>
      </c>
      <c r="O36" s="11" t="s">
        <v>272</v>
      </c>
      <c r="P36" s="11" t="s">
        <v>272</v>
      </c>
      <c r="Q36" s="11" t="s">
        <v>272</v>
      </c>
      <c r="R36" s="11" t="s">
        <v>272</v>
      </c>
      <c r="S36" s="11" t="s">
        <v>272</v>
      </c>
      <c r="T36" s="11" t="s">
        <v>272</v>
      </c>
      <c r="U36" s="11" t="s">
        <v>272</v>
      </c>
      <c r="V36" s="10" t="s">
        <v>258</v>
      </c>
      <c r="W36" s="12" t="s">
        <v>272</v>
      </c>
      <c r="X36" s="25"/>
      <c r="Y36" s="13" t="s">
        <v>536</v>
      </c>
      <c r="Z36" s="90" t="s">
        <v>543</v>
      </c>
      <c r="AA36" s="90" t="s">
        <v>543</v>
      </c>
      <c r="AB36" s="13"/>
      <c r="AC36" s="13"/>
    </row>
    <row r="37" spans="2:29" x14ac:dyDescent="0.2">
      <c r="B37" s="17" t="s">
        <v>259</v>
      </c>
      <c r="C37" s="11">
        <v>28</v>
      </c>
      <c r="D37" s="11" t="s">
        <v>272</v>
      </c>
      <c r="E37" s="11" t="s">
        <v>272</v>
      </c>
      <c r="F37" s="11" t="s">
        <v>272</v>
      </c>
      <c r="G37" s="11" t="s">
        <v>272</v>
      </c>
      <c r="H37" s="11" t="s">
        <v>272</v>
      </c>
      <c r="I37" s="11" t="s">
        <v>272</v>
      </c>
      <c r="J37" s="11" t="s">
        <v>272</v>
      </c>
      <c r="K37" s="11" t="s">
        <v>272</v>
      </c>
      <c r="L37" s="11" t="s">
        <v>272</v>
      </c>
      <c r="M37" s="11" t="s">
        <v>272</v>
      </c>
      <c r="N37" s="11" t="s">
        <v>272</v>
      </c>
      <c r="O37" s="11" t="s">
        <v>272</v>
      </c>
      <c r="P37" s="11" t="s">
        <v>272</v>
      </c>
      <c r="Q37" s="11" t="s">
        <v>272</v>
      </c>
      <c r="R37" s="11" t="s">
        <v>272</v>
      </c>
      <c r="S37" s="11" t="s">
        <v>272</v>
      </c>
      <c r="T37" s="11" t="s">
        <v>272</v>
      </c>
      <c r="U37" s="11" t="s">
        <v>272</v>
      </c>
      <c r="V37" s="17" t="s">
        <v>259</v>
      </c>
      <c r="W37" s="12" t="s">
        <v>272</v>
      </c>
      <c r="X37" s="25"/>
      <c r="Y37" s="13" t="s">
        <v>537</v>
      </c>
      <c r="Z37" s="90" t="s">
        <v>543</v>
      </c>
      <c r="AA37" s="90" t="s">
        <v>543</v>
      </c>
      <c r="AB37" s="13"/>
      <c r="AC37" s="13"/>
    </row>
    <row r="38" spans="2:29" x14ac:dyDescent="0.2">
      <c r="B38" s="20" t="s">
        <v>260</v>
      </c>
      <c r="C38" s="11">
        <v>29</v>
      </c>
      <c r="D38" s="11" t="s">
        <v>272</v>
      </c>
      <c r="E38" s="11" t="s">
        <v>272</v>
      </c>
      <c r="F38" s="11" t="s">
        <v>272</v>
      </c>
      <c r="G38" s="11" t="s">
        <v>272</v>
      </c>
      <c r="H38" s="11" t="s">
        <v>272</v>
      </c>
      <c r="I38" s="11" t="s">
        <v>272</v>
      </c>
      <c r="J38" s="11" t="s">
        <v>272</v>
      </c>
      <c r="K38" s="11" t="s">
        <v>272</v>
      </c>
      <c r="L38" s="11" t="s">
        <v>272</v>
      </c>
      <c r="M38" s="11" t="s">
        <v>272</v>
      </c>
      <c r="N38" s="11" t="s">
        <v>272</v>
      </c>
      <c r="O38" s="11" t="s">
        <v>272</v>
      </c>
      <c r="P38" s="11" t="s">
        <v>272</v>
      </c>
      <c r="Q38" s="11" t="s">
        <v>272</v>
      </c>
      <c r="R38" s="11" t="s">
        <v>272</v>
      </c>
      <c r="S38" s="11" t="s">
        <v>272</v>
      </c>
      <c r="T38" s="11" t="s">
        <v>272</v>
      </c>
      <c r="U38" s="11" t="s">
        <v>272</v>
      </c>
      <c r="V38" s="20" t="s">
        <v>260</v>
      </c>
      <c r="W38" s="12" t="s">
        <v>272</v>
      </c>
      <c r="X38" s="25"/>
      <c r="Y38" s="13" t="s">
        <v>535</v>
      </c>
      <c r="Z38" s="90" t="s">
        <v>543</v>
      </c>
      <c r="AA38" s="90" t="s">
        <v>543</v>
      </c>
      <c r="AB38" s="13"/>
      <c r="AC38" s="13"/>
    </row>
    <row r="39" spans="2:29" x14ac:dyDescent="0.2">
      <c r="B39" s="14" t="s">
        <v>141</v>
      </c>
      <c r="C39" s="96">
        <v>30</v>
      </c>
      <c r="D39" s="15" t="s">
        <v>141</v>
      </c>
      <c r="E39" s="14" t="s">
        <v>844</v>
      </c>
      <c r="F39" s="14" t="s">
        <v>845</v>
      </c>
      <c r="G39" s="14" t="s">
        <v>846</v>
      </c>
      <c r="H39" s="14" t="s">
        <v>847</v>
      </c>
      <c r="I39" s="12" t="s">
        <v>272</v>
      </c>
      <c r="J39" s="12" t="s">
        <v>272</v>
      </c>
      <c r="K39" s="12" t="s">
        <v>272</v>
      </c>
      <c r="L39" s="12" t="s">
        <v>272</v>
      </c>
      <c r="M39" s="12" t="s">
        <v>272</v>
      </c>
      <c r="N39" s="14" t="s">
        <v>97</v>
      </c>
      <c r="O39" s="12" t="s">
        <v>272</v>
      </c>
      <c r="P39" s="14" t="s">
        <v>142</v>
      </c>
      <c r="Q39" s="12" t="s">
        <v>272</v>
      </c>
      <c r="R39" s="12" t="s">
        <v>272</v>
      </c>
      <c r="S39" s="12" t="s">
        <v>272</v>
      </c>
      <c r="T39" s="12" t="s">
        <v>272</v>
      </c>
      <c r="U39" s="14" t="s">
        <v>305</v>
      </c>
      <c r="V39" s="18"/>
      <c r="W39" s="93"/>
      <c r="X39" s="25"/>
      <c r="Y39" s="13"/>
      <c r="Z39" s="90" t="s">
        <v>271</v>
      </c>
      <c r="AA39" s="90" t="s">
        <v>354</v>
      </c>
      <c r="AB39" s="13"/>
      <c r="AC39" s="13"/>
    </row>
    <row r="40" spans="2:29" x14ac:dyDescent="0.2">
      <c r="B40" s="14" t="s">
        <v>143</v>
      </c>
      <c r="C40" s="96">
        <v>31</v>
      </c>
      <c r="D40" s="15" t="s">
        <v>143</v>
      </c>
      <c r="E40" s="14" t="s">
        <v>848</v>
      </c>
      <c r="F40" s="14" t="s">
        <v>849</v>
      </c>
      <c r="G40" s="14" t="s">
        <v>850</v>
      </c>
      <c r="H40" s="14" t="s">
        <v>851</v>
      </c>
      <c r="I40" s="12" t="s">
        <v>272</v>
      </c>
      <c r="J40" s="12" t="s">
        <v>272</v>
      </c>
      <c r="K40" s="12" t="s">
        <v>272</v>
      </c>
      <c r="L40" s="12" t="s">
        <v>272</v>
      </c>
      <c r="M40" s="14" t="s">
        <v>144</v>
      </c>
      <c r="N40" s="14" t="s">
        <v>100</v>
      </c>
      <c r="O40" s="12" t="s">
        <v>272</v>
      </c>
      <c r="P40" s="14" t="s">
        <v>145</v>
      </c>
      <c r="Q40" s="12" t="s">
        <v>272</v>
      </c>
      <c r="R40" s="12" t="s">
        <v>272</v>
      </c>
      <c r="S40" s="12" t="s">
        <v>272</v>
      </c>
      <c r="T40" s="12" t="s">
        <v>272</v>
      </c>
      <c r="U40" s="14" t="s">
        <v>306</v>
      </c>
      <c r="V40" s="18"/>
      <c r="W40" s="93"/>
      <c r="X40" s="25"/>
      <c r="Y40" s="13"/>
      <c r="Z40" s="90" t="s">
        <v>271</v>
      </c>
      <c r="AA40" s="90" t="s">
        <v>354</v>
      </c>
      <c r="AB40" s="13"/>
      <c r="AC40" s="13"/>
    </row>
    <row r="41" spans="2:29" x14ac:dyDescent="0.2">
      <c r="B41" s="17" t="s">
        <v>354</v>
      </c>
      <c r="C41" s="11">
        <v>32</v>
      </c>
      <c r="D41" s="11" t="s">
        <v>272</v>
      </c>
      <c r="E41" s="11" t="s">
        <v>272</v>
      </c>
      <c r="F41" s="11" t="s">
        <v>272</v>
      </c>
      <c r="G41" s="11" t="s">
        <v>272</v>
      </c>
      <c r="H41" s="11" t="s">
        <v>272</v>
      </c>
      <c r="I41" s="11" t="s">
        <v>272</v>
      </c>
      <c r="J41" s="11" t="s">
        <v>272</v>
      </c>
      <c r="K41" s="11" t="s">
        <v>272</v>
      </c>
      <c r="L41" s="11" t="s">
        <v>272</v>
      </c>
      <c r="M41" s="11" t="s">
        <v>272</v>
      </c>
      <c r="N41" s="11" t="s">
        <v>272</v>
      </c>
      <c r="O41" s="11" t="s">
        <v>272</v>
      </c>
      <c r="P41" s="11" t="s">
        <v>272</v>
      </c>
      <c r="Q41" s="11" t="s">
        <v>272</v>
      </c>
      <c r="R41" s="11" t="s">
        <v>272</v>
      </c>
      <c r="S41" s="11" t="s">
        <v>272</v>
      </c>
      <c r="T41" s="11" t="s">
        <v>272</v>
      </c>
      <c r="U41" s="11" t="s">
        <v>272</v>
      </c>
      <c r="V41" s="17" t="s">
        <v>354</v>
      </c>
      <c r="W41" s="12" t="s">
        <v>272</v>
      </c>
      <c r="X41" s="25"/>
      <c r="Y41" s="13" t="s">
        <v>532</v>
      </c>
      <c r="Z41" s="90" t="s">
        <v>543</v>
      </c>
      <c r="AA41" s="90" t="s">
        <v>543</v>
      </c>
      <c r="AB41" s="13"/>
      <c r="AC41" s="13"/>
    </row>
    <row r="42" spans="2:29" x14ac:dyDescent="0.2">
      <c r="B42" s="10" t="s">
        <v>253</v>
      </c>
      <c r="C42" s="11">
        <v>33</v>
      </c>
      <c r="D42" s="11" t="s">
        <v>272</v>
      </c>
      <c r="E42" s="11" t="s">
        <v>272</v>
      </c>
      <c r="F42" s="11" t="s">
        <v>272</v>
      </c>
      <c r="G42" s="11" t="s">
        <v>272</v>
      </c>
      <c r="H42" s="11" t="s">
        <v>272</v>
      </c>
      <c r="I42" s="11" t="s">
        <v>272</v>
      </c>
      <c r="J42" s="11" t="s">
        <v>272</v>
      </c>
      <c r="K42" s="11" t="s">
        <v>272</v>
      </c>
      <c r="L42" s="11" t="s">
        <v>272</v>
      </c>
      <c r="M42" s="11" t="s">
        <v>272</v>
      </c>
      <c r="N42" s="11" t="s">
        <v>272</v>
      </c>
      <c r="O42" s="11" t="s">
        <v>272</v>
      </c>
      <c r="P42" s="11" t="s">
        <v>272</v>
      </c>
      <c r="Q42" s="11" t="s">
        <v>272</v>
      </c>
      <c r="R42" s="11" t="s">
        <v>272</v>
      </c>
      <c r="S42" s="11" t="s">
        <v>272</v>
      </c>
      <c r="T42" s="11" t="s">
        <v>272</v>
      </c>
      <c r="U42" s="11" t="s">
        <v>272</v>
      </c>
      <c r="V42" s="10" t="s">
        <v>253</v>
      </c>
      <c r="W42" s="12" t="s">
        <v>272</v>
      </c>
      <c r="X42" s="25"/>
      <c r="Y42" s="13" t="s">
        <v>531</v>
      </c>
      <c r="Z42" s="90" t="s">
        <v>543</v>
      </c>
      <c r="AA42" s="90" t="s">
        <v>543</v>
      </c>
      <c r="AB42" s="13"/>
      <c r="AC42" s="13"/>
    </row>
    <row r="43" spans="2:29" x14ac:dyDescent="0.2">
      <c r="B43" s="14" t="s">
        <v>158</v>
      </c>
      <c r="C43" s="96">
        <v>34</v>
      </c>
      <c r="D43" s="15" t="s">
        <v>158</v>
      </c>
      <c r="E43" s="14" t="s">
        <v>876</v>
      </c>
      <c r="F43" s="14" t="s">
        <v>877</v>
      </c>
      <c r="G43" s="14" t="s">
        <v>878</v>
      </c>
      <c r="H43" s="14" t="s">
        <v>879</v>
      </c>
      <c r="I43" s="14" t="s">
        <v>159</v>
      </c>
      <c r="J43" s="14" t="s">
        <v>880</v>
      </c>
      <c r="K43" s="12" t="s">
        <v>272</v>
      </c>
      <c r="L43" s="14" t="s">
        <v>881</v>
      </c>
      <c r="M43" s="14" t="s">
        <v>92</v>
      </c>
      <c r="N43" s="12" t="s">
        <v>272</v>
      </c>
      <c r="O43" s="14" t="s">
        <v>882</v>
      </c>
      <c r="P43" s="12" t="s">
        <v>272</v>
      </c>
      <c r="Q43" s="12" t="s">
        <v>272</v>
      </c>
      <c r="R43" s="12" t="s">
        <v>272</v>
      </c>
      <c r="S43" s="12" t="s">
        <v>272</v>
      </c>
      <c r="T43" s="12" t="s">
        <v>272</v>
      </c>
      <c r="U43" s="14" t="s">
        <v>313</v>
      </c>
      <c r="V43" s="16"/>
      <c r="W43" s="93"/>
      <c r="X43" s="25" t="str">
        <f>_xlfn.IFS(AND(COUNTIF(V43,"SCB*")=1, 'PCH64'!G60&gt;=2), "See the Notice *2", TRUE, "")</f>
        <v/>
      </c>
      <c r="Y43" s="13"/>
      <c r="Z43" s="90" t="s">
        <v>271</v>
      </c>
      <c r="AA43" s="90" t="s">
        <v>354</v>
      </c>
      <c r="AB43" s="13"/>
      <c r="AC43" s="13"/>
    </row>
    <row r="44" spans="2:29" x14ac:dyDescent="0.2">
      <c r="B44" s="14" t="s">
        <v>160</v>
      </c>
      <c r="C44" s="96">
        <v>35</v>
      </c>
      <c r="D44" s="15" t="s">
        <v>160</v>
      </c>
      <c r="E44" s="14" t="s">
        <v>883</v>
      </c>
      <c r="F44" s="14" t="s">
        <v>884</v>
      </c>
      <c r="G44" s="14" t="s">
        <v>885</v>
      </c>
      <c r="H44" s="14" t="s">
        <v>886</v>
      </c>
      <c r="I44" s="14" t="s">
        <v>161</v>
      </c>
      <c r="J44" s="14" t="s">
        <v>887</v>
      </c>
      <c r="K44" s="14" t="s">
        <v>888</v>
      </c>
      <c r="L44" s="14" t="s">
        <v>889</v>
      </c>
      <c r="M44" s="14" t="s">
        <v>94</v>
      </c>
      <c r="N44" s="12" t="s">
        <v>272</v>
      </c>
      <c r="O44" s="14" t="s">
        <v>890</v>
      </c>
      <c r="P44" s="12" t="s">
        <v>272</v>
      </c>
      <c r="Q44" s="12" t="s">
        <v>272</v>
      </c>
      <c r="R44" s="12" t="s">
        <v>272</v>
      </c>
      <c r="S44" s="12" t="s">
        <v>272</v>
      </c>
      <c r="T44" s="12" t="s">
        <v>272</v>
      </c>
      <c r="U44" s="14" t="s">
        <v>314</v>
      </c>
      <c r="V44" s="18"/>
      <c r="W44" s="93"/>
      <c r="X44" s="25" t="str">
        <f>_xlfn.IFS(AND(COUNTIF(V44,"SCB*")=1, 'PCH64'!G60&gt;=2), "See the Notice *2", TRUE, "")</f>
        <v/>
      </c>
      <c r="Y44" s="13"/>
      <c r="Z44" s="90" t="s">
        <v>271</v>
      </c>
      <c r="AA44" s="90" t="s">
        <v>354</v>
      </c>
      <c r="AB44" s="13"/>
      <c r="AC44" s="13"/>
    </row>
    <row r="45" spans="2:29" x14ac:dyDescent="0.2">
      <c r="B45" s="14" t="s">
        <v>162</v>
      </c>
      <c r="C45" s="96">
        <v>36</v>
      </c>
      <c r="D45" s="15" t="s">
        <v>162</v>
      </c>
      <c r="E45" s="14" t="s">
        <v>891</v>
      </c>
      <c r="F45" s="14" t="s">
        <v>892</v>
      </c>
      <c r="G45" s="14" t="s">
        <v>893</v>
      </c>
      <c r="H45" s="14" t="s">
        <v>894</v>
      </c>
      <c r="I45" s="14" t="s">
        <v>163</v>
      </c>
      <c r="J45" s="14" t="s">
        <v>895</v>
      </c>
      <c r="K45" s="14" t="s">
        <v>896</v>
      </c>
      <c r="L45" s="14" t="s">
        <v>897</v>
      </c>
      <c r="M45" s="14" t="s">
        <v>96</v>
      </c>
      <c r="N45" s="12" t="s">
        <v>272</v>
      </c>
      <c r="O45" s="14" t="s">
        <v>898</v>
      </c>
      <c r="P45" s="12" t="s">
        <v>272</v>
      </c>
      <c r="Q45" s="12" t="s">
        <v>272</v>
      </c>
      <c r="R45" s="12" t="s">
        <v>272</v>
      </c>
      <c r="S45" s="12" t="s">
        <v>272</v>
      </c>
      <c r="T45" s="12" t="s">
        <v>272</v>
      </c>
      <c r="U45" s="14" t="s">
        <v>315</v>
      </c>
      <c r="V45" s="18"/>
      <c r="W45" s="93"/>
      <c r="X45" s="25" t="str">
        <f>_xlfn.IFS(AND(COUNTIF(V45,"SCB*")=1, 'PCH64'!G60&gt;=2), "See the Notice *2", TRUE, "")</f>
        <v/>
      </c>
      <c r="Y45" s="13"/>
      <c r="Z45" s="90" t="s">
        <v>271</v>
      </c>
      <c r="AA45" s="90" t="s">
        <v>354</v>
      </c>
      <c r="AB45" s="13"/>
      <c r="AC45" s="13"/>
    </row>
    <row r="46" spans="2:29" x14ac:dyDescent="0.2">
      <c r="B46" s="14" t="s">
        <v>164</v>
      </c>
      <c r="C46" s="96">
        <v>37</v>
      </c>
      <c r="D46" s="15" t="s">
        <v>164</v>
      </c>
      <c r="E46" s="14" t="s">
        <v>899</v>
      </c>
      <c r="F46" s="14" t="s">
        <v>900</v>
      </c>
      <c r="G46" s="14" t="s">
        <v>901</v>
      </c>
      <c r="H46" s="14" t="s">
        <v>902</v>
      </c>
      <c r="I46" s="14" t="s">
        <v>165</v>
      </c>
      <c r="J46" s="14" t="s">
        <v>903</v>
      </c>
      <c r="K46" s="12" t="s">
        <v>272</v>
      </c>
      <c r="L46" s="14" t="s">
        <v>904</v>
      </c>
      <c r="M46" s="12" t="s">
        <v>272</v>
      </c>
      <c r="N46" s="12" t="s">
        <v>272</v>
      </c>
      <c r="O46" s="12" t="s">
        <v>272</v>
      </c>
      <c r="P46" s="12" t="s">
        <v>272</v>
      </c>
      <c r="Q46" s="12" t="s">
        <v>272</v>
      </c>
      <c r="R46" s="12" t="s">
        <v>272</v>
      </c>
      <c r="S46" s="12" t="s">
        <v>272</v>
      </c>
      <c r="T46" s="12" t="s">
        <v>272</v>
      </c>
      <c r="U46" s="14" t="s">
        <v>316</v>
      </c>
      <c r="V46" s="18"/>
      <c r="W46" s="93"/>
      <c r="X46" s="25" t="str">
        <f>_xlfn.IFS(AND(COUNTIF(V46,"SCB*")=1, 'PCH64'!G60&gt;=2), "See the Notice *2", TRUE, "")</f>
        <v/>
      </c>
      <c r="Y46" s="13"/>
      <c r="Z46" s="90" t="s">
        <v>271</v>
      </c>
      <c r="AA46" s="90" t="s">
        <v>354</v>
      </c>
      <c r="AB46" s="13"/>
      <c r="AC46" s="13"/>
    </row>
    <row r="47" spans="2:29" x14ac:dyDescent="0.2">
      <c r="B47" s="14" t="s">
        <v>172</v>
      </c>
      <c r="C47" s="96">
        <v>38</v>
      </c>
      <c r="D47" s="15" t="s">
        <v>172</v>
      </c>
      <c r="E47" s="14" t="s">
        <v>927</v>
      </c>
      <c r="F47" s="14" t="s">
        <v>928</v>
      </c>
      <c r="G47" s="14" t="s">
        <v>929</v>
      </c>
      <c r="H47" s="14" t="s">
        <v>930</v>
      </c>
      <c r="I47" s="14" t="s">
        <v>600</v>
      </c>
      <c r="J47" s="14" t="s">
        <v>931</v>
      </c>
      <c r="K47" s="12" t="s">
        <v>272</v>
      </c>
      <c r="L47" s="14" t="s">
        <v>932</v>
      </c>
      <c r="M47" s="12" t="s">
        <v>272</v>
      </c>
      <c r="N47" s="14" t="s">
        <v>173</v>
      </c>
      <c r="O47" s="12" t="s">
        <v>272</v>
      </c>
      <c r="P47" s="12" t="s">
        <v>272</v>
      </c>
      <c r="Q47" s="12" t="s">
        <v>272</v>
      </c>
      <c r="R47" s="12" t="s">
        <v>272</v>
      </c>
      <c r="S47" s="12" t="s">
        <v>272</v>
      </c>
      <c r="T47" s="12" t="s">
        <v>272</v>
      </c>
      <c r="U47" s="14" t="s">
        <v>321</v>
      </c>
      <c r="V47" s="18"/>
      <c r="W47" s="93"/>
      <c r="X47" s="25" t="str">
        <f>_xlfn.IFS(AND(COUNTIF(V47,"SCB*")=1, 'PCH64'!F60&gt;=2), "See the Notice *2", TRUE, "")</f>
        <v/>
      </c>
      <c r="Y47" s="13"/>
      <c r="Z47" s="90" t="s">
        <v>271</v>
      </c>
      <c r="AA47" s="90" t="s">
        <v>354</v>
      </c>
      <c r="AB47" s="13"/>
      <c r="AC47" s="13"/>
    </row>
    <row r="48" spans="2:29" x14ac:dyDescent="0.2">
      <c r="B48" s="14" t="s">
        <v>174</v>
      </c>
      <c r="C48" s="96">
        <v>39</v>
      </c>
      <c r="D48" s="15" t="s">
        <v>174</v>
      </c>
      <c r="E48" s="14" t="s">
        <v>933</v>
      </c>
      <c r="F48" s="14" t="s">
        <v>934</v>
      </c>
      <c r="G48" s="14" t="s">
        <v>935</v>
      </c>
      <c r="H48" s="14" t="s">
        <v>936</v>
      </c>
      <c r="I48" s="14" t="s">
        <v>652</v>
      </c>
      <c r="J48" s="14" t="s">
        <v>937</v>
      </c>
      <c r="K48" s="14" t="s">
        <v>938</v>
      </c>
      <c r="L48" s="14" t="s">
        <v>939</v>
      </c>
      <c r="M48" s="12" t="s">
        <v>272</v>
      </c>
      <c r="N48" s="14" t="s">
        <v>175</v>
      </c>
      <c r="O48" s="12" t="s">
        <v>272</v>
      </c>
      <c r="P48" s="12" t="s">
        <v>272</v>
      </c>
      <c r="Q48" s="12" t="s">
        <v>272</v>
      </c>
      <c r="R48" s="12" t="s">
        <v>272</v>
      </c>
      <c r="S48" s="12" t="s">
        <v>272</v>
      </c>
      <c r="T48" s="12" t="s">
        <v>272</v>
      </c>
      <c r="U48" s="14" t="s">
        <v>322</v>
      </c>
      <c r="V48" s="16"/>
      <c r="W48" s="93"/>
      <c r="X48" s="25" t="str">
        <f>_xlfn.IFS(AND(COUNTIF(V48,"SCB*")=1, 'PCH64'!F60&gt;=2), "See the Notice *2", TRUE, "")</f>
        <v/>
      </c>
      <c r="Y48" s="13"/>
      <c r="Z48" s="90" t="s">
        <v>271</v>
      </c>
      <c r="AA48" s="90" t="s">
        <v>354</v>
      </c>
      <c r="AB48" s="13"/>
      <c r="AC48" s="13"/>
    </row>
    <row r="49" spans="2:29" x14ac:dyDescent="0.2">
      <c r="B49" s="14" t="s">
        <v>176</v>
      </c>
      <c r="C49" s="96">
        <v>40</v>
      </c>
      <c r="D49" s="15" t="s">
        <v>176</v>
      </c>
      <c r="E49" s="14" t="s">
        <v>940</v>
      </c>
      <c r="F49" s="14" t="s">
        <v>941</v>
      </c>
      <c r="G49" s="14" t="s">
        <v>942</v>
      </c>
      <c r="H49" s="14" t="s">
        <v>943</v>
      </c>
      <c r="I49" s="14" t="s">
        <v>605</v>
      </c>
      <c r="J49" s="14" t="s">
        <v>944</v>
      </c>
      <c r="K49" s="14" t="s">
        <v>945</v>
      </c>
      <c r="L49" s="14" t="s">
        <v>946</v>
      </c>
      <c r="M49" s="14" t="s">
        <v>148</v>
      </c>
      <c r="N49" s="12" t="s">
        <v>272</v>
      </c>
      <c r="O49" s="12" t="s">
        <v>272</v>
      </c>
      <c r="P49" s="12" t="s">
        <v>272</v>
      </c>
      <c r="Q49" s="12" t="s">
        <v>272</v>
      </c>
      <c r="R49" s="12" t="s">
        <v>272</v>
      </c>
      <c r="S49" s="12" t="s">
        <v>272</v>
      </c>
      <c r="T49" s="12" t="s">
        <v>272</v>
      </c>
      <c r="U49" s="14" t="s">
        <v>323</v>
      </c>
      <c r="V49" s="16"/>
      <c r="W49" s="93"/>
      <c r="X49" s="25" t="str">
        <f>_xlfn.IFS(AND(COUNTIF(V49,"SCB*")=1, 'PCH64'!F60&gt;=2), "See the Notice *2", TRUE, "")</f>
        <v/>
      </c>
      <c r="Y49" s="13"/>
      <c r="Z49" s="90" t="s">
        <v>271</v>
      </c>
      <c r="AA49" s="90" t="s">
        <v>354</v>
      </c>
      <c r="AB49" s="13"/>
      <c r="AC49" s="13"/>
    </row>
    <row r="50" spans="2:29" x14ac:dyDescent="0.2">
      <c r="B50" s="14" t="s">
        <v>204</v>
      </c>
      <c r="C50" s="96">
        <v>41</v>
      </c>
      <c r="D50" s="15" t="s">
        <v>204</v>
      </c>
      <c r="E50" s="14" t="s">
        <v>750</v>
      </c>
      <c r="F50" s="14" t="s">
        <v>745</v>
      </c>
      <c r="G50" s="14" t="s">
        <v>752</v>
      </c>
      <c r="H50" s="14" t="s">
        <v>747</v>
      </c>
      <c r="I50" s="14" t="s">
        <v>993</v>
      </c>
      <c r="J50" s="14" t="s">
        <v>1026</v>
      </c>
      <c r="K50" s="12" t="s">
        <v>272</v>
      </c>
      <c r="L50" s="14" t="s">
        <v>1027</v>
      </c>
      <c r="M50" s="12" t="s">
        <v>272</v>
      </c>
      <c r="N50" s="12" t="s">
        <v>272</v>
      </c>
      <c r="O50" s="12" t="s">
        <v>272</v>
      </c>
      <c r="P50" s="12" t="s">
        <v>272</v>
      </c>
      <c r="Q50" s="14" t="s">
        <v>205</v>
      </c>
      <c r="R50" s="12" t="s">
        <v>272</v>
      </c>
      <c r="S50" s="12" t="s">
        <v>272</v>
      </c>
      <c r="T50" s="12" t="s">
        <v>272</v>
      </c>
      <c r="U50" s="14" t="s">
        <v>333</v>
      </c>
      <c r="V50" s="16"/>
      <c r="W50" s="12" t="s">
        <v>272</v>
      </c>
      <c r="X50" s="25" t="str">
        <f>_xlfn.IFS(AND(COUNTIF(V50,"SCB*")=1, 'PCH64'!E60&gt;=2), "See the Notice *2", TRUE, "")</f>
        <v/>
      </c>
      <c r="Y50" s="13"/>
      <c r="Z50" s="90" t="s">
        <v>271</v>
      </c>
      <c r="AA50" s="90" t="s">
        <v>254</v>
      </c>
      <c r="AB50" s="13"/>
      <c r="AC50" s="13"/>
    </row>
    <row r="51" spans="2:29" x14ac:dyDescent="0.2">
      <c r="B51" s="14" t="s">
        <v>206</v>
      </c>
      <c r="C51" s="96">
        <v>42</v>
      </c>
      <c r="D51" s="15" t="s">
        <v>206</v>
      </c>
      <c r="E51" s="14" t="s">
        <v>759</v>
      </c>
      <c r="F51" s="14" t="s">
        <v>755</v>
      </c>
      <c r="G51" s="14" t="s">
        <v>760</v>
      </c>
      <c r="H51" s="14" t="s">
        <v>756</v>
      </c>
      <c r="I51" s="14" t="s">
        <v>999</v>
      </c>
      <c r="J51" s="14" t="s">
        <v>1028</v>
      </c>
      <c r="K51" s="14" t="s">
        <v>1029</v>
      </c>
      <c r="L51" s="14" t="s">
        <v>1030</v>
      </c>
      <c r="M51" s="12" t="s">
        <v>272</v>
      </c>
      <c r="N51" s="12" t="s">
        <v>272</v>
      </c>
      <c r="O51" s="12" t="s">
        <v>272</v>
      </c>
      <c r="P51" s="12" t="s">
        <v>272</v>
      </c>
      <c r="Q51" s="14" t="s">
        <v>207</v>
      </c>
      <c r="R51" s="12" t="s">
        <v>272</v>
      </c>
      <c r="S51" s="12" t="s">
        <v>272</v>
      </c>
      <c r="T51" s="12" t="s">
        <v>272</v>
      </c>
      <c r="U51" s="14" t="s">
        <v>334</v>
      </c>
      <c r="V51" s="16"/>
      <c r="W51" s="12" t="s">
        <v>272</v>
      </c>
      <c r="X51" s="25" t="str">
        <f>_xlfn.IFS(AND(COUNTIF(V51,"SCB*")=1, 'PCH64'!E60&gt;=2), "See the Notice *2", TRUE, "")</f>
        <v/>
      </c>
      <c r="Y51" s="13"/>
      <c r="Z51" s="90" t="s">
        <v>271</v>
      </c>
      <c r="AA51" s="90" t="s">
        <v>254</v>
      </c>
      <c r="AB51" s="13"/>
      <c r="AC51" s="13"/>
    </row>
    <row r="52" spans="2:29" x14ac:dyDescent="0.2">
      <c r="B52" s="14" t="s">
        <v>209</v>
      </c>
      <c r="C52" s="96">
        <v>43</v>
      </c>
      <c r="D52" s="15" t="s">
        <v>209</v>
      </c>
      <c r="E52" s="14" t="s">
        <v>963</v>
      </c>
      <c r="F52" s="14" t="s">
        <v>972</v>
      </c>
      <c r="G52" s="14" t="s">
        <v>965</v>
      </c>
      <c r="H52" s="14" t="s">
        <v>974</v>
      </c>
      <c r="I52" s="14" t="s">
        <v>1009</v>
      </c>
      <c r="J52" s="14" t="s">
        <v>1034</v>
      </c>
      <c r="K52" s="12" t="s">
        <v>272</v>
      </c>
      <c r="L52" s="14" t="s">
        <v>1035</v>
      </c>
      <c r="M52" s="12" t="s">
        <v>272</v>
      </c>
      <c r="N52" s="12" t="s">
        <v>272</v>
      </c>
      <c r="O52" s="12" t="s">
        <v>272</v>
      </c>
      <c r="P52" s="12" t="s">
        <v>272</v>
      </c>
      <c r="Q52" s="14" t="s">
        <v>1036</v>
      </c>
      <c r="R52" s="12" t="s">
        <v>272</v>
      </c>
      <c r="S52" s="12" t="s">
        <v>272</v>
      </c>
      <c r="T52" s="12" t="s">
        <v>272</v>
      </c>
      <c r="U52" s="14" t="s">
        <v>336</v>
      </c>
      <c r="V52" s="16"/>
      <c r="W52" s="12" t="s">
        <v>272</v>
      </c>
      <c r="X52" s="25" t="str">
        <f>_xlfn.IFS(AND(COUNTIF(V52,"SCB*")=1, 'PCH64'!E60&gt;=2), "See the Notice *2", TRUE, "")</f>
        <v/>
      </c>
      <c r="Y52" s="13"/>
      <c r="Z52" s="90" t="s">
        <v>271</v>
      </c>
      <c r="AA52" s="90" t="s">
        <v>254</v>
      </c>
      <c r="AB52" s="13"/>
      <c r="AC52" s="13"/>
    </row>
    <row r="53" spans="2:29" x14ac:dyDescent="0.2">
      <c r="B53" s="14" t="s">
        <v>210</v>
      </c>
      <c r="C53" s="96">
        <v>44</v>
      </c>
      <c r="D53" s="15" t="s">
        <v>210</v>
      </c>
      <c r="E53" s="14" t="s">
        <v>958</v>
      </c>
      <c r="F53" s="14" t="s">
        <v>968</v>
      </c>
      <c r="G53" s="14" t="s">
        <v>960</v>
      </c>
      <c r="H53" s="14" t="s">
        <v>970</v>
      </c>
      <c r="I53" s="14" t="s">
        <v>1010</v>
      </c>
      <c r="J53" s="12" t="s">
        <v>272</v>
      </c>
      <c r="K53" s="12" t="s">
        <v>272</v>
      </c>
      <c r="L53" s="14" t="s">
        <v>1037</v>
      </c>
      <c r="M53" s="12" t="s">
        <v>272</v>
      </c>
      <c r="N53" s="12" t="s">
        <v>272</v>
      </c>
      <c r="O53" s="12" t="s">
        <v>272</v>
      </c>
      <c r="P53" s="12" t="s">
        <v>272</v>
      </c>
      <c r="Q53" s="14" t="s">
        <v>1038</v>
      </c>
      <c r="R53" s="12" t="s">
        <v>272</v>
      </c>
      <c r="S53" s="12" t="s">
        <v>272</v>
      </c>
      <c r="T53" s="12" t="s">
        <v>272</v>
      </c>
      <c r="U53" s="14" t="s">
        <v>337</v>
      </c>
      <c r="V53" s="16"/>
      <c r="W53" s="12" t="s">
        <v>272</v>
      </c>
      <c r="X53" s="25" t="str">
        <f>_xlfn.IFS(AND(COUNTIF(V53,"SCB*")=1, 'PCH64'!E60&gt;=2), "See the Notice *2", TRUE, "")</f>
        <v/>
      </c>
      <c r="Y53" s="13"/>
      <c r="Z53" s="90" t="s">
        <v>271</v>
      </c>
      <c r="AA53" s="90" t="s">
        <v>254</v>
      </c>
      <c r="AB53" s="13"/>
      <c r="AC53" s="13"/>
    </row>
    <row r="54" spans="2:29" x14ac:dyDescent="0.2">
      <c r="B54" s="14" t="s">
        <v>211</v>
      </c>
      <c r="C54" s="96">
        <v>45</v>
      </c>
      <c r="D54" s="15" t="s">
        <v>211</v>
      </c>
      <c r="E54" s="14" t="s">
        <v>953</v>
      </c>
      <c r="F54" s="14" t="s">
        <v>964</v>
      </c>
      <c r="G54" s="14" t="s">
        <v>955</v>
      </c>
      <c r="H54" s="14" t="s">
        <v>966</v>
      </c>
      <c r="I54" s="14" t="s">
        <v>1013</v>
      </c>
      <c r="J54" s="12" t="s">
        <v>272</v>
      </c>
      <c r="K54" s="12" t="s">
        <v>272</v>
      </c>
      <c r="L54" s="14" t="s">
        <v>1039</v>
      </c>
      <c r="M54" s="12" t="s">
        <v>272</v>
      </c>
      <c r="N54" s="12" t="s">
        <v>272</v>
      </c>
      <c r="O54" s="12" t="s">
        <v>272</v>
      </c>
      <c r="P54" s="12" t="s">
        <v>272</v>
      </c>
      <c r="Q54" s="14" t="s">
        <v>1040</v>
      </c>
      <c r="R54" s="12" t="s">
        <v>272</v>
      </c>
      <c r="S54" s="12" t="s">
        <v>272</v>
      </c>
      <c r="T54" s="12" t="s">
        <v>272</v>
      </c>
      <c r="U54" s="14" t="s">
        <v>338</v>
      </c>
      <c r="V54" s="16"/>
      <c r="W54" s="12" t="s">
        <v>272</v>
      </c>
      <c r="X54" s="25" t="str">
        <f>_xlfn.IFS(AND(COUNTIF(V54,"SCB*")=1, 'PCH64'!E60&gt;=2), "See the Notice *2", TRUE, "")</f>
        <v/>
      </c>
      <c r="Y54" s="13"/>
      <c r="Z54" s="90" t="s">
        <v>271</v>
      </c>
      <c r="AA54" s="90" t="s">
        <v>254</v>
      </c>
      <c r="AB54" s="13"/>
      <c r="AC54" s="13"/>
    </row>
    <row r="55" spans="2:29" x14ac:dyDescent="0.2">
      <c r="B55" s="14" t="s">
        <v>212</v>
      </c>
      <c r="C55" s="96">
        <v>46</v>
      </c>
      <c r="D55" s="15" t="s">
        <v>212</v>
      </c>
      <c r="E55" s="14" t="s">
        <v>947</v>
      </c>
      <c r="F55" s="14" t="s">
        <v>959</v>
      </c>
      <c r="G55" s="14" t="s">
        <v>949</v>
      </c>
      <c r="H55" s="14" t="s">
        <v>961</v>
      </c>
      <c r="I55" s="14" t="s">
        <v>1017</v>
      </c>
      <c r="J55" s="12" t="s">
        <v>272</v>
      </c>
      <c r="K55" s="12" t="s">
        <v>272</v>
      </c>
      <c r="L55" s="14" t="s">
        <v>1041</v>
      </c>
      <c r="M55" s="12" t="s">
        <v>272</v>
      </c>
      <c r="N55" s="14" t="s">
        <v>213</v>
      </c>
      <c r="O55" s="12" t="s">
        <v>272</v>
      </c>
      <c r="P55" s="12" t="s">
        <v>272</v>
      </c>
      <c r="Q55" s="14" t="s">
        <v>1042</v>
      </c>
      <c r="R55" s="12" t="s">
        <v>272</v>
      </c>
      <c r="S55" s="12" t="s">
        <v>272</v>
      </c>
      <c r="T55" s="12" t="s">
        <v>272</v>
      </c>
      <c r="U55" s="14" t="s">
        <v>339</v>
      </c>
      <c r="V55" s="16"/>
      <c r="W55" s="12" t="s">
        <v>272</v>
      </c>
      <c r="X55" s="25" t="str">
        <f>_xlfn.IFS(AND(COUNTIF(V55,"SCB*")=1, 'PCH64'!E60&gt;=2), "See the Notice *2", TRUE, "")</f>
        <v/>
      </c>
      <c r="Y55" s="13"/>
      <c r="Z55" s="90" t="s">
        <v>271</v>
      </c>
      <c r="AA55" s="90" t="s">
        <v>254</v>
      </c>
      <c r="AB55" s="13"/>
      <c r="AC55" s="13"/>
    </row>
    <row r="56" spans="2:29" x14ac:dyDescent="0.2">
      <c r="B56" s="14" t="s">
        <v>1222</v>
      </c>
      <c r="C56" s="96">
        <v>47</v>
      </c>
      <c r="D56" s="15" t="s">
        <v>214</v>
      </c>
      <c r="E56" s="14" t="s">
        <v>940</v>
      </c>
      <c r="F56" s="14" t="s">
        <v>954</v>
      </c>
      <c r="G56" s="14" t="s">
        <v>942</v>
      </c>
      <c r="H56" s="14" t="s">
        <v>956</v>
      </c>
      <c r="I56" s="14" t="s">
        <v>1021</v>
      </c>
      <c r="J56" s="12" t="s">
        <v>272</v>
      </c>
      <c r="K56" s="12" t="s">
        <v>272</v>
      </c>
      <c r="L56" s="12" t="s">
        <v>272</v>
      </c>
      <c r="M56" s="12" t="s">
        <v>272</v>
      </c>
      <c r="N56" s="14" t="s">
        <v>215</v>
      </c>
      <c r="O56" s="12" t="s">
        <v>272</v>
      </c>
      <c r="P56" s="12" t="s">
        <v>272</v>
      </c>
      <c r="Q56" s="14" t="s">
        <v>1043</v>
      </c>
      <c r="R56" s="12" t="s">
        <v>272</v>
      </c>
      <c r="S56" s="12" t="s">
        <v>272</v>
      </c>
      <c r="T56" s="12" t="s">
        <v>272</v>
      </c>
      <c r="U56" s="14" t="s">
        <v>340</v>
      </c>
      <c r="V56" s="16"/>
      <c r="W56" s="12" t="s">
        <v>272</v>
      </c>
      <c r="X56" s="25"/>
      <c r="Y56" s="13"/>
      <c r="Z56" s="90" t="s">
        <v>271</v>
      </c>
      <c r="AA56" s="90" t="s">
        <v>254</v>
      </c>
      <c r="AB56" s="13"/>
      <c r="AC56" s="13"/>
    </row>
    <row r="57" spans="2:29" x14ac:dyDescent="0.2">
      <c r="B57" s="17" t="s">
        <v>254</v>
      </c>
      <c r="C57" s="11">
        <v>48</v>
      </c>
      <c r="D57" s="11" t="s">
        <v>272</v>
      </c>
      <c r="E57" s="11" t="s">
        <v>272</v>
      </c>
      <c r="F57" s="11" t="s">
        <v>272</v>
      </c>
      <c r="G57" s="11" t="s">
        <v>272</v>
      </c>
      <c r="H57" s="11" t="s">
        <v>272</v>
      </c>
      <c r="I57" s="11" t="s">
        <v>272</v>
      </c>
      <c r="J57" s="12" t="s">
        <v>272</v>
      </c>
      <c r="K57" s="12" t="s">
        <v>272</v>
      </c>
      <c r="L57" s="12" t="s">
        <v>272</v>
      </c>
      <c r="M57" s="12" t="s">
        <v>272</v>
      </c>
      <c r="N57" s="11" t="s">
        <v>272</v>
      </c>
      <c r="O57" s="12" t="s">
        <v>272</v>
      </c>
      <c r="P57" s="12" t="s">
        <v>272</v>
      </c>
      <c r="Q57" s="11" t="s">
        <v>272</v>
      </c>
      <c r="R57" s="12" t="s">
        <v>272</v>
      </c>
      <c r="S57" s="12" t="s">
        <v>272</v>
      </c>
      <c r="T57" s="12" t="s">
        <v>272</v>
      </c>
      <c r="U57" s="11" t="s">
        <v>272</v>
      </c>
      <c r="V57" s="17" t="s">
        <v>254</v>
      </c>
      <c r="W57" s="12" t="s">
        <v>272</v>
      </c>
      <c r="X57" s="25"/>
      <c r="Y57" s="13" t="s">
        <v>530</v>
      </c>
      <c r="Z57" s="90" t="s">
        <v>543</v>
      </c>
      <c r="AA57" s="90" t="s">
        <v>543</v>
      </c>
      <c r="AB57" s="13"/>
      <c r="AC57" s="13"/>
    </row>
    <row r="58" spans="2:29" x14ac:dyDescent="0.2">
      <c r="B58" s="10" t="s">
        <v>253</v>
      </c>
      <c r="C58" s="11">
        <v>49</v>
      </c>
      <c r="D58" s="11" t="s">
        <v>272</v>
      </c>
      <c r="E58" s="11" t="s">
        <v>272</v>
      </c>
      <c r="F58" s="11" t="s">
        <v>272</v>
      </c>
      <c r="G58" s="11" t="s">
        <v>272</v>
      </c>
      <c r="H58" s="11" t="s">
        <v>272</v>
      </c>
      <c r="I58" s="11" t="s">
        <v>272</v>
      </c>
      <c r="J58" s="11" t="s">
        <v>272</v>
      </c>
      <c r="K58" s="11" t="s">
        <v>272</v>
      </c>
      <c r="L58" s="11" t="s">
        <v>272</v>
      </c>
      <c r="M58" s="11" t="s">
        <v>272</v>
      </c>
      <c r="N58" s="11" t="s">
        <v>272</v>
      </c>
      <c r="O58" s="11" t="s">
        <v>272</v>
      </c>
      <c r="P58" s="11" t="s">
        <v>272</v>
      </c>
      <c r="Q58" s="11" t="s">
        <v>272</v>
      </c>
      <c r="R58" s="11" t="s">
        <v>272</v>
      </c>
      <c r="S58" s="11" t="s">
        <v>272</v>
      </c>
      <c r="T58" s="11" t="s">
        <v>272</v>
      </c>
      <c r="U58" s="11" t="s">
        <v>272</v>
      </c>
      <c r="V58" s="10" t="s">
        <v>253</v>
      </c>
      <c r="W58" s="12" t="s">
        <v>272</v>
      </c>
      <c r="X58" s="25"/>
      <c r="Y58" s="13" t="s">
        <v>531</v>
      </c>
      <c r="Z58" s="90" t="s">
        <v>543</v>
      </c>
      <c r="AA58" s="90" t="s">
        <v>543</v>
      </c>
      <c r="AB58" s="13"/>
      <c r="AC58" s="13"/>
    </row>
    <row r="59" spans="2:29" x14ac:dyDescent="0.2">
      <c r="B59" s="14" t="s">
        <v>551</v>
      </c>
      <c r="C59" s="96">
        <v>50</v>
      </c>
      <c r="D59" s="15" t="s">
        <v>1169</v>
      </c>
      <c r="E59" s="14" t="s">
        <v>868</v>
      </c>
      <c r="F59" s="14" t="s">
        <v>877</v>
      </c>
      <c r="G59" s="14" t="s">
        <v>870</v>
      </c>
      <c r="H59" s="14" t="s">
        <v>879</v>
      </c>
      <c r="I59" s="12" t="s">
        <v>272</v>
      </c>
      <c r="J59" s="12" t="s">
        <v>272</v>
      </c>
      <c r="K59" s="12" t="s">
        <v>272</v>
      </c>
      <c r="L59" s="14" t="s">
        <v>1078</v>
      </c>
      <c r="M59" s="12" t="s">
        <v>272</v>
      </c>
      <c r="N59" s="12" t="s">
        <v>272</v>
      </c>
      <c r="O59" s="12" t="s">
        <v>272</v>
      </c>
      <c r="P59" s="12" t="s">
        <v>272</v>
      </c>
      <c r="Q59" s="12" t="s">
        <v>272</v>
      </c>
      <c r="R59" s="12" t="s">
        <v>272</v>
      </c>
      <c r="S59" s="12" t="s">
        <v>272</v>
      </c>
      <c r="T59" s="12" t="s">
        <v>272</v>
      </c>
      <c r="U59" s="14" t="s">
        <v>350</v>
      </c>
      <c r="V59" s="16"/>
      <c r="W59" s="12" t="s">
        <v>272</v>
      </c>
      <c r="X59" s="25" t="str">
        <f>_xlfn.IFS(AND(COUNTIF(V59,"SCB*")=1, 'PCH64'!E60&gt;=2), "See the Notice *2", TRUE, "")</f>
        <v/>
      </c>
      <c r="Y59" s="13"/>
      <c r="Z59" s="90" t="s">
        <v>271</v>
      </c>
      <c r="AA59" s="90" t="s">
        <v>254</v>
      </c>
      <c r="AB59" s="13"/>
      <c r="AC59" s="13"/>
    </row>
    <row r="60" spans="2:29" x14ac:dyDescent="0.2">
      <c r="B60" s="14" t="s">
        <v>552</v>
      </c>
      <c r="C60" s="96">
        <v>51</v>
      </c>
      <c r="D60" s="15" t="s">
        <v>1168</v>
      </c>
      <c r="E60" s="14" t="s">
        <v>864</v>
      </c>
      <c r="F60" s="14" t="s">
        <v>873</v>
      </c>
      <c r="G60" s="14" t="s">
        <v>866</v>
      </c>
      <c r="H60" s="14" t="s">
        <v>875</v>
      </c>
      <c r="I60" s="12" t="s">
        <v>272</v>
      </c>
      <c r="J60" s="12" t="s">
        <v>272</v>
      </c>
      <c r="K60" s="12" t="s">
        <v>272</v>
      </c>
      <c r="L60" s="12" t="s">
        <v>272</v>
      </c>
      <c r="M60" s="12" t="s">
        <v>272</v>
      </c>
      <c r="N60" s="12" t="s">
        <v>272</v>
      </c>
      <c r="O60" s="12" t="s">
        <v>272</v>
      </c>
      <c r="P60" s="12" t="s">
        <v>272</v>
      </c>
      <c r="Q60" s="12" t="s">
        <v>272</v>
      </c>
      <c r="R60" s="12" t="s">
        <v>272</v>
      </c>
      <c r="S60" s="12" t="s">
        <v>272</v>
      </c>
      <c r="T60" s="12" t="s">
        <v>272</v>
      </c>
      <c r="U60" s="14" t="s">
        <v>351</v>
      </c>
      <c r="V60" s="16"/>
      <c r="W60" s="12" t="s">
        <v>272</v>
      </c>
      <c r="X60" s="25"/>
      <c r="Y60" s="13"/>
      <c r="Z60" s="90" t="s">
        <v>271</v>
      </c>
      <c r="AA60" s="90" t="s">
        <v>254</v>
      </c>
      <c r="AB60" s="13"/>
      <c r="AC60" s="13"/>
    </row>
    <row r="61" spans="2:29" x14ac:dyDescent="0.2">
      <c r="B61" s="14" t="s">
        <v>553</v>
      </c>
      <c r="C61" s="96">
        <v>52</v>
      </c>
      <c r="D61" s="15" t="s">
        <v>1167</v>
      </c>
      <c r="E61" s="14" t="s">
        <v>860</v>
      </c>
      <c r="F61" s="14" t="s">
        <v>869</v>
      </c>
      <c r="G61" s="14" t="s">
        <v>862</v>
      </c>
      <c r="H61" s="14" t="s">
        <v>871</v>
      </c>
      <c r="I61" s="12" t="s">
        <v>272</v>
      </c>
      <c r="J61" s="12" t="s">
        <v>272</v>
      </c>
      <c r="K61" s="12" t="s">
        <v>272</v>
      </c>
      <c r="L61" s="12" t="s">
        <v>272</v>
      </c>
      <c r="M61" s="12" t="s">
        <v>272</v>
      </c>
      <c r="N61" s="12" t="s">
        <v>272</v>
      </c>
      <c r="O61" s="12" t="s">
        <v>272</v>
      </c>
      <c r="P61" s="14" t="s">
        <v>233</v>
      </c>
      <c r="Q61" s="14" t="s">
        <v>61</v>
      </c>
      <c r="R61" s="12" t="s">
        <v>272</v>
      </c>
      <c r="S61" s="12" t="s">
        <v>272</v>
      </c>
      <c r="T61" s="12" t="s">
        <v>272</v>
      </c>
      <c r="U61" s="14" t="s">
        <v>352</v>
      </c>
      <c r="V61" s="16"/>
      <c r="W61" s="12" t="s">
        <v>272</v>
      </c>
      <c r="X61" s="25"/>
      <c r="Y61" s="13"/>
      <c r="Z61" s="90" t="s">
        <v>271</v>
      </c>
      <c r="AA61" s="90" t="s">
        <v>254</v>
      </c>
      <c r="AB61" s="13"/>
      <c r="AC61" s="13"/>
    </row>
    <row r="62" spans="2:29" x14ac:dyDescent="0.2">
      <c r="B62" s="14" t="s">
        <v>554</v>
      </c>
      <c r="C62" s="96">
        <v>53</v>
      </c>
      <c r="D62" s="15" t="s">
        <v>1166</v>
      </c>
      <c r="E62" s="14" t="s">
        <v>856</v>
      </c>
      <c r="F62" s="14" t="s">
        <v>865</v>
      </c>
      <c r="G62" s="14" t="s">
        <v>858</v>
      </c>
      <c r="H62" s="14" t="s">
        <v>867</v>
      </c>
      <c r="I62" s="12" t="s">
        <v>272</v>
      </c>
      <c r="J62" s="12" t="s">
        <v>272</v>
      </c>
      <c r="K62" s="12" t="s">
        <v>272</v>
      </c>
      <c r="L62" s="12" t="s">
        <v>272</v>
      </c>
      <c r="M62" s="12" t="s">
        <v>272</v>
      </c>
      <c r="N62" s="12" t="s">
        <v>272</v>
      </c>
      <c r="O62" s="12" t="s">
        <v>272</v>
      </c>
      <c r="P62" s="12" t="s">
        <v>272</v>
      </c>
      <c r="Q62" s="12" t="s">
        <v>272</v>
      </c>
      <c r="R62" s="12" t="s">
        <v>272</v>
      </c>
      <c r="S62" s="12" t="s">
        <v>272</v>
      </c>
      <c r="T62" s="12" t="s">
        <v>272</v>
      </c>
      <c r="U62" s="14" t="s">
        <v>353</v>
      </c>
      <c r="V62" s="16"/>
      <c r="W62" s="12" t="s">
        <v>272</v>
      </c>
      <c r="X62" s="25"/>
      <c r="Y62" s="13"/>
      <c r="Z62" s="90" t="s">
        <v>271</v>
      </c>
      <c r="AA62" s="90" t="s">
        <v>254</v>
      </c>
      <c r="AB62" s="13"/>
      <c r="AC62" s="13"/>
    </row>
    <row r="63" spans="2:29" x14ac:dyDescent="0.2">
      <c r="B63" s="22" t="s">
        <v>261</v>
      </c>
      <c r="C63" s="11">
        <v>54</v>
      </c>
      <c r="D63" s="22" t="s">
        <v>261</v>
      </c>
      <c r="E63" s="11" t="s">
        <v>272</v>
      </c>
      <c r="F63" s="11" t="s">
        <v>272</v>
      </c>
      <c r="G63" s="11" t="s">
        <v>272</v>
      </c>
      <c r="H63" s="11" t="s">
        <v>272</v>
      </c>
      <c r="I63" s="11" t="s">
        <v>272</v>
      </c>
      <c r="J63" s="11" t="s">
        <v>272</v>
      </c>
      <c r="K63" s="11" t="s">
        <v>272</v>
      </c>
      <c r="L63" s="11" t="s">
        <v>272</v>
      </c>
      <c r="M63" s="11" t="s">
        <v>272</v>
      </c>
      <c r="N63" s="11" t="s">
        <v>272</v>
      </c>
      <c r="O63" s="11" t="s">
        <v>272</v>
      </c>
      <c r="P63" s="11" t="s">
        <v>272</v>
      </c>
      <c r="Q63" s="11" t="s">
        <v>272</v>
      </c>
      <c r="R63" s="11" t="s">
        <v>272</v>
      </c>
      <c r="S63" s="11" t="s">
        <v>272</v>
      </c>
      <c r="T63" s="11" t="s">
        <v>272</v>
      </c>
      <c r="U63" s="11" t="s">
        <v>272</v>
      </c>
      <c r="V63" s="22" t="s">
        <v>261</v>
      </c>
      <c r="W63" s="12" t="s">
        <v>272</v>
      </c>
      <c r="X63" s="25"/>
      <c r="Y63" s="13" t="s">
        <v>538</v>
      </c>
      <c r="Z63" s="90" t="s">
        <v>543</v>
      </c>
      <c r="AA63" s="90" t="s">
        <v>543</v>
      </c>
      <c r="AB63" s="13"/>
      <c r="AC63" s="13"/>
    </row>
    <row r="64" spans="2:29" x14ac:dyDescent="0.2">
      <c r="B64" s="17" t="s">
        <v>254</v>
      </c>
      <c r="C64" s="11">
        <v>55</v>
      </c>
      <c r="D64" s="11" t="s">
        <v>272</v>
      </c>
      <c r="E64" s="11" t="s">
        <v>272</v>
      </c>
      <c r="F64" s="11" t="s">
        <v>272</v>
      </c>
      <c r="G64" s="11" t="s">
        <v>272</v>
      </c>
      <c r="H64" s="11" t="s">
        <v>272</v>
      </c>
      <c r="I64" s="11" t="s">
        <v>272</v>
      </c>
      <c r="J64" s="11" t="s">
        <v>272</v>
      </c>
      <c r="K64" s="11" t="s">
        <v>272</v>
      </c>
      <c r="L64" s="11" t="s">
        <v>272</v>
      </c>
      <c r="M64" s="11" t="s">
        <v>272</v>
      </c>
      <c r="N64" s="11" t="s">
        <v>272</v>
      </c>
      <c r="O64" s="11" t="s">
        <v>272</v>
      </c>
      <c r="P64" s="11" t="s">
        <v>272</v>
      </c>
      <c r="Q64" s="11" t="s">
        <v>272</v>
      </c>
      <c r="R64" s="11" t="s">
        <v>272</v>
      </c>
      <c r="S64" s="11" t="s">
        <v>272</v>
      </c>
      <c r="T64" s="11" t="s">
        <v>272</v>
      </c>
      <c r="U64" s="11" t="s">
        <v>272</v>
      </c>
      <c r="V64" s="17" t="s">
        <v>254</v>
      </c>
      <c r="W64" s="12" t="s">
        <v>272</v>
      </c>
      <c r="X64" s="25"/>
      <c r="Y64" s="13" t="s">
        <v>530</v>
      </c>
      <c r="Z64" s="90" t="s">
        <v>543</v>
      </c>
      <c r="AA64" s="90" t="s">
        <v>543</v>
      </c>
      <c r="AB64" s="13"/>
      <c r="AC64" s="13"/>
    </row>
    <row r="65" spans="2:30" x14ac:dyDescent="0.2">
      <c r="B65" s="10" t="s">
        <v>253</v>
      </c>
      <c r="C65" s="11">
        <v>56</v>
      </c>
      <c r="D65" s="11" t="s">
        <v>272</v>
      </c>
      <c r="E65" s="11" t="s">
        <v>272</v>
      </c>
      <c r="F65" s="11" t="s">
        <v>272</v>
      </c>
      <c r="G65" s="11" t="s">
        <v>272</v>
      </c>
      <c r="H65" s="11" t="s">
        <v>272</v>
      </c>
      <c r="I65" s="11" t="s">
        <v>272</v>
      </c>
      <c r="J65" s="11" t="s">
        <v>272</v>
      </c>
      <c r="K65" s="11" t="s">
        <v>272</v>
      </c>
      <c r="L65" s="11" t="s">
        <v>272</v>
      </c>
      <c r="M65" s="11" t="s">
        <v>272</v>
      </c>
      <c r="N65" s="11" t="s">
        <v>272</v>
      </c>
      <c r="O65" s="11" t="s">
        <v>272</v>
      </c>
      <c r="P65" s="11" t="s">
        <v>272</v>
      </c>
      <c r="Q65" s="11" t="s">
        <v>272</v>
      </c>
      <c r="R65" s="11" t="s">
        <v>272</v>
      </c>
      <c r="S65" s="11" t="s">
        <v>272</v>
      </c>
      <c r="T65" s="11" t="s">
        <v>272</v>
      </c>
      <c r="U65" s="11" t="s">
        <v>272</v>
      </c>
      <c r="V65" s="10" t="s">
        <v>253</v>
      </c>
      <c r="W65" s="12" t="s">
        <v>272</v>
      </c>
      <c r="X65" s="25"/>
      <c r="Y65" s="13" t="s">
        <v>531</v>
      </c>
      <c r="Z65" s="90" t="s">
        <v>543</v>
      </c>
      <c r="AA65" s="90" t="s">
        <v>543</v>
      </c>
      <c r="AB65" s="13"/>
      <c r="AC65" s="13"/>
    </row>
    <row r="66" spans="2:30" x14ac:dyDescent="0.2">
      <c r="B66" s="10" t="s">
        <v>253</v>
      </c>
      <c r="C66" s="11">
        <v>57</v>
      </c>
      <c r="D66" s="11" t="s">
        <v>272</v>
      </c>
      <c r="E66" s="11" t="s">
        <v>272</v>
      </c>
      <c r="F66" s="11" t="s">
        <v>272</v>
      </c>
      <c r="G66" s="11" t="s">
        <v>272</v>
      </c>
      <c r="H66" s="11" t="s">
        <v>272</v>
      </c>
      <c r="I66" s="11" t="s">
        <v>272</v>
      </c>
      <c r="J66" s="11" t="s">
        <v>272</v>
      </c>
      <c r="K66" s="11" t="s">
        <v>272</v>
      </c>
      <c r="L66" s="11" t="s">
        <v>272</v>
      </c>
      <c r="M66" s="11" t="s">
        <v>272</v>
      </c>
      <c r="N66" s="11" t="s">
        <v>272</v>
      </c>
      <c r="O66" s="11" t="s">
        <v>272</v>
      </c>
      <c r="P66" s="11" t="s">
        <v>272</v>
      </c>
      <c r="Q66" s="11" t="s">
        <v>272</v>
      </c>
      <c r="R66" s="11" t="s">
        <v>272</v>
      </c>
      <c r="S66" s="11" t="s">
        <v>272</v>
      </c>
      <c r="T66" s="11" t="s">
        <v>272</v>
      </c>
      <c r="U66" s="11" t="s">
        <v>272</v>
      </c>
      <c r="V66" s="10" t="s">
        <v>253</v>
      </c>
      <c r="W66" s="12" t="s">
        <v>272</v>
      </c>
      <c r="X66" s="25"/>
      <c r="Y66" s="13" t="s">
        <v>531</v>
      </c>
      <c r="Z66" s="90" t="s">
        <v>543</v>
      </c>
      <c r="AA66" s="90" t="s">
        <v>543</v>
      </c>
      <c r="AB66" s="13"/>
      <c r="AC66" s="13"/>
    </row>
    <row r="67" spans="2:30" x14ac:dyDescent="0.2">
      <c r="B67" s="17" t="s">
        <v>256</v>
      </c>
      <c r="C67" s="11">
        <v>58</v>
      </c>
      <c r="D67" s="11" t="s">
        <v>272</v>
      </c>
      <c r="E67" s="11" t="s">
        <v>272</v>
      </c>
      <c r="F67" s="11" t="s">
        <v>272</v>
      </c>
      <c r="G67" s="11" t="s">
        <v>272</v>
      </c>
      <c r="H67" s="11" t="s">
        <v>272</v>
      </c>
      <c r="I67" s="11" t="s">
        <v>272</v>
      </c>
      <c r="J67" s="11" t="s">
        <v>272</v>
      </c>
      <c r="K67" s="11" t="s">
        <v>272</v>
      </c>
      <c r="L67" s="11" t="s">
        <v>272</v>
      </c>
      <c r="M67" s="11" t="s">
        <v>272</v>
      </c>
      <c r="N67" s="11" t="s">
        <v>272</v>
      </c>
      <c r="O67" s="11" t="s">
        <v>272</v>
      </c>
      <c r="P67" s="11" t="s">
        <v>272</v>
      </c>
      <c r="Q67" s="11" t="s">
        <v>272</v>
      </c>
      <c r="R67" s="11" t="s">
        <v>272</v>
      </c>
      <c r="S67" s="11" t="s">
        <v>272</v>
      </c>
      <c r="T67" s="11" t="s">
        <v>272</v>
      </c>
      <c r="U67" s="11" t="s">
        <v>272</v>
      </c>
      <c r="V67" s="17" t="s">
        <v>256</v>
      </c>
      <c r="W67" s="12" t="s">
        <v>272</v>
      </c>
      <c r="X67" s="25"/>
      <c r="Y67" s="13" t="s">
        <v>533</v>
      </c>
      <c r="Z67" s="90" t="s">
        <v>543</v>
      </c>
      <c r="AA67" s="90" t="s">
        <v>543</v>
      </c>
      <c r="AB67" s="13"/>
      <c r="AC67" s="13"/>
    </row>
    <row r="68" spans="2:30" x14ac:dyDescent="0.2">
      <c r="B68" s="14" t="s">
        <v>234</v>
      </c>
      <c r="C68" s="96">
        <v>59</v>
      </c>
      <c r="D68" s="15" t="s">
        <v>234</v>
      </c>
      <c r="E68" s="14" t="s">
        <v>836</v>
      </c>
      <c r="F68" s="14" t="s">
        <v>845</v>
      </c>
      <c r="G68" s="14" t="s">
        <v>838</v>
      </c>
      <c r="H68" s="14" t="s">
        <v>847</v>
      </c>
      <c r="I68" s="12" t="s">
        <v>272</v>
      </c>
      <c r="J68" s="14" t="s">
        <v>1079</v>
      </c>
      <c r="K68" s="12" t="s">
        <v>272</v>
      </c>
      <c r="L68" s="14" t="s">
        <v>1080</v>
      </c>
      <c r="M68" s="12" t="s">
        <v>272</v>
      </c>
      <c r="N68" s="14" t="s">
        <v>193</v>
      </c>
      <c r="O68" s="12" t="s">
        <v>272</v>
      </c>
      <c r="P68" s="12" t="s">
        <v>272</v>
      </c>
      <c r="Q68" s="14" t="s">
        <v>1081</v>
      </c>
      <c r="R68" s="12" t="s">
        <v>272</v>
      </c>
      <c r="S68" s="12" t="s">
        <v>272</v>
      </c>
      <c r="T68" s="12" t="s">
        <v>272</v>
      </c>
      <c r="U68" s="12" t="s">
        <v>272</v>
      </c>
      <c r="V68" s="16"/>
      <c r="W68" s="12" t="s">
        <v>272</v>
      </c>
      <c r="X68" s="25" t="str">
        <f>_xlfn.IFS(AND(COUNTIF(V68,"SCB*")=1, 'PCH64'!J60&gt;=2), "See the Notice *2", TRUE, "")</f>
        <v/>
      </c>
      <c r="Y68" s="13"/>
      <c r="Z68" s="90" t="s">
        <v>271</v>
      </c>
      <c r="AA68" s="90" t="s">
        <v>254</v>
      </c>
      <c r="AB68" s="13"/>
      <c r="AC68" s="13"/>
    </row>
    <row r="69" spans="2:30" x14ac:dyDescent="0.2">
      <c r="B69" s="14" t="s">
        <v>245</v>
      </c>
      <c r="C69" s="96">
        <v>60</v>
      </c>
      <c r="D69" s="15" t="s">
        <v>245</v>
      </c>
      <c r="E69" s="14" t="s">
        <v>916</v>
      </c>
      <c r="F69" s="14" t="s">
        <v>911</v>
      </c>
      <c r="G69" s="14" t="s">
        <v>918</v>
      </c>
      <c r="H69" s="14" t="s">
        <v>913</v>
      </c>
      <c r="I69" s="12" t="s">
        <v>272</v>
      </c>
      <c r="J69" s="14" t="s">
        <v>1104</v>
      </c>
      <c r="K69" s="12" t="s">
        <v>272</v>
      </c>
      <c r="L69" s="14" t="s">
        <v>1105</v>
      </c>
      <c r="M69" s="12" t="s">
        <v>272</v>
      </c>
      <c r="N69" s="12" t="s">
        <v>272</v>
      </c>
      <c r="O69" s="12" t="s">
        <v>272</v>
      </c>
      <c r="P69" s="14" t="s">
        <v>246</v>
      </c>
      <c r="Q69" s="14" t="s">
        <v>219</v>
      </c>
      <c r="R69" s="12" t="s">
        <v>272</v>
      </c>
      <c r="S69" s="12" t="s">
        <v>272</v>
      </c>
      <c r="T69" s="12" t="s">
        <v>272</v>
      </c>
      <c r="U69" s="12" t="s">
        <v>272</v>
      </c>
      <c r="V69" s="16"/>
      <c r="W69" s="12" t="s">
        <v>272</v>
      </c>
      <c r="X69" s="25" t="str">
        <f>_xlfn.IFS(AND(COUNTIF(V69,"SCB*")=1, 'PCH64'!K60&gt;=2), "See the Notice *2", TRUE, "")</f>
        <v/>
      </c>
      <c r="Y69" s="13"/>
      <c r="Z69" s="90" t="s">
        <v>271</v>
      </c>
      <c r="AA69" s="90" t="s">
        <v>254</v>
      </c>
      <c r="AB69" s="13"/>
      <c r="AC69" s="13"/>
    </row>
    <row r="70" spans="2:30" x14ac:dyDescent="0.2">
      <c r="B70" s="14" t="s">
        <v>247</v>
      </c>
      <c r="C70" s="96">
        <v>61</v>
      </c>
      <c r="D70" s="15" t="s">
        <v>247</v>
      </c>
      <c r="E70" s="14" t="s">
        <v>785</v>
      </c>
      <c r="F70" s="14" t="s">
        <v>923</v>
      </c>
      <c r="G70" s="14" t="s">
        <v>787</v>
      </c>
      <c r="H70" s="14" t="s">
        <v>925</v>
      </c>
      <c r="I70" s="12" t="s">
        <v>272</v>
      </c>
      <c r="J70" s="12" t="s">
        <v>272</v>
      </c>
      <c r="K70" s="12" t="s">
        <v>272</v>
      </c>
      <c r="L70" s="14" t="s">
        <v>1106</v>
      </c>
      <c r="M70" s="12" t="s">
        <v>272</v>
      </c>
      <c r="N70" s="12" t="s">
        <v>272</v>
      </c>
      <c r="O70" s="12" t="s">
        <v>272</v>
      </c>
      <c r="P70" s="14" t="s">
        <v>248</v>
      </c>
      <c r="Q70" s="14" t="s">
        <v>59</v>
      </c>
      <c r="R70" s="12" t="s">
        <v>272</v>
      </c>
      <c r="S70" s="14" t="s">
        <v>342</v>
      </c>
      <c r="T70" s="12" t="s">
        <v>272</v>
      </c>
      <c r="U70" s="12" t="s">
        <v>272</v>
      </c>
      <c r="V70" s="16"/>
      <c r="W70" s="12" t="s">
        <v>272</v>
      </c>
      <c r="X70" s="25" t="str">
        <f>_xlfn.IFS(AND(COUNTIF(V70,"SCB*")=1, 'PCH64'!K60&gt;=2), "See the Notice *2", TRUE, "")</f>
        <v/>
      </c>
      <c r="Y70" s="13"/>
      <c r="Z70" s="90" t="s">
        <v>271</v>
      </c>
      <c r="AA70" s="90" t="s">
        <v>254</v>
      </c>
      <c r="AB70" s="13"/>
      <c r="AC70" s="13"/>
    </row>
    <row r="71" spans="2:30" x14ac:dyDescent="0.2">
      <c r="B71" s="14" t="s">
        <v>249</v>
      </c>
      <c r="C71" s="96">
        <v>62</v>
      </c>
      <c r="D71" s="15" t="s">
        <v>249</v>
      </c>
      <c r="E71" s="14" t="s">
        <v>781</v>
      </c>
      <c r="F71" s="14" t="s">
        <v>790</v>
      </c>
      <c r="G71" s="14" t="s">
        <v>783</v>
      </c>
      <c r="H71" s="14" t="s">
        <v>792</v>
      </c>
      <c r="I71" s="12" t="s">
        <v>272</v>
      </c>
      <c r="J71" s="12" t="s">
        <v>272</v>
      </c>
      <c r="K71" s="12" t="s">
        <v>272</v>
      </c>
      <c r="L71" s="14" t="s">
        <v>1107</v>
      </c>
      <c r="M71" s="14" t="s">
        <v>1108</v>
      </c>
      <c r="N71" s="12" t="s">
        <v>272</v>
      </c>
      <c r="O71" s="12" t="s">
        <v>272</v>
      </c>
      <c r="P71" s="12" t="s">
        <v>272</v>
      </c>
      <c r="Q71" s="12" t="s">
        <v>272</v>
      </c>
      <c r="R71" s="12" t="s">
        <v>272</v>
      </c>
      <c r="S71" s="14" t="s">
        <v>343</v>
      </c>
      <c r="T71" s="12" t="s">
        <v>272</v>
      </c>
      <c r="U71" s="12" t="s">
        <v>272</v>
      </c>
      <c r="V71" s="16"/>
      <c r="W71" s="12" t="s">
        <v>272</v>
      </c>
      <c r="X71" s="25" t="str">
        <f>_xlfn.IFS(AND(COUNTIF(V71,"SCB*")=1, 'PCH64'!K60&gt;=2), "See the Notice *2", TRUE, "")</f>
        <v/>
      </c>
      <c r="Y71" s="13"/>
      <c r="Z71" s="90" t="s">
        <v>271</v>
      </c>
      <c r="AA71" s="90" t="s">
        <v>254</v>
      </c>
      <c r="AB71" s="13"/>
      <c r="AC71" s="13"/>
    </row>
    <row r="72" spans="2:30" x14ac:dyDescent="0.2">
      <c r="B72" s="14" t="s">
        <v>250</v>
      </c>
      <c r="C72" s="96">
        <v>63</v>
      </c>
      <c r="D72" s="15" t="s">
        <v>250</v>
      </c>
      <c r="E72" s="14" t="s">
        <v>779</v>
      </c>
      <c r="F72" s="14" t="s">
        <v>786</v>
      </c>
      <c r="G72" s="14" t="s">
        <v>780</v>
      </c>
      <c r="H72" s="14" t="s">
        <v>788</v>
      </c>
      <c r="I72" s="12" t="s">
        <v>272</v>
      </c>
      <c r="J72" s="12" t="s">
        <v>272</v>
      </c>
      <c r="K72" s="12" t="s">
        <v>272</v>
      </c>
      <c r="L72" s="12" t="s">
        <v>272</v>
      </c>
      <c r="M72" s="14" t="s">
        <v>1109</v>
      </c>
      <c r="N72" s="12" t="s">
        <v>272</v>
      </c>
      <c r="O72" s="12" t="s">
        <v>272</v>
      </c>
      <c r="P72" s="12" t="s">
        <v>272</v>
      </c>
      <c r="Q72" s="12" t="s">
        <v>272</v>
      </c>
      <c r="R72" s="12" t="s">
        <v>272</v>
      </c>
      <c r="S72" s="14" t="s">
        <v>344</v>
      </c>
      <c r="T72" s="12" t="s">
        <v>272</v>
      </c>
      <c r="U72" s="12" t="s">
        <v>272</v>
      </c>
      <c r="V72" s="16"/>
      <c r="W72" s="12" t="s">
        <v>272</v>
      </c>
      <c r="X72" s="25"/>
      <c r="Y72" s="13"/>
      <c r="Z72" s="90" t="s">
        <v>271</v>
      </c>
      <c r="AA72" s="90" t="s">
        <v>254</v>
      </c>
      <c r="AB72" s="13"/>
      <c r="AC72" s="13"/>
    </row>
    <row r="73" spans="2:30" x14ac:dyDescent="0.2">
      <c r="B73" s="14" t="s">
        <v>251</v>
      </c>
      <c r="C73" s="96">
        <v>64</v>
      </c>
      <c r="D73" s="15" t="s">
        <v>251</v>
      </c>
      <c r="E73" s="14" t="s">
        <v>775</v>
      </c>
      <c r="F73" s="14" t="s">
        <v>782</v>
      </c>
      <c r="G73" s="14" t="s">
        <v>777</v>
      </c>
      <c r="H73" s="14" t="s">
        <v>784</v>
      </c>
      <c r="I73" s="12" t="s">
        <v>272</v>
      </c>
      <c r="J73" s="12" t="s">
        <v>272</v>
      </c>
      <c r="K73" s="12" t="s">
        <v>272</v>
      </c>
      <c r="L73" s="12" t="s">
        <v>272</v>
      </c>
      <c r="M73" s="14" t="s">
        <v>1110</v>
      </c>
      <c r="N73" s="12" t="s">
        <v>272</v>
      </c>
      <c r="O73" s="12" t="s">
        <v>272</v>
      </c>
      <c r="P73" s="14" t="s">
        <v>233</v>
      </c>
      <c r="Q73" s="14" t="s">
        <v>101</v>
      </c>
      <c r="R73" s="12" t="s">
        <v>272</v>
      </c>
      <c r="S73" s="14" t="s">
        <v>345</v>
      </c>
      <c r="T73" s="12" t="s">
        <v>272</v>
      </c>
      <c r="U73" s="14" t="s">
        <v>539</v>
      </c>
      <c r="V73" s="16"/>
      <c r="W73" s="12" t="s">
        <v>272</v>
      </c>
      <c r="X73" s="25"/>
      <c r="Y73" s="13"/>
      <c r="Z73" s="90" t="s">
        <v>271</v>
      </c>
      <c r="AA73" s="90" t="s">
        <v>254</v>
      </c>
      <c r="AB73" s="13"/>
      <c r="AC73" s="13"/>
    </row>
    <row r="74" spans="2:30" x14ac:dyDescent="0.55000000000000004">
      <c r="AB74" s="97"/>
      <c r="AC74" s="97"/>
      <c r="AD74" s="50"/>
    </row>
    <row r="75" spans="2:30" x14ac:dyDescent="0.55000000000000004">
      <c r="AB75" s="98"/>
      <c r="AC75" s="98"/>
      <c r="AD75" s="50"/>
    </row>
    <row r="76" spans="2:30" x14ac:dyDescent="0.55000000000000004">
      <c r="B76" s="4" t="s">
        <v>1196</v>
      </c>
      <c r="AB76" s="98"/>
      <c r="AC76" s="98"/>
      <c r="AD76" s="50"/>
    </row>
    <row r="77" spans="2:30" x14ac:dyDescent="0.55000000000000004">
      <c r="B77" s="4" t="s">
        <v>559</v>
      </c>
      <c r="AB77" s="98"/>
      <c r="AC77" s="98"/>
      <c r="AD77" s="50"/>
    </row>
    <row r="78" spans="2:30" x14ac:dyDescent="0.55000000000000004">
      <c r="B78" s="4" t="s">
        <v>1197</v>
      </c>
      <c r="AB78" s="98"/>
      <c r="AC78" s="98"/>
      <c r="AD78" s="50"/>
    </row>
    <row r="79" spans="2:30" x14ac:dyDescent="0.55000000000000004">
      <c r="B79" s="4" t="s">
        <v>1198</v>
      </c>
      <c r="AB79" s="98"/>
      <c r="AC79" s="98"/>
      <c r="AD79" s="50"/>
    </row>
    <row r="80" spans="2:30" x14ac:dyDescent="0.55000000000000004">
      <c r="B80" s="4" t="s">
        <v>1199</v>
      </c>
      <c r="AB80" s="98"/>
      <c r="AC80" s="98"/>
      <c r="AD80" s="50"/>
    </row>
    <row r="81" spans="4:30" x14ac:dyDescent="0.55000000000000004">
      <c r="AB81" s="98"/>
      <c r="AC81" s="98"/>
      <c r="AD81" s="50"/>
    </row>
    <row r="82" spans="4:30" x14ac:dyDescent="0.55000000000000004">
      <c r="AB82" s="98"/>
      <c r="AC82" s="98"/>
      <c r="AD82" s="50"/>
    </row>
    <row r="83" spans="4:30" x14ac:dyDescent="0.55000000000000004">
      <c r="AB83" s="98"/>
      <c r="AC83" s="98"/>
      <c r="AD83" s="50"/>
    </row>
    <row r="84" spans="4:30" x14ac:dyDescent="0.55000000000000004">
      <c r="AB84" s="98"/>
      <c r="AC84" s="98"/>
      <c r="AD84" s="50"/>
    </row>
    <row r="85" spans="4:30" x14ac:dyDescent="0.55000000000000004">
      <c r="AB85" s="98"/>
      <c r="AC85" s="98"/>
      <c r="AD85" s="50"/>
    </row>
    <row r="86" spans="4:30" x14ac:dyDescent="0.55000000000000004">
      <c r="AB86" s="98"/>
      <c r="AC86" s="98"/>
      <c r="AD86" s="50"/>
    </row>
    <row r="87" spans="4:30" x14ac:dyDescent="0.55000000000000004">
      <c r="AB87" s="98"/>
      <c r="AC87" s="98"/>
      <c r="AD87" s="50"/>
    </row>
    <row r="88" spans="4:30" x14ac:dyDescent="0.55000000000000004">
      <c r="AB88" s="98"/>
      <c r="AC88" s="98"/>
      <c r="AD88" s="50"/>
    </row>
    <row r="89" spans="4:30" x14ac:dyDescent="0.55000000000000004">
      <c r="AB89" s="98"/>
      <c r="AC89" s="98"/>
      <c r="AD89" s="50"/>
    </row>
    <row r="90" spans="4:30" x14ac:dyDescent="0.55000000000000004">
      <c r="AB90" s="50"/>
      <c r="AC90" s="50"/>
      <c r="AD90" s="50"/>
    </row>
    <row r="91" spans="4:30" ht="14.5" x14ac:dyDescent="0.35">
      <c r="D91" s="118" t="s">
        <v>1216</v>
      </c>
      <c r="E91" s="118"/>
      <c r="F91" s="118"/>
      <c r="G91" s="118"/>
      <c r="H91" s="118"/>
      <c r="I91" s="118"/>
      <c r="J91" s="118"/>
      <c r="K91" s="118"/>
      <c r="L91" s="118"/>
      <c r="M91" s="118"/>
      <c r="N91" s="118"/>
      <c r="O91" s="118"/>
      <c r="P91" s="118"/>
      <c r="Q91" s="118"/>
      <c r="AB91" s="50"/>
      <c r="AC91" s="50"/>
      <c r="AD91" s="50"/>
    </row>
    <row r="92" spans="4:30" ht="172" customHeight="1" x14ac:dyDescent="0.55000000000000004">
      <c r="D92" s="119" t="s">
        <v>1217</v>
      </c>
      <c r="E92" s="119"/>
      <c r="F92" s="119"/>
      <c r="G92" s="119"/>
      <c r="H92" s="119"/>
      <c r="I92" s="119"/>
      <c r="J92" s="119"/>
      <c r="K92" s="119"/>
      <c r="L92" s="119"/>
      <c r="M92" s="119"/>
      <c r="N92" s="119"/>
      <c r="O92" s="119"/>
      <c r="P92" s="119"/>
      <c r="Q92" s="119"/>
      <c r="AB92" s="50"/>
      <c r="AC92" s="50"/>
      <c r="AD92" s="50"/>
    </row>
    <row r="93" spans="4:30" x14ac:dyDescent="0.55000000000000004">
      <c r="AB93" s="50"/>
      <c r="AC93" s="50"/>
      <c r="AD93" s="50"/>
    </row>
    <row r="94" spans="4:30" x14ac:dyDescent="0.55000000000000004">
      <c r="AB94" s="50"/>
      <c r="AC94" s="50"/>
      <c r="AD94" s="50"/>
    </row>
    <row r="95" spans="4:30" x14ac:dyDescent="0.55000000000000004">
      <c r="AB95" s="50"/>
      <c r="AC95" s="50"/>
      <c r="AD95" s="50"/>
    </row>
    <row r="96" spans="4:30" x14ac:dyDescent="0.55000000000000004">
      <c r="AB96" s="50"/>
      <c r="AC96" s="50"/>
      <c r="AD96" s="50"/>
    </row>
    <row r="97" spans="28:30" x14ac:dyDescent="0.55000000000000004">
      <c r="AB97" s="50"/>
      <c r="AC97" s="50"/>
      <c r="AD97" s="50"/>
    </row>
    <row r="98" spans="28:30" x14ac:dyDescent="0.55000000000000004">
      <c r="AB98" s="50"/>
      <c r="AC98" s="50"/>
      <c r="AD98" s="50"/>
    </row>
    <row r="99" spans="28:30" x14ac:dyDescent="0.55000000000000004">
      <c r="AB99" s="50"/>
      <c r="AC99" s="50"/>
      <c r="AD99" s="50"/>
    </row>
    <row r="100" spans="28:30" x14ac:dyDescent="0.55000000000000004">
      <c r="AB100" s="50"/>
      <c r="AC100" s="50"/>
      <c r="AD100" s="50"/>
    </row>
    <row r="101" spans="28:30" x14ac:dyDescent="0.55000000000000004">
      <c r="AB101" s="50"/>
      <c r="AC101" s="50"/>
      <c r="AD101" s="50"/>
    </row>
    <row r="102" spans="28:30" x14ac:dyDescent="0.55000000000000004">
      <c r="AB102" s="50"/>
      <c r="AC102" s="50"/>
      <c r="AD102" s="50"/>
    </row>
    <row r="103" spans="28:30" x14ac:dyDescent="0.55000000000000004">
      <c r="AB103" s="50"/>
      <c r="AC103" s="50"/>
      <c r="AD103" s="50"/>
    </row>
    <row r="104" spans="28:30" x14ac:dyDescent="0.55000000000000004">
      <c r="AB104" s="50"/>
      <c r="AC104" s="50"/>
      <c r="AD104" s="50"/>
    </row>
    <row r="105" spans="28:30" x14ac:dyDescent="0.55000000000000004">
      <c r="AB105" s="50"/>
      <c r="AC105" s="50"/>
      <c r="AD105" s="50"/>
    </row>
    <row r="106" spans="28:30" x14ac:dyDescent="0.55000000000000004">
      <c r="AB106" s="50"/>
      <c r="AC106" s="50"/>
      <c r="AD106" s="50"/>
    </row>
    <row r="107" spans="28:30" x14ac:dyDescent="0.55000000000000004">
      <c r="AB107" s="50"/>
      <c r="AC107" s="50"/>
      <c r="AD107" s="50"/>
    </row>
    <row r="108" spans="28:30" x14ac:dyDescent="0.55000000000000004">
      <c r="AB108" s="50"/>
      <c r="AC108" s="50"/>
      <c r="AD108" s="50"/>
    </row>
    <row r="109" spans="28:30" x14ac:dyDescent="0.55000000000000004">
      <c r="AB109" s="50"/>
      <c r="AC109" s="50"/>
      <c r="AD109" s="50"/>
    </row>
    <row r="110" spans="28:30" x14ac:dyDescent="0.55000000000000004">
      <c r="AB110" s="50"/>
      <c r="AC110" s="50"/>
      <c r="AD110" s="50"/>
    </row>
    <row r="111" spans="28:30" x14ac:dyDescent="0.55000000000000004">
      <c r="AB111" s="50"/>
      <c r="AC111" s="50"/>
      <c r="AD111" s="50"/>
    </row>
    <row r="112" spans="28:30" x14ac:dyDescent="0.55000000000000004">
      <c r="AB112" s="50"/>
      <c r="AC112" s="50"/>
      <c r="AD112" s="50"/>
    </row>
    <row r="113" spans="28:30" x14ac:dyDescent="0.55000000000000004">
      <c r="AB113" s="50"/>
      <c r="AC113" s="50"/>
      <c r="AD113" s="50"/>
    </row>
    <row r="114" spans="28:30" x14ac:dyDescent="0.55000000000000004">
      <c r="AB114" s="50"/>
      <c r="AC114" s="50"/>
      <c r="AD114" s="50"/>
    </row>
    <row r="115" spans="28:30" x14ac:dyDescent="0.55000000000000004">
      <c r="AB115" s="50"/>
      <c r="AC115" s="50"/>
      <c r="AD115" s="50"/>
    </row>
    <row r="116" spans="28:30" x14ac:dyDescent="0.55000000000000004">
      <c r="AB116" s="50"/>
      <c r="AC116" s="50"/>
      <c r="AD116" s="50"/>
    </row>
    <row r="117" spans="28:30" x14ac:dyDescent="0.55000000000000004">
      <c r="AB117" s="50"/>
      <c r="AC117" s="50"/>
      <c r="AD117" s="50"/>
    </row>
    <row r="118" spans="28:30" x14ac:dyDescent="0.55000000000000004">
      <c r="AB118" s="50"/>
      <c r="AC118" s="50"/>
      <c r="AD118" s="50"/>
    </row>
    <row r="119" spans="28:30" x14ac:dyDescent="0.55000000000000004">
      <c r="AB119" s="50"/>
      <c r="AC119" s="50"/>
      <c r="AD119" s="50"/>
    </row>
    <row r="120" spans="28:30" x14ac:dyDescent="0.55000000000000004">
      <c r="AB120" s="50"/>
      <c r="AC120" s="50"/>
      <c r="AD120" s="50"/>
    </row>
    <row r="121" spans="28:30" x14ac:dyDescent="0.55000000000000004">
      <c r="AB121" s="50"/>
      <c r="AC121" s="50"/>
      <c r="AD121" s="50"/>
    </row>
    <row r="122" spans="28:30" x14ac:dyDescent="0.55000000000000004">
      <c r="AB122" s="50"/>
      <c r="AC122" s="50"/>
      <c r="AD122" s="50"/>
    </row>
    <row r="123" spans="28:30" x14ac:dyDescent="0.55000000000000004">
      <c r="AB123" s="50"/>
      <c r="AC123" s="50"/>
      <c r="AD123" s="50"/>
    </row>
    <row r="124" spans="28:30" x14ac:dyDescent="0.55000000000000004">
      <c r="AB124" s="50"/>
      <c r="AC124" s="50"/>
      <c r="AD124" s="50"/>
    </row>
    <row r="125" spans="28:30" x14ac:dyDescent="0.55000000000000004">
      <c r="AB125" s="50"/>
      <c r="AC125" s="50"/>
      <c r="AD125" s="50"/>
    </row>
    <row r="126" spans="28:30" x14ac:dyDescent="0.55000000000000004">
      <c r="AB126" s="99"/>
      <c r="AC126" s="99"/>
      <c r="AD126" s="50"/>
    </row>
    <row r="127" spans="28:30" x14ac:dyDescent="0.55000000000000004">
      <c r="AB127" s="99"/>
      <c r="AC127" s="99"/>
      <c r="AD127" s="50"/>
    </row>
    <row r="128" spans="28:30" x14ac:dyDescent="0.55000000000000004">
      <c r="AB128" s="99"/>
      <c r="AC128" s="99"/>
      <c r="AD128" s="50"/>
    </row>
    <row r="129" spans="28:30" x14ac:dyDescent="0.55000000000000004">
      <c r="AB129" s="99"/>
      <c r="AC129" s="99"/>
      <c r="AD129" s="50"/>
    </row>
    <row r="130" spans="28:30" x14ac:dyDescent="0.55000000000000004">
      <c r="AB130" s="99"/>
      <c r="AC130" s="99"/>
      <c r="AD130" s="50"/>
    </row>
    <row r="131" spans="28:30" x14ac:dyDescent="0.55000000000000004">
      <c r="AB131" s="99"/>
      <c r="AC131" s="99"/>
      <c r="AD131" s="50"/>
    </row>
    <row r="132" spans="28:30" x14ac:dyDescent="0.55000000000000004">
      <c r="AB132" s="99"/>
      <c r="AC132" s="99"/>
      <c r="AD132" s="50"/>
    </row>
    <row r="133" spans="28:30" x14ac:dyDescent="0.55000000000000004">
      <c r="AB133" s="99"/>
      <c r="AC133" s="99"/>
      <c r="AD133" s="50"/>
    </row>
    <row r="134" spans="28:30" x14ac:dyDescent="0.55000000000000004">
      <c r="AB134" s="99"/>
      <c r="AC134" s="99"/>
      <c r="AD134" s="50"/>
    </row>
    <row r="135" spans="28:30" x14ac:dyDescent="0.55000000000000004">
      <c r="AB135" s="99"/>
      <c r="AC135" s="99"/>
      <c r="AD135" s="50"/>
    </row>
    <row r="136" spans="28:30" x14ac:dyDescent="0.55000000000000004">
      <c r="AB136" s="95"/>
      <c r="AC136" s="95"/>
    </row>
    <row r="137" spans="28:30" x14ac:dyDescent="0.55000000000000004">
      <c r="AB137" s="95"/>
      <c r="AC137" s="95"/>
    </row>
    <row r="138" spans="28:30" x14ac:dyDescent="0.55000000000000004">
      <c r="AB138" s="95"/>
      <c r="AC138" s="95"/>
    </row>
    <row r="139" spans="28:30" x14ac:dyDescent="0.55000000000000004">
      <c r="AB139" s="95"/>
      <c r="AC139" s="95"/>
    </row>
    <row r="140" spans="28:30" x14ac:dyDescent="0.55000000000000004">
      <c r="AB140" s="95"/>
      <c r="AC140" s="95"/>
    </row>
    <row r="141" spans="28:30" x14ac:dyDescent="0.55000000000000004">
      <c r="AB141" s="95"/>
      <c r="AC141" s="95"/>
    </row>
    <row r="142" spans="28:30" x14ac:dyDescent="0.55000000000000004">
      <c r="AB142" s="95"/>
      <c r="AC142" s="95"/>
    </row>
    <row r="143" spans="28:30" x14ac:dyDescent="0.55000000000000004">
      <c r="AB143" s="95"/>
      <c r="AC143" s="95"/>
    </row>
    <row r="144" spans="28:30" x14ac:dyDescent="0.55000000000000004">
      <c r="AB144" s="95"/>
      <c r="AC144" s="95"/>
    </row>
    <row r="145" spans="28:29" x14ac:dyDescent="0.55000000000000004">
      <c r="AB145" s="95"/>
      <c r="AC145" s="95"/>
    </row>
    <row r="146" spans="28:29" x14ac:dyDescent="0.55000000000000004">
      <c r="AB146" s="95"/>
      <c r="AC146" s="95"/>
    </row>
    <row r="147" spans="28:29" x14ac:dyDescent="0.55000000000000004">
      <c r="AB147" s="95"/>
      <c r="AC147" s="95"/>
    </row>
    <row r="148" spans="28:29" x14ac:dyDescent="0.55000000000000004">
      <c r="AB148" s="95"/>
      <c r="AC148" s="95"/>
    </row>
    <row r="149" spans="28:29" x14ac:dyDescent="0.55000000000000004">
      <c r="AB149" s="95"/>
      <c r="AC149" s="95"/>
    </row>
    <row r="150" spans="28:29" x14ac:dyDescent="0.55000000000000004">
      <c r="AB150" s="95"/>
      <c r="AC150" s="95"/>
    </row>
    <row r="151" spans="28:29" x14ac:dyDescent="0.55000000000000004">
      <c r="AB151" s="95"/>
      <c r="AC151" s="95"/>
    </row>
    <row r="152" spans="28:29" x14ac:dyDescent="0.55000000000000004">
      <c r="AB152" s="95"/>
      <c r="AC152" s="95"/>
    </row>
    <row r="153" spans="28:29" x14ac:dyDescent="0.55000000000000004">
      <c r="AB153" s="95"/>
      <c r="AC153" s="95"/>
    </row>
    <row r="154" spans="28:29" x14ac:dyDescent="0.55000000000000004">
      <c r="AB154" s="95"/>
      <c r="AC154" s="95"/>
    </row>
    <row r="155" spans="28:29" x14ac:dyDescent="0.55000000000000004">
      <c r="AB155" s="95"/>
      <c r="AC155" s="95"/>
    </row>
    <row r="156" spans="28:29" x14ac:dyDescent="0.55000000000000004">
      <c r="AB156" s="95"/>
      <c r="AC156" s="95"/>
    </row>
    <row r="157" spans="28:29" x14ac:dyDescent="0.55000000000000004">
      <c r="AB157" s="95"/>
      <c r="AC157" s="95"/>
    </row>
  </sheetData>
  <sheetProtection algorithmName="SHA-512" hashValue="/2S+PIcZNeiWoVhheG3p1bACG0OV8jjdtF4ciD2SKnOQJevGgRszHUZ5VqARJZkKPIwVhzpYV6Lbi+YdROLnYQ==" saltValue="cV+ALdSd5bUY/RmWYGvo8Q==" spinCount="100000" sheet="1" objects="1" scenarios="1" formatCells="0" formatColumns="0" formatRows="0" insertColumns="0" insertRows="0" insertHyperlinks="0" deleteColumns="0" deleteRows="0" selectLockedCells="1" sort="0" autoFilter="0" pivotTables="0"/>
  <mergeCells count="19">
    <mergeCell ref="D91:Q91"/>
    <mergeCell ref="D92:Q92"/>
    <mergeCell ref="W8:W9"/>
    <mergeCell ref="Z7:AA7"/>
    <mergeCell ref="Z8:Z9"/>
    <mergeCell ref="AA8:AA9"/>
    <mergeCell ref="U7:U9"/>
    <mergeCell ref="AC8:AC9"/>
    <mergeCell ref="AB7:AC7"/>
    <mergeCell ref="AB8:AB9"/>
    <mergeCell ref="X8:X9"/>
    <mergeCell ref="V7:X7"/>
    <mergeCell ref="V8:V9"/>
    <mergeCell ref="Y7:Y9"/>
    <mergeCell ref="B7:B9"/>
    <mergeCell ref="C7:C9"/>
    <mergeCell ref="I7:K7"/>
    <mergeCell ref="D7:D9"/>
    <mergeCell ref="R7:T7"/>
  </mergeCells>
  <phoneticPr fontId="3"/>
  <conditionalFormatting sqref="V14:V15">
    <cfRule type="notContainsBlanks" dxfId="86" priority="47">
      <formula>LEN(TRIM(V14))&gt;0</formula>
    </cfRule>
  </conditionalFormatting>
  <conditionalFormatting sqref="V16:V17">
    <cfRule type="notContainsBlanks" dxfId="85" priority="45">
      <formula>LEN(TRIM(V16))&gt;0</formula>
    </cfRule>
  </conditionalFormatting>
  <conditionalFormatting sqref="V18:V23">
    <cfRule type="notContainsBlanks" dxfId="84" priority="43">
      <formula>LEN(TRIM(V18))&gt;0</formula>
    </cfRule>
  </conditionalFormatting>
  <conditionalFormatting sqref="V68:V73">
    <cfRule type="notContainsBlanks" dxfId="83" priority="6">
      <formula>LEN(TRIM(V68))&gt;0</formula>
    </cfRule>
  </conditionalFormatting>
  <conditionalFormatting sqref="V11:V13">
    <cfRule type="notContainsBlanks" dxfId="82" priority="50">
      <formula>LEN(TRIM(V11))&gt;0</formula>
    </cfRule>
  </conditionalFormatting>
  <conditionalFormatting sqref="V11:V13">
    <cfRule type="duplicateValues" dxfId="81" priority="49"/>
  </conditionalFormatting>
  <conditionalFormatting sqref="V14">
    <cfRule type="colorScale" priority="48">
      <colorScale>
        <cfvo type="min"/>
        <cfvo type="max"/>
        <color rgb="FFFF7128"/>
        <color rgb="FFFFEF9C"/>
      </colorScale>
    </cfRule>
  </conditionalFormatting>
  <conditionalFormatting sqref="V14:V15">
    <cfRule type="duplicateValues" dxfId="80" priority="46"/>
  </conditionalFormatting>
  <conditionalFormatting sqref="V16:V17">
    <cfRule type="duplicateValues" dxfId="79" priority="44"/>
  </conditionalFormatting>
  <conditionalFormatting sqref="V18:V23">
    <cfRule type="duplicateValues" dxfId="78" priority="42"/>
  </conditionalFormatting>
  <conditionalFormatting sqref="V24">
    <cfRule type="notContainsBlanks" dxfId="77" priority="41">
      <formula>LEN(TRIM(V24))&gt;0</formula>
    </cfRule>
  </conditionalFormatting>
  <conditionalFormatting sqref="V24">
    <cfRule type="duplicateValues" dxfId="76" priority="40"/>
  </conditionalFormatting>
  <conditionalFormatting sqref="V28">
    <cfRule type="notContainsBlanks" dxfId="75" priority="17">
      <formula>LEN(TRIM(V28))&gt;0</formula>
    </cfRule>
  </conditionalFormatting>
  <conditionalFormatting sqref="V30">
    <cfRule type="notContainsBlanks" dxfId="74" priority="15">
      <formula>LEN(TRIM(V30))&gt;0</formula>
    </cfRule>
  </conditionalFormatting>
  <conditionalFormatting sqref="V32">
    <cfRule type="notContainsBlanks" dxfId="73" priority="13">
      <formula>LEN(TRIM(V32))&gt;0</formula>
    </cfRule>
  </conditionalFormatting>
  <conditionalFormatting sqref="V34">
    <cfRule type="notContainsBlanks" dxfId="72" priority="11">
      <formula>LEN(TRIM(V34))&gt;0</formula>
    </cfRule>
  </conditionalFormatting>
  <conditionalFormatting sqref="V40">
    <cfRule type="notContainsBlanks" dxfId="71" priority="9">
      <formula>LEN(TRIM(V40))&gt;0</formula>
    </cfRule>
  </conditionalFormatting>
  <conditionalFormatting sqref="V59:V62">
    <cfRule type="notContainsBlanks" dxfId="70" priority="7">
      <formula>LEN(TRIM(V59))&gt;0</formula>
    </cfRule>
  </conditionalFormatting>
  <conditionalFormatting sqref="V27">
    <cfRule type="notContainsBlanks" dxfId="69" priority="18">
      <formula>LEN(TRIM(V27))&gt;0</formula>
    </cfRule>
  </conditionalFormatting>
  <conditionalFormatting sqref="V29">
    <cfRule type="notContainsBlanks" dxfId="68" priority="16">
      <formula>LEN(TRIM(V29))&gt;0</formula>
    </cfRule>
  </conditionalFormatting>
  <conditionalFormatting sqref="V31">
    <cfRule type="notContainsBlanks" dxfId="67" priority="14">
      <formula>LEN(TRIM(V31))&gt;0</formula>
    </cfRule>
  </conditionalFormatting>
  <conditionalFormatting sqref="V33">
    <cfRule type="notContainsBlanks" dxfId="66" priority="12">
      <formula>LEN(TRIM(V33))&gt;0</formula>
    </cfRule>
  </conditionalFormatting>
  <conditionalFormatting sqref="V39">
    <cfRule type="notContainsBlanks" dxfId="65" priority="10">
      <formula>LEN(TRIM(V39))&gt;0</formula>
    </cfRule>
  </conditionalFormatting>
  <conditionalFormatting sqref="V43:V56">
    <cfRule type="notContainsBlanks" dxfId="64" priority="8">
      <formula>LEN(TRIM(V43))&gt;0</formula>
    </cfRule>
  </conditionalFormatting>
  <conditionalFormatting sqref="V27:V34 V39:V40 V43:V56 V59:V62 V68:V73">
    <cfRule type="duplicateValues" dxfId="63" priority="19"/>
  </conditionalFormatting>
  <conditionalFormatting sqref="W39">
    <cfRule type="notContainsBlanks" dxfId="62" priority="5">
      <formula>LEN(TRIM(W39))&gt;0</formula>
    </cfRule>
  </conditionalFormatting>
  <conditionalFormatting sqref="V10">
    <cfRule type="notContainsBlanks" dxfId="61" priority="4">
      <formula>LEN(TRIM(V10))&gt;0</formula>
    </cfRule>
  </conditionalFormatting>
  <conditionalFormatting sqref="V10:V24 V27:V34 V39:V40 V43:V56 V59:V62 V68:V73">
    <cfRule type="duplicateValues" dxfId="60" priority="3"/>
  </conditionalFormatting>
  <conditionalFormatting sqref="W43:W49">
    <cfRule type="notContainsBlanks" dxfId="59" priority="1">
      <formula>LEN(TRIM(W43))&gt;0</formula>
    </cfRule>
  </conditionalFormatting>
  <conditionalFormatting sqref="W40">
    <cfRule type="notContainsBlanks" dxfId="58" priority="2">
      <formula>LEN(TRIM(W40))&gt;0</formula>
    </cfRule>
  </conditionalFormatting>
  <dataValidations count="58">
    <dataValidation type="list" allowBlank="1" showInputMessage="1" showErrorMessage="1" sqref="V56" xr:uid="{A8269695-4E40-479F-975A-E8BCB9AB0AD7}">
      <formula1>$D$56:$U$56</formula1>
    </dataValidation>
    <dataValidation type="list" allowBlank="1" showInputMessage="1" showErrorMessage="1" sqref="V55" xr:uid="{33A94C8C-B7F9-4D97-8FE0-105775D96A64}">
      <formula1>$D$55:$U$55</formula1>
    </dataValidation>
    <dataValidation type="list" allowBlank="1" showInputMessage="1" showErrorMessage="1" sqref="V54" xr:uid="{76A1AD74-DE41-4BDE-A6A4-FA4B9582216D}">
      <formula1>$D$54:$U$54</formula1>
    </dataValidation>
    <dataValidation type="list" allowBlank="1" showInputMessage="1" showErrorMessage="1" sqref="V53" xr:uid="{272D461F-BA12-4798-82E4-00DC99A44014}">
      <formula1>$D$53:$U$53</formula1>
    </dataValidation>
    <dataValidation type="list" allowBlank="1" showInputMessage="1" showErrorMessage="1" sqref="V52" xr:uid="{4E055BD1-496A-4473-8A19-3034B52C7B6C}">
      <formula1>$D$52:$U$52</formula1>
    </dataValidation>
    <dataValidation type="list" allowBlank="1" showInputMessage="1" showErrorMessage="1" sqref="V51" xr:uid="{20AC5161-2ECC-4D36-821E-DC483E8D8D7B}">
      <formula1>$D$51:$U$51</formula1>
    </dataValidation>
    <dataValidation type="list" allowBlank="1" showInputMessage="1" showErrorMessage="1" sqref="V50" xr:uid="{AAA95C81-98D7-41E9-9874-A9117C2488FB}">
      <formula1>$D$50:$U$50</formula1>
    </dataValidation>
    <dataValidation type="list" allowBlank="1" showInputMessage="1" showErrorMessage="1" sqref="V62" xr:uid="{8972C877-37C3-4A68-AF67-1E01127DB0F2}">
      <formula1>$D$62:$U$62</formula1>
    </dataValidation>
    <dataValidation type="list" allowBlank="1" showInputMessage="1" showErrorMessage="1" sqref="V61" xr:uid="{4F3A4B77-9E01-4FC7-9EAD-3D5BD3D5F570}">
      <formula1>$D$61:$U$61</formula1>
    </dataValidation>
    <dataValidation type="list" allowBlank="1" showInputMessage="1" showErrorMessage="1" sqref="V60" xr:uid="{01A44F19-A910-4AC2-88E6-BED70866CF83}">
      <formula1>$D$60:$U$60</formula1>
    </dataValidation>
    <dataValidation type="list" allowBlank="1" showInputMessage="1" showErrorMessage="1" sqref="V59" xr:uid="{41F90955-8B3E-46F7-B3C0-3378C7F4461F}">
      <formula1>$D$59:$U$59</formula1>
    </dataValidation>
    <dataValidation type="list" allowBlank="1" showInputMessage="1" showErrorMessage="1" sqref="V49" xr:uid="{899A00B3-3A1A-4434-8963-159132FA3712}">
      <formula1>$D$49:$U$49</formula1>
    </dataValidation>
    <dataValidation type="list" allowBlank="1" showInputMessage="1" showErrorMessage="1" sqref="V48" xr:uid="{A6ADC6E6-67EA-4093-9429-4E07F16709FD}">
      <formula1>$D$48:$U$48</formula1>
    </dataValidation>
    <dataValidation type="list" allowBlank="1" showInputMessage="1" showErrorMessage="1" sqref="V43" xr:uid="{4B9A8B5A-345D-43E5-AC4A-DFFC516765FF}">
      <formula1>$D$43:$U$43</formula1>
    </dataValidation>
    <dataValidation type="list" allowBlank="1" showInputMessage="1" showErrorMessage="1" sqref="V73" xr:uid="{6BDBD538-18EA-4A61-86AF-6BCF9DA775A7}">
      <formula1>$D$73:$U$73</formula1>
    </dataValidation>
    <dataValidation type="list" allowBlank="1" showInputMessage="1" showErrorMessage="1" sqref="V72" xr:uid="{AF9E6F93-4CD5-4BD4-A29A-CD351619F0CA}">
      <formula1>$D$72:$U$72</formula1>
    </dataValidation>
    <dataValidation type="list" allowBlank="1" showInputMessage="1" showErrorMessage="1" sqref="V71" xr:uid="{892AB8EC-CA32-496B-8D22-52995AD14C11}">
      <formula1>$D$71:$U$71</formula1>
    </dataValidation>
    <dataValidation type="list" allowBlank="1" showInputMessage="1" showErrorMessage="1" sqref="V70" xr:uid="{C791289A-EF38-49A9-AA6B-3D40FA5BFBB7}">
      <formula1>$D$70:$U$70</formula1>
    </dataValidation>
    <dataValidation type="list" allowBlank="1" showInputMessage="1" showErrorMessage="1" sqref="V69" xr:uid="{5592D272-2126-4C40-9ED0-0C98F2D50193}">
      <formula1>$D$69:$U$69</formula1>
    </dataValidation>
    <dataValidation type="list" allowBlank="1" showInputMessage="1" showErrorMessage="1" sqref="V68" xr:uid="{CD303FF4-6D7D-4704-B8EA-1DE0DF8FFA25}">
      <formula1>$D$68:$U$68</formula1>
    </dataValidation>
    <dataValidation type="list" allowBlank="1" showInputMessage="1" showErrorMessage="1" sqref="V29" xr:uid="{D9A87788-1596-4E0F-BE49-1DD33C9D3B85}">
      <formula1>$D$29:$U$29</formula1>
    </dataValidation>
    <dataValidation type="list" allowBlank="1" showInputMessage="1" showErrorMessage="1" sqref="V28" xr:uid="{CEC1968D-3A19-47DC-A7C4-249FC4EECC03}">
      <formula1>$D$28:$U$28</formula1>
    </dataValidation>
    <dataValidation type="list" allowBlank="1" showInputMessage="1" showErrorMessage="1" sqref="V30" xr:uid="{B9DDF24E-B3F6-4631-B2CD-16DD84D28739}">
      <formula1>$D$30:$U$30</formula1>
    </dataValidation>
    <dataValidation type="list" allowBlank="1" showInputMessage="1" showErrorMessage="1" sqref="V31" xr:uid="{5242FB0B-6FC5-4B82-934E-D9C3530602F3}">
      <formula1>$D$31:$U$31</formula1>
    </dataValidation>
    <dataValidation type="list" allowBlank="1" showInputMessage="1" showErrorMessage="1" sqref="V27" xr:uid="{C6CF96CC-4570-4063-95EF-A76C94BB46DB}">
      <formula1>$D$27:$U$27</formula1>
    </dataValidation>
    <dataValidation type="list" allowBlank="1" showInputMessage="1" showErrorMessage="1" sqref="V44" xr:uid="{159C4CC9-96AA-4F3E-9857-9DE0E6E6951F}">
      <formula1>$D$44:$U$44</formula1>
    </dataValidation>
    <dataValidation type="list" allowBlank="1" showInputMessage="1" showErrorMessage="1" sqref="V45" xr:uid="{5B67CF1D-FA65-4DBE-B527-A00D2153488D}">
      <formula1>$D$45:$U$45</formula1>
    </dataValidation>
    <dataValidation type="list" allowBlank="1" showInputMessage="1" showErrorMessage="1" sqref="V46" xr:uid="{C3BA8EB8-0F32-4807-9563-B793D4A8DDF5}">
      <formula1>$D$46:$U$46</formula1>
    </dataValidation>
    <dataValidation type="list" allowBlank="1" showInputMessage="1" showErrorMessage="1" sqref="V47" xr:uid="{2EE33EF2-E787-402D-B119-BB4F9E83B984}">
      <formula1>$D$47:$U$47</formula1>
    </dataValidation>
    <dataValidation type="list" allowBlank="1" showInputMessage="1" showErrorMessage="1" sqref="V32" xr:uid="{AF7EB26F-C4C2-412A-826F-3FF4C0D1F838}">
      <formula1>$D$32:$U$32</formula1>
    </dataValidation>
    <dataValidation type="list" allowBlank="1" showInputMessage="1" showErrorMessage="1" sqref="V33" xr:uid="{C6144E3F-A22A-4055-AA14-DFC7563CC599}">
      <formula1>$D$33:$U$33</formula1>
    </dataValidation>
    <dataValidation type="list" allowBlank="1" showInputMessage="1" showErrorMessage="1" sqref="V34" xr:uid="{BA4D16DB-EA20-4A0A-997A-519EC97C1156}">
      <formula1>$D$34:$U$34</formula1>
    </dataValidation>
    <dataValidation type="list" allowBlank="1" showInputMessage="1" showErrorMessage="1" sqref="V39" xr:uid="{5B3D8F95-863B-4430-AD97-E2ED6214BCF5}">
      <formula1>$D$39:$U$39</formula1>
    </dataValidation>
    <dataValidation type="list" allowBlank="1" showInputMessage="1" showErrorMessage="1" sqref="V40" xr:uid="{B08E8BAA-633F-4D82-8B17-C2C5CBB78847}">
      <formula1>$D$40:$U$40</formula1>
    </dataValidation>
    <dataValidation type="list" allowBlank="1" showInputMessage="1" showErrorMessage="1" sqref="V14" xr:uid="{A8EBA735-4B25-44E6-85B7-D1F6868041B0}">
      <formula1>$D$14:$U$14</formula1>
    </dataValidation>
    <dataValidation type="list" allowBlank="1" showInputMessage="1" showErrorMessage="1" sqref="V15" xr:uid="{119F8862-DF6B-47F6-9F44-3EBDD6C08A20}">
      <formula1>$D$15:$U$15</formula1>
    </dataValidation>
    <dataValidation type="list" allowBlank="1" showInputMessage="1" showErrorMessage="1" sqref="V11" xr:uid="{59C35A3D-E131-4645-A369-57B3B8E97C35}">
      <formula1>$D$11:$U$11</formula1>
    </dataValidation>
    <dataValidation type="list" allowBlank="1" showInputMessage="1" showErrorMessage="1" sqref="V12" xr:uid="{9E06E212-7B4B-4488-9DDF-74CD085C73F9}">
      <formula1>$D$12:$U$12</formula1>
    </dataValidation>
    <dataValidation type="list" allowBlank="1" showInputMessage="1" showErrorMessage="1" sqref="V13" xr:uid="{24021B00-C66B-45E0-906E-F7401B1BB69D}">
      <formula1>$D$13:$U$13</formula1>
    </dataValidation>
    <dataValidation type="list" allowBlank="1" showInputMessage="1" showErrorMessage="1" sqref="V16" xr:uid="{E1710F3D-ECB3-48F6-A564-0266AD4225D7}">
      <formula1>$D$16:$U$16</formula1>
    </dataValidation>
    <dataValidation type="list" allowBlank="1" showInputMessage="1" showErrorMessage="1" sqref="V17" xr:uid="{DBB3CD76-9544-4DC3-9FA6-934FCA0A5AE5}">
      <formula1>$D$17:$U$17</formula1>
    </dataValidation>
    <dataValidation type="list" allowBlank="1" showInputMessage="1" showErrorMessage="1" sqref="V18" xr:uid="{8C8EBA8D-AEEA-4A0B-9DB9-4C3AEA8F34A7}">
      <formula1>$D$18:$U$18</formula1>
    </dataValidation>
    <dataValidation type="list" allowBlank="1" showInputMessage="1" showErrorMessage="1" sqref="V19" xr:uid="{E855838B-194D-420E-9634-859FB7721941}">
      <formula1>$D$19:$U$19</formula1>
    </dataValidation>
    <dataValidation type="list" allowBlank="1" showInputMessage="1" showErrorMessage="1" sqref="V20" xr:uid="{D514A66F-0DB9-4FE1-A4B2-623B1F5DE536}">
      <formula1>$D$20:$U$20</formula1>
    </dataValidation>
    <dataValidation type="list" allowBlank="1" showInputMessage="1" showErrorMessage="1" sqref="V21" xr:uid="{51BC9B8F-F1C7-4DCE-B6C4-9BD3AA39A7F5}">
      <formula1>$D$21:$U$21</formula1>
    </dataValidation>
    <dataValidation type="list" allowBlank="1" showInputMessage="1" showErrorMessage="1" sqref="V23" xr:uid="{95F2D0CF-BB84-4132-9EB9-6D6E2D75469E}">
      <formula1>$D$23:$U$23</formula1>
    </dataValidation>
    <dataValidation type="list" allowBlank="1" showInputMessage="1" showErrorMessage="1" sqref="V22" xr:uid="{A40F57D9-5D9E-49ED-B281-516B392219BF}">
      <formula1>$D$22:$U$22</formula1>
    </dataValidation>
    <dataValidation type="list" allowBlank="1" showInputMessage="1" showErrorMessage="1" sqref="V24" xr:uid="{831D3462-C9F4-41EF-BBD1-8216B88EFBBA}">
      <formula1>$D$24:$U$24</formula1>
    </dataValidation>
    <dataValidation type="list" allowBlank="1" showInputMessage="1" showErrorMessage="1" sqref="W39" xr:uid="{29BB4DA2-8744-418A-8F7B-D947FD99072B}">
      <formula1>"NA, SMARTIO12_0"</formula1>
    </dataValidation>
    <dataValidation type="list" allowBlank="1" showInputMessage="1" showErrorMessage="1" sqref="V10" xr:uid="{63CD0DE5-10C8-41DC-A4A9-D093978FA0A2}">
      <formula1>$D$10:$U$10</formula1>
    </dataValidation>
    <dataValidation type="list" allowBlank="1" showInputMessage="1" showErrorMessage="1" sqref="W40" xr:uid="{6718B538-D3EE-4AD7-BD5A-A5B175B2D057}">
      <formula1>"NA, SMARTIO12_1"</formula1>
    </dataValidation>
    <dataValidation type="list" allowBlank="1" showInputMessage="1" showErrorMessage="1" sqref="W47" xr:uid="{D16EC419-4DEB-4930-B803-6582DFC66D91}">
      <formula1>"NA, SMARTIO14_0"</formula1>
    </dataValidation>
    <dataValidation type="list" allowBlank="1" showInputMessage="1" showErrorMessage="1" sqref="W46" xr:uid="{3A963274-4CE4-410E-8E03-A7F58923FF83}">
      <formula1>"NA, SMARTIO13_3"</formula1>
    </dataValidation>
    <dataValidation type="list" allowBlank="1" showInputMessage="1" showErrorMessage="1" sqref="W45" xr:uid="{D6C622D3-03E4-404D-B6FA-CD8438EC158B}">
      <formula1>"NA, SMARTIO13_2"</formula1>
    </dataValidation>
    <dataValidation type="list" allowBlank="1" showInputMessage="1" showErrorMessage="1" sqref="W44" xr:uid="{EE6CA035-C2FD-4D90-B2F9-59E269369411}">
      <formula1>"NA, SMARTIO13_1"</formula1>
    </dataValidation>
    <dataValidation type="list" allowBlank="1" showInputMessage="1" showErrorMessage="1" sqref="W43" xr:uid="{91FE1064-7A80-454E-81C9-DB3E91E48A55}">
      <formula1>"NA, SMARTIO13_0"</formula1>
    </dataValidation>
    <dataValidation type="list" allowBlank="1" showInputMessage="1" showErrorMessage="1" sqref="W48" xr:uid="{C6914E4D-A0A8-4FB1-889A-D02356F80C23}">
      <formula1>"NA, SMARTIO14_1"</formula1>
    </dataValidation>
    <dataValidation type="list" allowBlank="1" showInputMessage="1" showErrorMessage="1" sqref="W49" xr:uid="{EC2A0C61-EDB5-4448-BE50-A655659FBFD6}">
      <formula1>"NA, SMARTIO14_2"</formula1>
    </dataValidation>
  </dataValidations>
  <pageMargins left="0.7" right="0.7" top="0.75" bottom="0.75" header="0.3" footer="0.3"/>
  <pageSetup paperSize="9" orientation="portrait" r:id="rId1"/>
  <ignoredErrors>
    <ignoredError sqref="X10:X73" unlockedFormula="1"/>
  </ignoredErrors>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F70D7-6B4C-4349-956F-74D11BBCF3E2}">
  <dimension ref="A1:BQ127"/>
  <sheetViews>
    <sheetView topLeftCell="N1" zoomScale="88" zoomScaleNormal="88" workbookViewId="0">
      <selection activeCell="N8" sqref="N8"/>
    </sheetView>
  </sheetViews>
  <sheetFormatPr defaultRowHeight="10" x14ac:dyDescent="0.55000000000000004"/>
  <cols>
    <col min="1" max="1" width="8.6640625" style="35"/>
    <col min="2" max="2" width="14.1640625" style="35" bestFit="1" customWidth="1"/>
    <col min="3" max="3" width="12.08203125" style="35" bestFit="1" customWidth="1"/>
    <col min="4" max="66" width="6.1640625" style="35" customWidth="1"/>
    <col min="67" max="69" width="8.58203125" style="35" customWidth="1"/>
    <col min="70" max="291" width="8.6640625" style="35"/>
    <col min="292" max="292" width="14.33203125" style="35" customWidth="1"/>
    <col min="293" max="294" width="3.33203125" style="35" customWidth="1"/>
    <col min="295" max="319" width="2.4140625" style="35" customWidth="1"/>
    <col min="320" max="321" width="3.33203125" style="35" customWidth="1"/>
    <col min="322" max="322" width="14.33203125" style="35" customWidth="1"/>
    <col min="323" max="547" width="8.6640625" style="35"/>
    <col min="548" max="548" width="14.33203125" style="35" customWidth="1"/>
    <col min="549" max="550" width="3.33203125" style="35" customWidth="1"/>
    <col min="551" max="575" width="2.4140625" style="35" customWidth="1"/>
    <col min="576" max="577" width="3.33203125" style="35" customWidth="1"/>
    <col min="578" max="578" width="14.33203125" style="35" customWidth="1"/>
    <col min="579" max="803" width="8.6640625" style="35"/>
    <col min="804" max="804" width="14.33203125" style="35" customWidth="1"/>
    <col min="805" max="806" width="3.33203125" style="35" customWidth="1"/>
    <col min="807" max="831" width="2.4140625" style="35" customWidth="1"/>
    <col min="832" max="833" width="3.33203125" style="35" customWidth="1"/>
    <col min="834" max="834" width="14.33203125" style="35" customWidth="1"/>
    <col min="835" max="1059" width="8.6640625" style="35"/>
    <col min="1060" max="1060" width="14.33203125" style="35" customWidth="1"/>
    <col min="1061" max="1062" width="3.33203125" style="35" customWidth="1"/>
    <col min="1063" max="1087" width="2.4140625" style="35" customWidth="1"/>
    <col min="1088" max="1089" width="3.33203125" style="35" customWidth="1"/>
    <col min="1090" max="1090" width="14.33203125" style="35" customWidth="1"/>
    <col min="1091" max="1315" width="8.6640625" style="35"/>
    <col min="1316" max="1316" width="14.33203125" style="35" customWidth="1"/>
    <col min="1317" max="1318" width="3.33203125" style="35" customWidth="1"/>
    <col min="1319" max="1343" width="2.4140625" style="35" customWidth="1"/>
    <col min="1344" max="1345" width="3.33203125" style="35" customWidth="1"/>
    <col min="1346" max="1346" width="14.33203125" style="35" customWidth="1"/>
    <col min="1347" max="1571" width="8.6640625" style="35"/>
    <col min="1572" max="1572" width="14.33203125" style="35" customWidth="1"/>
    <col min="1573" max="1574" width="3.33203125" style="35" customWidth="1"/>
    <col min="1575" max="1599" width="2.4140625" style="35" customWidth="1"/>
    <col min="1600" max="1601" width="3.33203125" style="35" customWidth="1"/>
    <col min="1602" max="1602" width="14.33203125" style="35" customWidth="1"/>
    <col min="1603" max="1827" width="8.6640625" style="35"/>
    <col min="1828" max="1828" width="14.33203125" style="35" customWidth="1"/>
    <col min="1829" max="1830" width="3.33203125" style="35" customWidth="1"/>
    <col min="1831" max="1855" width="2.4140625" style="35" customWidth="1"/>
    <col min="1856" max="1857" width="3.33203125" style="35" customWidth="1"/>
    <col min="1858" max="1858" width="14.33203125" style="35" customWidth="1"/>
    <col min="1859" max="2083" width="8.6640625" style="35"/>
    <col min="2084" max="2084" width="14.33203125" style="35" customWidth="1"/>
    <col min="2085" max="2086" width="3.33203125" style="35" customWidth="1"/>
    <col min="2087" max="2111" width="2.4140625" style="35" customWidth="1"/>
    <col min="2112" max="2113" width="3.33203125" style="35" customWidth="1"/>
    <col min="2114" max="2114" width="14.33203125" style="35" customWidth="1"/>
    <col min="2115" max="2339" width="8.6640625" style="35"/>
    <col min="2340" max="2340" width="14.33203125" style="35" customWidth="1"/>
    <col min="2341" max="2342" width="3.33203125" style="35" customWidth="1"/>
    <col min="2343" max="2367" width="2.4140625" style="35" customWidth="1"/>
    <col min="2368" max="2369" width="3.33203125" style="35" customWidth="1"/>
    <col min="2370" max="2370" width="14.33203125" style="35" customWidth="1"/>
    <col min="2371" max="2595" width="8.6640625" style="35"/>
    <col min="2596" max="2596" width="14.33203125" style="35" customWidth="1"/>
    <col min="2597" max="2598" width="3.33203125" style="35" customWidth="1"/>
    <col min="2599" max="2623" width="2.4140625" style="35" customWidth="1"/>
    <col min="2624" max="2625" width="3.33203125" style="35" customWidth="1"/>
    <col min="2626" max="2626" width="14.33203125" style="35" customWidth="1"/>
    <col min="2627" max="2851" width="8.6640625" style="35"/>
    <col min="2852" max="2852" width="14.33203125" style="35" customWidth="1"/>
    <col min="2853" max="2854" width="3.33203125" style="35" customWidth="1"/>
    <col min="2855" max="2879" width="2.4140625" style="35" customWidth="1"/>
    <col min="2880" max="2881" width="3.33203125" style="35" customWidth="1"/>
    <col min="2882" max="2882" width="14.33203125" style="35" customWidth="1"/>
    <col min="2883" max="3107" width="8.6640625" style="35"/>
    <col min="3108" max="3108" width="14.33203125" style="35" customWidth="1"/>
    <col min="3109" max="3110" width="3.33203125" style="35" customWidth="1"/>
    <col min="3111" max="3135" width="2.4140625" style="35" customWidth="1"/>
    <col min="3136" max="3137" width="3.33203125" style="35" customWidth="1"/>
    <col min="3138" max="3138" width="14.33203125" style="35" customWidth="1"/>
    <col min="3139" max="3363" width="8.6640625" style="35"/>
    <col min="3364" max="3364" width="14.33203125" style="35" customWidth="1"/>
    <col min="3365" max="3366" width="3.33203125" style="35" customWidth="1"/>
    <col min="3367" max="3391" width="2.4140625" style="35" customWidth="1"/>
    <col min="3392" max="3393" width="3.33203125" style="35" customWidth="1"/>
    <col min="3394" max="3394" width="14.33203125" style="35" customWidth="1"/>
    <col min="3395" max="3619" width="8.6640625" style="35"/>
    <col min="3620" max="3620" width="14.33203125" style="35" customWidth="1"/>
    <col min="3621" max="3622" width="3.33203125" style="35" customWidth="1"/>
    <col min="3623" max="3647" width="2.4140625" style="35" customWidth="1"/>
    <col min="3648" max="3649" width="3.33203125" style="35" customWidth="1"/>
    <col min="3650" max="3650" width="14.33203125" style="35" customWidth="1"/>
    <col min="3651" max="3875" width="8.6640625" style="35"/>
    <col min="3876" max="3876" width="14.33203125" style="35" customWidth="1"/>
    <col min="3877" max="3878" width="3.33203125" style="35" customWidth="1"/>
    <col min="3879" max="3903" width="2.4140625" style="35" customWidth="1"/>
    <col min="3904" max="3905" width="3.33203125" style="35" customWidth="1"/>
    <col min="3906" max="3906" width="14.33203125" style="35" customWidth="1"/>
    <col min="3907" max="4131" width="8.6640625" style="35"/>
    <col min="4132" max="4132" width="14.33203125" style="35" customWidth="1"/>
    <col min="4133" max="4134" width="3.33203125" style="35" customWidth="1"/>
    <col min="4135" max="4159" width="2.4140625" style="35" customWidth="1"/>
    <col min="4160" max="4161" width="3.33203125" style="35" customWidth="1"/>
    <col min="4162" max="4162" width="14.33203125" style="35" customWidth="1"/>
    <col min="4163" max="4387" width="8.6640625" style="35"/>
    <col min="4388" max="4388" width="14.33203125" style="35" customWidth="1"/>
    <col min="4389" max="4390" width="3.33203125" style="35" customWidth="1"/>
    <col min="4391" max="4415" width="2.4140625" style="35" customWidth="1"/>
    <col min="4416" max="4417" width="3.33203125" style="35" customWidth="1"/>
    <col min="4418" max="4418" width="14.33203125" style="35" customWidth="1"/>
    <col min="4419" max="4643" width="8.6640625" style="35"/>
    <col min="4644" max="4644" width="14.33203125" style="35" customWidth="1"/>
    <col min="4645" max="4646" width="3.33203125" style="35" customWidth="1"/>
    <col min="4647" max="4671" width="2.4140625" style="35" customWidth="1"/>
    <col min="4672" max="4673" width="3.33203125" style="35" customWidth="1"/>
    <col min="4674" max="4674" width="14.33203125" style="35" customWidth="1"/>
    <col min="4675" max="4899" width="8.6640625" style="35"/>
    <col min="4900" max="4900" width="14.33203125" style="35" customWidth="1"/>
    <col min="4901" max="4902" width="3.33203125" style="35" customWidth="1"/>
    <col min="4903" max="4927" width="2.4140625" style="35" customWidth="1"/>
    <col min="4928" max="4929" width="3.33203125" style="35" customWidth="1"/>
    <col min="4930" max="4930" width="14.33203125" style="35" customWidth="1"/>
    <col min="4931" max="5155" width="8.6640625" style="35"/>
    <col min="5156" max="5156" width="14.33203125" style="35" customWidth="1"/>
    <col min="5157" max="5158" width="3.33203125" style="35" customWidth="1"/>
    <col min="5159" max="5183" width="2.4140625" style="35" customWidth="1"/>
    <col min="5184" max="5185" width="3.33203125" style="35" customWidth="1"/>
    <col min="5186" max="5186" width="14.33203125" style="35" customWidth="1"/>
    <col min="5187" max="5411" width="8.6640625" style="35"/>
    <col min="5412" max="5412" width="14.33203125" style="35" customWidth="1"/>
    <col min="5413" max="5414" width="3.33203125" style="35" customWidth="1"/>
    <col min="5415" max="5439" width="2.4140625" style="35" customWidth="1"/>
    <col min="5440" max="5441" width="3.33203125" style="35" customWidth="1"/>
    <col min="5442" max="5442" width="14.33203125" style="35" customWidth="1"/>
    <col min="5443" max="5667" width="8.6640625" style="35"/>
    <col min="5668" max="5668" width="14.33203125" style="35" customWidth="1"/>
    <col min="5669" max="5670" width="3.33203125" style="35" customWidth="1"/>
    <col min="5671" max="5695" width="2.4140625" style="35" customWidth="1"/>
    <col min="5696" max="5697" width="3.33203125" style="35" customWidth="1"/>
    <col min="5698" max="5698" width="14.33203125" style="35" customWidth="1"/>
    <col min="5699" max="5923" width="8.6640625" style="35"/>
    <col min="5924" max="5924" width="14.33203125" style="35" customWidth="1"/>
    <col min="5925" max="5926" width="3.33203125" style="35" customWidth="1"/>
    <col min="5927" max="5951" width="2.4140625" style="35" customWidth="1"/>
    <col min="5952" max="5953" width="3.33203125" style="35" customWidth="1"/>
    <col min="5954" max="5954" width="14.33203125" style="35" customWidth="1"/>
    <col min="5955" max="6179" width="8.6640625" style="35"/>
    <col min="6180" max="6180" width="14.33203125" style="35" customWidth="1"/>
    <col min="6181" max="6182" width="3.33203125" style="35" customWidth="1"/>
    <col min="6183" max="6207" width="2.4140625" style="35" customWidth="1"/>
    <col min="6208" max="6209" width="3.33203125" style="35" customWidth="1"/>
    <col min="6210" max="6210" width="14.33203125" style="35" customWidth="1"/>
    <col min="6211" max="6435" width="8.6640625" style="35"/>
    <col min="6436" max="6436" width="14.33203125" style="35" customWidth="1"/>
    <col min="6437" max="6438" width="3.33203125" style="35" customWidth="1"/>
    <col min="6439" max="6463" width="2.4140625" style="35" customWidth="1"/>
    <col min="6464" max="6465" width="3.33203125" style="35" customWidth="1"/>
    <col min="6466" max="6466" width="14.33203125" style="35" customWidth="1"/>
    <col min="6467" max="6691" width="8.6640625" style="35"/>
    <col min="6692" max="6692" width="14.33203125" style="35" customWidth="1"/>
    <col min="6693" max="6694" width="3.33203125" style="35" customWidth="1"/>
    <col min="6695" max="6719" width="2.4140625" style="35" customWidth="1"/>
    <col min="6720" max="6721" width="3.33203125" style="35" customWidth="1"/>
    <col min="6722" max="6722" width="14.33203125" style="35" customWidth="1"/>
    <col min="6723" max="6947" width="8.6640625" style="35"/>
    <col min="6948" max="6948" width="14.33203125" style="35" customWidth="1"/>
    <col min="6949" max="6950" width="3.33203125" style="35" customWidth="1"/>
    <col min="6951" max="6975" width="2.4140625" style="35" customWidth="1"/>
    <col min="6976" max="6977" width="3.33203125" style="35" customWidth="1"/>
    <col min="6978" max="6978" width="14.33203125" style="35" customWidth="1"/>
    <col min="6979" max="7203" width="8.6640625" style="35"/>
    <col min="7204" max="7204" width="14.33203125" style="35" customWidth="1"/>
    <col min="7205" max="7206" width="3.33203125" style="35" customWidth="1"/>
    <col min="7207" max="7231" width="2.4140625" style="35" customWidth="1"/>
    <col min="7232" max="7233" width="3.33203125" style="35" customWidth="1"/>
    <col min="7234" max="7234" width="14.33203125" style="35" customWidth="1"/>
    <col min="7235" max="7459" width="8.6640625" style="35"/>
    <col min="7460" max="7460" width="14.33203125" style="35" customWidth="1"/>
    <col min="7461" max="7462" width="3.33203125" style="35" customWidth="1"/>
    <col min="7463" max="7487" width="2.4140625" style="35" customWidth="1"/>
    <col min="7488" max="7489" width="3.33203125" style="35" customWidth="1"/>
    <col min="7490" max="7490" width="14.33203125" style="35" customWidth="1"/>
    <col min="7491" max="7715" width="8.6640625" style="35"/>
    <col min="7716" max="7716" width="14.33203125" style="35" customWidth="1"/>
    <col min="7717" max="7718" width="3.33203125" style="35" customWidth="1"/>
    <col min="7719" max="7743" width="2.4140625" style="35" customWidth="1"/>
    <col min="7744" max="7745" width="3.33203125" style="35" customWidth="1"/>
    <col min="7746" max="7746" width="14.33203125" style="35" customWidth="1"/>
    <col min="7747" max="7971" width="8.6640625" style="35"/>
    <col min="7972" max="7972" width="14.33203125" style="35" customWidth="1"/>
    <col min="7973" max="7974" width="3.33203125" style="35" customWidth="1"/>
    <col min="7975" max="7999" width="2.4140625" style="35" customWidth="1"/>
    <col min="8000" max="8001" width="3.33203125" style="35" customWidth="1"/>
    <col min="8002" max="8002" width="14.33203125" style="35" customWidth="1"/>
    <col min="8003" max="8227" width="8.6640625" style="35"/>
    <col min="8228" max="8228" width="14.33203125" style="35" customWidth="1"/>
    <col min="8229" max="8230" width="3.33203125" style="35" customWidth="1"/>
    <col min="8231" max="8255" width="2.4140625" style="35" customWidth="1"/>
    <col min="8256" max="8257" width="3.33203125" style="35" customWidth="1"/>
    <col min="8258" max="8258" width="14.33203125" style="35" customWidth="1"/>
    <col min="8259" max="8483" width="8.6640625" style="35"/>
    <col min="8484" max="8484" width="14.33203125" style="35" customWidth="1"/>
    <col min="8485" max="8486" width="3.33203125" style="35" customWidth="1"/>
    <col min="8487" max="8511" width="2.4140625" style="35" customWidth="1"/>
    <col min="8512" max="8513" width="3.33203125" style="35" customWidth="1"/>
    <col min="8514" max="8514" width="14.33203125" style="35" customWidth="1"/>
    <col min="8515" max="8739" width="8.6640625" style="35"/>
    <col min="8740" max="8740" width="14.33203125" style="35" customWidth="1"/>
    <col min="8741" max="8742" width="3.33203125" style="35" customWidth="1"/>
    <col min="8743" max="8767" width="2.4140625" style="35" customWidth="1"/>
    <col min="8768" max="8769" width="3.33203125" style="35" customWidth="1"/>
    <col min="8770" max="8770" width="14.33203125" style="35" customWidth="1"/>
    <col min="8771" max="8995" width="8.6640625" style="35"/>
    <col min="8996" max="8996" width="14.33203125" style="35" customWidth="1"/>
    <col min="8997" max="8998" width="3.33203125" style="35" customWidth="1"/>
    <col min="8999" max="9023" width="2.4140625" style="35" customWidth="1"/>
    <col min="9024" max="9025" width="3.33203125" style="35" customWidth="1"/>
    <col min="9026" max="9026" width="14.33203125" style="35" customWidth="1"/>
    <col min="9027" max="9251" width="8.6640625" style="35"/>
    <col min="9252" max="9252" width="14.33203125" style="35" customWidth="1"/>
    <col min="9253" max="9254" width="3.33203125" style="35" customWidth="1"/>
    <col min="9255" max="9279" width="2.4140625" style="35" customWidth="1"/>
    <col min="9280" max="9281" width="3.33203125" style="35" customWidth="1"/>
    <col min="9282" max="9282" width="14.33203125" style="35" customWidth="1"/>
    <col min="9283" max="9507" width="8.6640625" style="35"/>
    <col min="9508" max="9508" width="14.33203125" style="35" customWidth="1"/>
    <col min="9509" max="9510" width="3.33203125" style="35" customWidth="1"/>
    <col min="9511" max="9535" width="2.4140625" style="35" customWidth="1"/>
    <col min="9536" max="9537" width="3.33203125" style="35" customWidth="1"/>
    <col min="9538" max="9538" width="14.33203125" style="35" customWidth="1"/>
    <col min="9539" max="9763" width="8.6640625" style="35"/>
    <col min="9764" max="9764" width="14.33203125" style="35" customWidth="1"/>
    <col min="9765" max="9766" width="3.33203125" style="35" customWidth="1"/>
    <col min="9767" max="9791" width="2.4140625" style="35" customWidth="1"/>
    <col min="9792" max="9793" width="3.33203125" style="35" customWidth="1"/>
    <col min="9794" max="9794" width="14.33203125" style="35" customWidth="1"/>
    <col min="9795" max="10019" width="8.6640625" style="35"/>
    <col min="10020" max="10020" width="14.33203125" style="35" customWidth="1"/>
    <col min="10021" max="10022" width="3.33203125" style="35" customWidth="1"/>
    <col min="10023" max="10047" width="2.4140625" style="35" customWidth="1"/>
    <col min="10048" max="10049" width="3.33203125" style="35" customWidth="1"/>
    <col min="10050" max="10050" width="14.33203125" style="35" customWidth="1"/>
    <col min="10051" max="10275" width="8.6640625" style="35"/>
    <col min="10276" max="10276" width="14.33203125" style="35" customWidth="1"/>
    <col min="10277" max="10278" width="3.33203125" style="35" customWidth="1"/>
    <col min="10279" max="10303" width="2.4140625" style="35" customWidth="1"/>
    <col min="10304" max="10305" width="3.33203125" style="35" customWidth="1"/>
    <col min="10306" max="10306" width="14.33203125" style="35" customWidth="1"/>
    <col min="10307" max="10531" width="8.6640625" style="35"/>
    <col min="10532" max="10532" width="14.33203125" style="35" customWidth="1"/>
    <col min="10533" max="10534" width="3.33203125" style="35" customWidth="1"/>
    <col min="10535" max="10559" width="2.4140625" style="35" customWidth="1"/>
    <col min="10560" max="10561" width="3.33203125" style="35" customWidth="1"/>
    <col min="10562" max="10562" width="14.33203125" style="35" customWidth="1"/>
    <col min="10563" max="10787" width="8.6640625" style="35"/>
    <col min="10788" max="10788" width="14.33203125" style="35" customWidth="1"/>
    <col min="10789" max="10790" width="3.33203125" style="35" customWidth="1"/>
    <col min="10791" max="10815" width="2.4140625" style="35" customWidth="1"/>
    <col min="10816" max="10817" width="3.33203125" style="35" customWidth="1"/>
    <col min="10818" max="10818" width="14.33203125" style="35" customWidth="1"/>
    <col min="10819" max="11043" width="8.6640625" style="35"/>
    <col min="11044" max="11044" width="14.33203125" style="35" customWidth="1"/>
    <col min="11045" max="11046" width="3.33203125" style="35" customWidth="1"/>
    <col min="11047" max="11071" width="2.4140625" style="35" customWidth="1"/>
    <col min="11072" max="11073" width="3.33203125" style="35" customWidth="1"/>
    <col min="11074" max="11074" width="14.33203125" style="35" customWidth="1"/>
    <col min="11075" max="11299" width="8.6640625" style="35"/>
    <col min="11300" max="11300" width="14.33203125" style="35" customWidth="1"/>
    <col min="11301" max="11302" width="3.33203125" style="35" customWidth="1"/>
    <col min="11303" max="11327" width="2.4140625" style="35" customWidth="1"/>
    <col min="11328" max="11329" width="3.33203125" style="35" customWidth="1"/>
    <col min="11330" max="11330" width="14.33203125" style="35" customWidth="1"/>
    <col min="11331" max="11555" width="8.6640625" style="35"/>
    <col min="11556" max="11556" width="14.33203125" style="35" customWidth="1"/>
    <col min="11557" max="11558" width="3.33203125" style="35" customWidth="1"/>
    <col min="11559" max="11583" width="2.4140625" style="35" customWidth="1"/>
    <col min="11584" max="11585" width="3.33203125" style="35" customWidth="1"/>
    <col min="11586" max="11586" width="14.33203125" style="35" customWidth="1"/>
    <col min="11587" max="11811" width="8.6640625" style="35"/>
    <col min="11812" max="11812" width="14.33203125" style="35" customWidth="1"/>
    <col min="11813" max="11814" width="3.33203125" style="35" customWidth="1"/>
    <col min="11815" max="11839" width="2.4140625" style="35" customWidth="1"/>
    <col min="11840" max="11841" width="3.33203125" style="35" customWidth="1"/>
    <col min="11842" max="11842" width="14.33203125" style="35" customWidth="1"/>
    <col min="11843" max="12067" width="8.6640625" style="35"/>
    <col min="12068" max="12068" width="14.33203125" style="35" customWidth="1"/>
    <col min="12069" max="12070" width="3.33203125" style="35" customWidth="1"/>
    <col min="12071" max="12095" width="2.4140625" style="35" customWidth="1"/>
    <col min="12096" max="12097" width="3.33203125" style="35" customWidth="1"/>
    <col min="12098" max="12098" width="14.33203125" style="35" customWidth="1"/>
    <col min="12099" max="12323" width="8.6640625" style="35"/>
    <col min="12324" max="12324" width="14.33203125" style="35" customWidth="1"/>
    <col min="12325" max="12326" width="3.33203125" style="35" customWidth="1"/>
    <col min="12327" max="12351" width="2.4140625" style="35" customWidth="1"/>
    <col min="12352" max="12353" width="3.33203125" style="35" customWidth="1"/>
    <col min="12354" max="12354" width="14.33203125" style="35" customWidth="1"/>
    <col min="12355" max="12579" width="8.6640625" style="35"/>
    <col min="12580" max="12580" width="14.33203125" style="35" customWidth="1"/>
    <col min="12581" max="12582" width="3.33203125" style="35" customWidth="1"/>
    <col min="12583" max="12607" width="2.4140625" style="35" customWidth="1"/>
    <col min="12608" max="12609" width="3.33203125" style="35" customWidth="1"/>
    <col min="12610" max="12610" width="14.33203125" style="35" customWidth="1"/>
    <col min="12611" max="12835" width="8.6640625" style="35"/>
    <col min="12836" max="12836" width="14.33203125" style="35" customWidth="1"/>
    <col min="12837" max="12838" width="3.33203125" style="35" customWidth="1"/>
    <col min="12839" max="12863" width="2.4140625" style="35" customWidth="1"/>
    <col min="12864" max="12865" width="3.33203125" style="35" customWidth="1"/>
    <col min="12866" max="12866" width="14.33203125" style="35" customWidth="1"/>
    <col min="12867" max="13091" width="8.6640625" style="35"/>
    <col min="13092" max="13092" width="14.33203125" style="35" customWidth="1"/>
    <col min="13093" max="13094" width="3.33203125" style="35" customWidth="1"/>
    <col min="13095" max="13119" width="2.4140625" style="35" customWidth="1"/>
    <col min="13120" max="13121" width="3.33203125" style="35" customWidth="1"/>
    <col min="13122" max="13122" width="14.33203125" style="35" customWidth="1"/>
    <col min="13123" max="13347" width="8.6640625" style="35"/>
    <col min="13348" max="13348" width="14.33203125" style="35" customWidth="1"/>
    <col min="13349" max="13350" width="3.33203125" style="35" customWidth="1"/>
    <col min="13351" max="13375" width="2.4140625" style="35" customWidth="1"/>
    <col min="13376" max="13377" width="3.33203125" style="35" customWidth="1"/>
    <col min="13378" max="13378" width="14.33203125" style="35" customWidth="1"/>
    <col min="13379" max="13603" width="8.6640625" style="35"/>
    <col min="13604" max="13604" width="14.33203125" style="35" customWidth="1"/>
    <col min="13605" max="13606" width="3.33203125" style="35" customWidth="1"/>
    <col min="13607" max="13631" width="2.4140625" style="35" customWidth="1"/>
    <col min="13632" max="13633" width="3.33203125" style="35" customWidth="1"/>
    <col min="13634" max="13634" width="14.33203125" style="35" customWidth="1"/>
    <col min="13635" max="13859" width="8.6640625" style="35"/>
    <col min="13860" max="13860" width="14.33203125" style="35" customWidth="1"/>
    <col min="13861" max="13862" width="3.33203125" style="35" customWidth="1"/>
    <col min="13863" max="13887" width="2.4140625" style="35" customWidth="1"/>
    <col min="13888" max="13889" width="3.33203125" style="35" customWidth="1"/>
    <col min="13890" max="13890" width="14.33203125" style="35" customWidth="1"/>
    <col min="13891" max="14115" width="8.6640625" style="35"/>
    <col min="14116" max="14116" width="14.33203125" style="35" customWidth="1"/>
    <col min="14117" max="14118" width="3.33203125" style="35" customWidth="1"/>
    <col min="14119" max="14143" width="2.4140625" style="35" customWidth="1"/>
    <col min="14144" max="14145" width="3.33203125" style="35" customWidth="1"/>
    <col min="14146" max="14146" width="14.33203125" style="35" customWidth="1"/>
    <col min="14147" max="14371" width="8.6640625" style="35"/>
    <col min="14372" max="14372" width="14.33203125" style="35" customWidth="1"/>
    <col min="14373" max="14374" width="3.33203125" style="35" customWidth="1"/>
    <col min="14375" max="14399" width="2.4140625" style="35" customWidth="1"/>
    <col min="14400" max="14401" width="3.33203125" style="35" customWidth="1"/>
    <col min="14402" max="14402" width="14.33203125" style="35" customWidth="1"/>
    <col min="14403" max="14627" width="8.6640625" style="35"/>
    <col min="14628" max="14628" width="14.33203125" style="35" customWidth="1"/>
    <col min="14629" max="14630" width="3.33203125" style="35" customWidth="1"/>
    <col min="14631" max="14655" width="2.4140625" style="35" customWidth="1"/>
    <col min="14656" max="14657" width="3.33203125" style="35" customWidth="1"/>
    <col min="14658" max="14658" width="14.33203125" style="35" customWidth="1"/>
    <col min="14659" max="14883" width="8.6640625" style="35"/>
    <col min="14884" max="14884" width="14.33203125" style="35" customWidth="1"/>
    <col min="14885" max="14886" width="3.33203125" style="35" customWidth="1"/>
    <col min="14887" max="14911" width="2.4140625" style="35" customWidth="1"/>
    <col min="14912" max="14913" width="3.33203125" style="35" customWidth="1"/>
    <col min="14914" max="14914" width="14.33203125" style="35" customWidth="1"/>
    <col min="14915" max="15139" width="8.6640625" style="35"/>
    <col min="15140" max="15140" width="14.33203125" style="35" customWidth="1"/>
    <col min="15141" max="15142" width="3.33203125" style="35" customWidth="1"/>
    <col min="15143" max="15167" width="2.4140625" style="35" customWidth="1"/>
    <col min="15168" max="15169" width="3.33203125" style="35" customWidth="1"/>
    <col min="15170" max="15170" width="14.33203125" style="35" customWidth="1"/>
    <col min="15171" max="15395" width="8.6640625" style="35"/>
    <col min="15396" max="15396" width="14.33203125" style="35" customWidth="1"/>
    <col min="15397" max="15398" width="3.33203125" style="35" customWidth="1"/>
    <col min="15399" max="15423" width="2.4140625" style="35" customWidth="1"/>
    <col min="15424" max="15425" width="3.33203125" style="35" customWidth="1"/>
    <col min="15426" max="15426" width="14.33203125" style="35" customWidth="1"/>
    <col min="15427" max="15651" width="8.6640625" style="35"/>
    <col min="15652" max="15652" width="14.33203125" style="35" customWidth="1"/>
    <col min="15653" max="15654" width="3.33203125" style="35" customWidth="1"/>
    <col min="15655" max="15679" width="2.4140625" style="35" customWidth="1"/>
    <col min="15680" max="15681" width="3.33203125" style="35" customWidth="1"/>
    <col min="15682" max="15682" width="14.33203125" style="35" customWidth="1"/>
    <col min="15683" max="15907" width="8.6640625" style="35"/>
    <col min="15908" max="15908" width="14.33203125" style="35" customWidth="1"/>
    <col min="15909" max="15910" width="3.33203125" style="35" customWidth="1"/>
    <col min="15911" max="15935" width="2.4140625" style="35" customWidth="1"/>
    <col min="15936" max="15937" width="3.33203125" style="35" customWidth="1"/>
    <col min="15938" max="15938" width="14.33203125" style="35" customWidth="1"/>
    <col min="15939" max="16163" width="8.6640625" style="35"/>
    <col min="16164" max="16164" width="14.33203125" style="35" customWidth="1"/>
    <col min="16165" max="16166" width="3.33203125" style="35" customWidth="1"/>
    <col min="16167" max="16191" width="2.4140625" style="35" customWidth="1"/>
    <col min="16192" max="16193" width="3.33203125" style="35" customWidth="1"/>
    <col min="16194" max="16194" width="14.33203125" style="35" customWidth="1"/>
    <col min="16195" max="16384" width="8.6640625" style="35"/>
  </cols>
  <sheetData>
    <row r="1" spans="1:69" ht="22.5" x14ac:dyDescent="0.55000000000000004">
      <c r="A1" s="34" t="s">
        <v>413</v>
      </c>
      <c r="BO1" s="23"/>
      <c r="BP1" s="23"/>
      <c r="BQ1" s="23"/>
    </row>
    <row r="2" spans="1:69" ht="22.5" x14ac:dyDescent="0.55000000000000004">
      <c r="A2" s="34"/>
      <c r="BO2" s="23"/>
      <c r="BP2" s="23"/>
      <c r="BQ2" s="23"/>
    </row>
    <row r="3" spans="1:69" ht="22.5" x14ac:dyDescent="0.55000000000000004">
      <c r="A3" s="34"/>
      <c r="BO3" s="23"/>
      <c r="BP3" s="23"/>
      <c r="BQ3" s="23"/>
    </row>
    <row r="4" spans="1:69" ht="22.5" x14ac:dyDescent="0.55000000000000004">
      <c r="A4" s="34"/>
      <c r="BO4" s="23"/>
      <c r="BP4" s="23"/>
      <c r="BQ4" s="23"/>
    </row>
    <row r="5" spans="1:69" ht="22.5" x14ac:dyDescent="0.55000000000000004">
      <c r="A5" s="34"/>
      <c r="BN5" s="36"/>
      <c r="BO5" s="23"/>
      <c r="BP5" s="23"/>
      <c r="BQ5" s="24" t="s">
        <v>1185</v>
      </c>
    </row>
    <row r="7" spans="1:69" x14ac:dyDescent="0.55000000000000004">
      <c r="B7" s="128" t="s">
        <v>375</v>
      </c>
      <c r="C7" s="129"/>
      <c r="D7" s="37" t="s">
        <v>400</v>
      </c>
      <c r="E7" s="37" t="s">
        <v>399</v>
      </c>
      <c r="F7" s="37" t="s">
        <v>401</v>
      </c>
      <c r="G7" s="37" t="s">
        <v>1227</v>
      </c>
    </row>
    <row r="8" spans="1:69" x14ac:dyDescent="0.55000000000000004">
      <c r="B8" s="123" t="s">
        <v>398</v>
      </c>
      <c r="C8" s="38" t="s">
        <v>395</v>
      </c>
      <c r="D8" s="38">
        <f>COUNTIF('PF64'!V10:V73,"CAN0_0_RX")</f>
        <v>0</v>
      </c>
      <c r="E8" s="38">
        <f>COUNTIF('PF64'!V10:V73,"CAN0_1_RX")</f>
        <v>0</v>
      </c>
      <c r="F8" s="38">
        <f>COUNTIF('PF64'!V10:V73,"CAN0_2_RX")</f>
        <v>0</v>
      </c>
      <c r="G8" s="38">
        <f>COUNTIF('PF64'!V10:V73,"CAN0_3_RX")</f>
        <v>0</v>
      </c>
    </row>
    <row r="9" spans="1:69" x14ac:dyDescent="0.55000000000000004">
      <c r="B9" s="130"/>
      <c r="C9" s="38" t="s">
        <v>396</v>
      </c>
      <c r="D9" s="38">
        <f>COUNTIF('PF64'!V10:V73,"CAN0_0_TX")</f>
        <v>0</v>
      </c>
      <c r="E9" s="38">
        <f>COUNTIF('PF64'!V10:V73,"CAN0_1_TX")</f>
        <v>0</v>
      </c>
      <c r="F9" s="38">
        <f>COUNTIF('PF64'!V10:V73,"CAN0_2_TX")</f>
        <v>0</v>
      </c>
      <c r="G9" s="38">
        <f>COUNTIF('PF64'!V10:V73,"CAN0_3_TX")</f>
        <v>0</v>
      </c>
    </row>
    <row r="11" spans="1:69" x14ac:dyDescent="0.55000000000000004">
      <c r="B11" s="128" t="s">
        <v>371</v>
      </c>
      <c r="C11" s="129"/>
      <c r="D11" s="37" t="s">
        <v>402</v>
      </c>
      <c r="E11" s="37" t="s">
        <v>404</v>
      </c>
      <c r="F11" s="37" t="s">
        <v>403</v>
      </c>
      <c r="G11" s="37" t="s">
        <v>1228</v>
      </c>
    </row>
    <row r="12" spans="1:69" x14ac:dyDescent="0.55000000000000004">
      <c r="B12" s="135" t="s">
        <v>398</v>
      </c>
      <c r="C12" s="38" t="s">
        <v>395</v>
      </c>
      <c r="D12" s="38">
        <f>COUNTIF('PF64'!V10:V73,"CAN1_0_RX")</f>
        <v>0</v>
      </c>
      <c r="E12" s="38">
        <f>COUNTIF('PF64'!V10:V73,"CAN1_1_RX")</f>
        <v>0</v>
      </c>
      <c r="F12" s="38">
        <f>COUNTIF('PF64'!V10:V73,"CAN1_2_RX")</f>
        <v>0</v>
      </c>
      <c r="G12" s="38">
        <f>COUNTIF('PF64'!V10:V73,"CAN1_3_RX")</f>
        <v>0</v>
      </c>
    </row>
    <row r="13" spans="1:69" x14ac:dyDescent="0.55000000000000004">
      <c r="B13" s="135"/>
      <c r="C13" s="38" t="s">
        <v>396</v>
      </c>
      <c r="D13" s="38">
        <f>COUNTIF('PF64'!V10:V73,"CAN1_0_TX")</f>
        <v>0</v>
      </c>
      <c r="E13" s="38">
        <f>COUNTIF('PF64'!V10:V73,"CAN1_1_TX")</f>
        <v>0</v>
      </c>
      <c r="F13" s="38">
        <f>COUNTIF('PF64'!V10:V73,"CAN1_2_TX")</f>
        <v>0</v>
      </c>
      <c r="G13" s="38">
        <f>COUNTIF('PF64'!V10:V73,"CAN1_3_TX")</f>
        <v>0</v>
      </c>
    </row>
    <row r="14" spans="1:69" x14ac:dyDescent="0.55000000000000004">
      <c r="B14" s="39"/>
      <c r="C14" s="40"/>
      <c r="D14" s="40"/>
      <c r="E14" s="40"/>
      <c r="F14" s="40"/>
    </row>
    <row r="16" spans="1:69" x14ac:dyDescent="0.55000000000000004">
      <c r="B16" s="128" t="s">
        <v>374</v>
      </c>
      <c r="C16" s="129"/>
      <c r="D16" s="37" t="s">
        <v>387</v>
      </c>
      <c r="E16" s="37" t="s">
        <v>388</v>
      </c>
      <c r="F16" s="37" t="s">
        <v>389</v>
      </c>
      <c r="G16" s="37" t="s">
        <v>390</v>
      </c>
      <c r="H16" s="37" t="s">
        <v>391</v>
      </c>
      <c r="I16" s="37" t="s">
        <v>392</v>
      </c>
      <c r="J16" s="37" t="s">
        <v>393</v>
      </c>
      <c r="K16" s="37" t="s">
        <v>394</v>
      </c>
    </row>
    <row r="17" spans="2:59" x14ac:dyDescent="0.55000000000000004">
      <c r="B17" s="123" t="s">
        <v>398</v>
      </c>
      <c r="C17" s="38" t="s">
        <v>395</v>
      </c>
      <c r="D17" s="38">
        <f>COUNTIF('PF64'!V10:V73,"LIN0_RX")</f>
        <v>0</v>
      </c>
      <c r="E17" s="38">
        <f>COUNTIF('PF64'!V10:V73,"LIN1_RX")</f>
        <v>0</v>
      </c>
      <c r="F17" s="38">
        <f>COUNTIF('PF64'!V10:V73,"LIN2_RX")</f>
        <v>0</v>
      </c>
      <c r="G17" s="38">
        <f>COUNTIF('PF64'!V10:V73,"LIN3_RX")</f>
        <v>0</v>
      </c>
      <c r="H17" s="38">
        <f>COUNTIF('PF64'!V10:V73,"LIN4_RX")</f>
        <v>0</v>
      </c>
      <c r="I17" s="38">
        <f>COUNTIF('PF64'!V10:V73,"LIN5_RX")</f>
        <v>0</v>
      </c>
      <c r="J17" s="38">
        <f>COUNTIF('PF64'!V10:V73,"LIN6_RX")</f>
        <v>0</v>
      </c>
      <c r="K17" s="38">
        <f>COUNTIF('PF64'!V10:V73,"LIN7_RX")</f>
        <v>0</v>
      </c>
    </row>
    <row r="18" spans="2:59" x14ac:dyDescent="0.55000000000000004">
      <c r="B18" s="124"/>
      <c r="C18" s="38" t="s">
        <v>396</v>
      </c>
      <c r="D18" s="38">
        <f>COUNTIF('PF64'!V10:V73,"LIN0_TX")</f>
        <v>0</v>
      </c>
      <c r="E18" s="38">
        <f>COUNTIF('PF64'!V10:V73,"LIN1_TX")</f>
        <v>0</v>
      </c>
      <c r="F18" s="38">
        <f>COUNTIF('PF64'!V10:V73,"LIN2_TX")</f>
        <v>0</v>
      </c>
      <c r="G18" s="38">
        <f>COUNTIF('PF64'!V10:V73,"LIN3_TX")</f>
        <v>0</v>
      </c>
      <c r="H18" s="38">
        <f>COUNTIF('PF64'!V10:V73,"LIN4_TX")</f>
        <v>0</v>
      </c>
      <c r="I18" s="38">
        <f>COUNTIF('PF64'!V10:V73,"LIN5_TX")</f>
        <v>0</v>
      </c>
      <c r="J18" s="38">
        <f>COUNTIF('PF64'!V10:V73,"LIN6_TX")</f>
        <v>0</v>
      </c>
      <c r="K18" s="38">
        <f>COUNTIF('PF64'!V10:V73,"LIN7_TX")</f>
        <v>0</v>
      </c>
    </row>
    <row r="19" spans="2:59" x14ac:dyDescent="0.55000000000000004">
      <c r="B19" s="130"/>
      <c r="C19" s="38" t="s">
        <v>397</v>
      </c>
      <c r="D19" s="38">
        <f>COUNTIF('PF64'!V10:V73,"LIN0_EN")</f>
        <v>0</v>
      </c>
      <c r="E19" s="38">
        <f>COUNTIF('PF64'!V10:V73,"LIN1_EN")</f>
        <v>0</v>
      </c>
      <c r="F19" s="38">
        <f>COUNTIF('PF64'!V10:V73,"LIN2_EN")</f>
        <v>0</v>
      </c>
      <c r="G19" s="38">
        <f>COUNTIF('PF64'!V10:V73,"LIN3_EN")</f>
        <v>0</v>
      </c>
      <c r="H19" s="38">
        <f>COUNTIF('PF64'!V10:V73,"LIN4_EN")</f>
        <v>0</v>
      </c>
      <c r="I19" s="38">
        <f>COUNTIF('PF64'!V10:V73,"LIN5_EN")</f>
        <v>0</v>
      </c>
      <c r="J19" s="38">
        <f>COUNTIF('PF64'!V10:V73,"LIN6_EN")</f>
        <v>0</v>
      </c>
      <c r="K19" s="38">
        <f>COUNTIF('PF64'!V10:V73,"LIN7_EN")</f>
        <v>0</v>
      </c>
    </row>
    <row r="20" spans="2:59" x14ac:dyDescent="0.55000000000000004">
      <c r="B20" s="39"/>
      <c r="C20" s="40"/>
      <c r="D20" s="40"/>
      <c r="E20" s="40"/>
      <c r="F20" s="40"/>
      <c r="G20" s="40"/>
      <c r="H20" s="40"/>
      <c r="I20" s="40"/>
      <c r="J20" s="40"/>
      <c r="K20" s="40"/>
    </row>
    <row r="22" spans="2:59" x14ac:dyDescent="0.55000000000000004">
      <c r="B22" s="128" t="s">
        <v>376</v>
      </c>
      <c r="C22" s="129"/>
      <c r="D22" s="37" t="s">
        <v>377</v>
      </c>
      <c r="E22" s="37" t="s">
        <v>378</v>
      </c>
      <c r="F22" s="37" t="s">
        <v>379</v>
      </c>
      <c r="G22" s="37" t="s">
        <v>380</v>
      </c>
      <c r="H22" s="37" t="s">
        <v>384</v>
      </c>
      <c r="I22" s="37" t="s">
        <v>383</v>
      </c>
      <c r="J22" s="37" t="s">
        <v>382</v>
      </c>
      <c r="K22" s="37" t="s">
        <v>381</v>
      </c>
    </row>
    <row r="23" spans="2:59" ht="10" customHeight="1" x14ac:dyDescent="0.55000000000000004">
      <c r="B23" s="131" t="s">
        <v>415</v>
      </c>
      <c r="C23" s="41" t="s">
        <v>1139</v>
      </c>
      <c r="D23" s="42">
        <f>COUNTIF('PF64'!V10:V73,"SCB0_CLK (0)")</f>
        <v>0</v>
      </c>
      <c r="E23" s="43">
        <f>COUNTIF('PF64'!V10:V73,"SCB1_CLK (0)")</f>
        <v>0</v>
      </c>
      <c r="F23" s="43">
        <f>COUNTIF('PF64'!V10:V73,"SCB2_CLK (0)")</f>
        <v>0</v>
      </c>
      <c r="G23" s="43">
        <f>COUNTIF('PF64'!V10:V73,"SCB3_CLK (0)")</f>
        <v>0</v>
      </c>
      <c r="H23" s="43">
        <f>COUNTIF('PF64'!V10:V73,"SCB4_CLK (0)")</f>
        <v>0</v>
      </c>
      <c r="I23" s="43">
        <f>COUNTIF('PF64'!V10:V73,"SCB5_CLK (0)")</f>
        <v>0</v>
      </c>
      <c r="J23" s="43">
        <f>COUNTIF('PF64'!V10:V73,"SCB6_CLK (0)")</f>
        <v>0</v>
      </c>
      <c r="K23" s="43">
        <f>COUNTIF('PF64'!V10:V73,"SCB7_CLK (0)")</f>
        <v>0</v>
      </c>
      <c r="BG23" s="44"/>
    </row>
    <row r="24" spans="2:59" x14ac:dyDescent="0.55000000000000004">
      <c r="B24" s="132"/>
      <c r="C24" s="41" t="s">
        <v>1140</v>
      </c>
      <c r="D24" s="42">
        <f>COUNTIF('PF64'!V10:V73,"SCB0_CLK (1)")</f>
        <v>0</v>
      </c>
      <c r="E24" s="43">
        <f>COUNTIF('PF64'!V10:V73,"SCB1_CLK (1)")</f>
        <v>0</v>
      </c>
      <c r="F24" s="43">
        <f>COUNTIF('PF64'!V10:V73,"SCB2_CLK (1)")</f>
        <v>0</v>
      </c>
      <c r="G24" s="43">
        <f>COUNTIF('PF64'!V10:V73,"SCB3_CLK (1)")</f>
        <v>0</v>
      </c>
      <c r="H24" s="43">
        <f>COUNTIF('PF64'!V10:V73,"SCB4_CLK (1)")</f>
        <v>0</v>
      </c>
      <c r="I24" s="43">
        <f>COUNTIF('PF64'!V10:V73,"SCB5_CLK (1)")</f>
        <v>0</v>
      </c>
      <c r="J24" s="43">
        <f>COUNTIF('PF64'!V10:V73,"SCB6_CLK (1)")</f>
        <v>0</v>
      </c>
      <c r="K24" s="43">
        <f>COUNTIF('PF64'!V10:V73,"SCB7_CLK (1)")</f>
        <v>0</v>
      </c>
    </row>
    <row r="25" spans="2:59" x14ac:dyDescent="0.55000000000000004">
      <c r="B25" s="132"/>
      <c r="C25" s="41" t="s">
        <v>1141</v>
      </c>
      <c r="D25" s="42">
        <f>COUNTIF('PF64'!V10:V73,"SCB0_MOSI (0)")</f>
        <v>0</v>
      </c>
      <c r="E25" s="43">
        <f>COUNTIF('PF64'!V10:V73,"SCB1_MOSI (0)")</f>
        <v>0</v>
      </c>
      <c r="F25" s="43">
        <f>COUNTIF('PF64'!V10:V73,"SCB2_MOSI (0)")</f>
        <v>0</v>
      </c>
      <c r="G25" s="43">
        <f>COUNTIF('PF64'!V10:V73,"SCB3_MOSI (0)")</f>
        <v>0</v>
      </c>
      <c r="H25" s="43">
        <f>COUNTIF('PF64'!V10:V73,"SCB4_MOSI (0)")</f>
        <v>0</v>
      </c>
      <c r="I25" s="43">
        <f>COUNTIF('PF64'!V10:V73,"SCB5_MOSI (0)")</f>
        <v>0</v>
      </c>
      <c r="J25" s="43">
        <f>COUNTIF('PF64'!V10:V73,"SCB6_MOSI (0)")</f>
        <v>0</v>
      </c>
      <c r="K25" s="43">
        <f>COUNTIF('PF64'!V10:V73,"SCB7_MOSI (0)")</f>
        <v>0</v>
      </c>
    </row>
    <row r="26" spans="2:59" x14ac:dyDescent="0.55000000000000004">
      <c r="B26" s="132"/>
      <c r="C26" s="41" t="s">
        <v>1142</v>
      </c>
      <c r="D26" s="42">
        <f>COUNTIF('PF64'!V10:V73,"SCB0_MOSI (1)")</f>
        <v>0</v>
      </c>
      <c r="E26" s="43">
        <f>COUNTIF('PF64'!V10:V73,"SCB1_MOSI (1)")</f>
        <v>0</v>
      </c>
      <c r="F26" s="43">
        <f>COUNTIF('PF64'!V10:V73,"SCB2_MOSI (1)")</f>
        <v>0</v>
      </c>
      <c r="G26" s="43">
        <f>COUNTIF('PF64'!V10:V73,"SCB3_MOSI (1)")</f>
        <v>0</v>
      </c>
      <c r="H26" s="43">
        <f>COUNTIF('PF64'!V10:V73,"SCB4_MOSI (1)")</f>
        <v>0</v>
      </c>
      <c r="I26" s="43">
        <f>COUNTIF('PF64'!V10:V73,"SCB5_MOSI (1)")</f>
        <v>0</v>
      </c>
      <c r="J26" s="43">
        <f>COUNTIF('PF64'!V10:V73,"SCB6_MOSI (1)")</f>
        <v>0</v>
      </c>
      <c r="K26" s="43">
        <f>COUNTIF('PF64'!V10:V73,"SCB7_MOSI (1)")</f>
        <v>0</v>
      </c>
    </row>
    <row r="27" spans="2:59" x14ac:dyDescent="0.55000000000000004">
      <c r="B27" s="132"/>
      <c r="C27" s="41" t="s">
        <v>1143</v>
      </c>
      <c r="D27" s="42">
        <f>COUNTIF('PF64'!V10:V73,"SCB0_MISO (0)")</f>
        <v>0</v>
      </c>
      <c r="E27" s="43">
        <f>COUNTIF('PF64'!V10:V73,"SCB1_MISO (0)")</f>
        <v>0</v>
      </c>
      <c r="F27" s="43">
        <f>COUNTIF('PF64'!V10:V73,"SCB2_MISO (0)")</f>
        <v>0</v>
      </c>
      <c r="G27" s="43">
        <f>COUNTIF('PF64'!V10:V73,"SCB3_MISO (0)")</f>
        <v>0</v>
      </c>
      <c r="H27" s="43">
        <f>COUNTIF('PF64'!V10:V73,"SCB4_MISO (0)")</f>
        <v>0</v>
      </c>
      <c r="I27" s="43">
        <f>COUNTIF('PF64'!V10:V73,"SCB5_MISO (0)")</f>
        <v>0</v>
      </c>
      <c r="J27" s="43">
        <f>COUNTIF('PF64'!V10:V73,"SCB6_MISO (0)")</f>
        <v>0</v>
      </c>
      <c r="K27" s="43">
        <f>COUNTIF('PF64'!V10:V73,"SCB7_MISO (0)")</f>
        <v>0</v>
      </c>
    </row>
    <row r="28" spans="2:59" x14ac:dyDescent="0.55000000000000004">
      <c r="B28" s="132"/>
      <c r="C28" s="41" t="s">
        <v>1144</v>
      </c>
      <c r="D28" s="42">
        <f>COUNTIF('PF64'!V10:V73,"SCB0_MISO (1)")</f>
        <v>0</v>
      </c>
      <c r="E28" s="43">
        <f>COUNTIF('PF64'!V10:V73,"SCB1_MISO (1)")</f>
        <v>0</v>
      </c>
      <c r="F28" s="43">
        <f>COUNTIF('PF64'!V10:V73,"SCB2_MISO (1)")</f>
        <v>0</v>
      </c>
      <c r="G28" s="43">
        <f>COUNTIF('PF64'!V10:V73,"SCB3_MISO (1)")</f>
        <v>0</v>
      </c>
      <c r="H28" s="43">
        <f>COUNTIF('PF64'!V10:V73,"SCB4_MISO (1)")</f>
        <v>0</v>
      </c>
      <c r="I28" s="43">
        <f>COUNTIF('PF64'!V10:V73,"SCB5_MISO (1)")</f>
        <v>0</v>
      </c>
      <c r="J28" s="43">
        <f>COUNTIF('PF64'!V10:V73,"SCB6_MISO (1)")</f>
        <v>0</v>
      </c>
      <c r="K28" s="43">
        <f>COUNTIF('PF64'!V10:V73,"SCB7_MISO (1)")</f>
        <v>0</v>
      </c>
    </row>
    <row r="29" spans="2:59" x14ac:dyDescent="0.55000000000000004">
      <c r="B29" s="132"/>
      <c r="C29" s="41" t="s">
        <v>1145</v>
      </c>
      <c r="D29" s="42">
        <f>COUNTIF('PF64'!V10:V73,"SCB0_SEL0 (0)")</f>
        <v>0</v>
      </c>
      <c r="E29" s="43">
        <f>COUNTIF('PF64'!V10:V73,"SCB1_SEL0 (0)")</f>
        <v>0</v>
      </c>
      <c r="F29" s="43">
        <f>COUNTIF('PF64'!V10:V73,"SCB2_SEL0 (0)")</f>
        <v>0</v>
      </c>
      <c r="G29" s="43">
        <f>COUNTIF('PF64'!V10:V73,"SCB3_SEL0 (0)")</f>
        <v>0</v>
      </c>
      <c r="H29" s="43">
        <f>COUNTIF('PF64'!V10:V73,"SCB4_SEL0 (0)")</f>
        <v>0</v>
      </c>
      <c r="I29" s="42">
        <f>COUNTIF('PF64'!V10:V73,"SCB5_SEL0 (0)")</f>
        <v>0</v>
      </c>
      <c r="J29" s="42">
        <f>COUNTIF('PF64'!V10:V73,"SCB6_SEL0 (0)")</f>
        <v>0</v>
      </c>
      <c r="K29" s="43">
        <f>COUNTIF('PF64'!V10:V73,"SCB7_SEL0 (0)")</f>
        <v>0</v>
      </c>
    </row>
    <row r="30" spans="2:59" x14ac:dyDescent="0.55000000000000004">
      <c r="B30" s="133"/>
      <c r="C30" s="41" t="s">
        <v>1146</v>
      </c>
      <c r="D30" s="42">
        <f>COUNTIF('PF64'!V10:V73,"SCB0_SEL0 (1)")</f>
        <v>0</v>
      </c>
      <c r="E30" s="43">
        <f>COUNTIF('PF64'!V10:V73,"SCB1_SEL0 (1)")</f>
        <v>0</v>
      </c>
      <c r="F30" s="43">
        <f>COUNTIF('PF64'!V10:V73,"SCB2_SEL0 (1)")</f>
        <v>0</v>
      </c>
      <c r="G30" s="43">
        <f>COUNTIF('PF64'!V10:V73,"SCB3_SEL0 (1)")</f>
        <v>0</v>
      </c>
      <c r="H30" s="43">
        <f>COUNTIF('PF64'!V10:V73,"SCB4_SEL0 (1)")</f>
        <v>0</v>
      </c>
      <c r="I30" s="42">
        <f>COUNTIF('PF64'!V10:V73,"SCB5_SEL0 (1)")</f>
        <v>0</v>
      </c>
      <c r="J30" s="42">
        <f>COUNTIF('PF64'!V10:V73,"SCB6_SEL0 (1)")</f>
        <v>0</v>
      </c>
      <c r="K30" s="43">
        <f>COUNTIF('PF64'!V10:V73,"SCB7_SEL0 (1)")</f>
        <v>0</v>
      </c>
    </row>
    <row r="31" spans="2:59" x14ac:dyDescent="0.55000000000000004">
      <c r="B31" s="133"/>
      <c r="C31" s="41" t="s">
        <v>1147</v>
      </c>
      <c r="D31" s="42">
        <f>COUNTIF('PF64'!V10:V73,"SCB0_SEL1 (0)")</f>
        <v>0</v>
      </c>
      <c r="E31" s="43">
        <f>COUNTIF('PF64'!V10:V73,"SCB1_SEL1 (0)")</f>
        <v>0</v>
      </c>
      <c r="F31" s="43">
        <f>COUNTIF('PF64'!V10:V73,"SCB2_SEL1 (0)")</f>
        <v>0</v>
      </c>
      <c r="G31" s="43">
        <f>COUNTIF('PF64'!V10:V73,"SCB3_SEL1 (0)")</f>
        <v>0</v>
      </c>
      <c r="H31" s="43">
        <f>COUNTIF('PF64'!V10:V73,"SCB4_SEL1 (0)")</f>
        <v>0</v>
      </c>
      <c r="I31" s="42">
        <f>COUNTIF('PF64'!V10:V73,"SCB5_SEL1 (0)")</f>
        <v>0</v>
      </c>
      <c r="J31" s="42">
        <f>COUNTIF('PF64'!V10:V73,"SCB6_SEL1 (0)")</f>
        <v>0</v>
      </c>
      <c r="K31" s="43">
        <f>COUNTIF('PF64'!V10:V73,"SCB7_SEL1 (0)")</f>
        <v>0</v>
      </c>
    </row>
    <row r="32" spans="2:59" x14ac:dyDescent="0.55000000000000004">
      <c r="B32" s="133"/>
      <c r="C32" s="41" t="s">
        <v>1148</v>
      </c>
      <c r="D32" s="42">
        <f>COUNTIF('PF64'!V10:V73,"SCB0_SEL1 (1)")</f>
        <v>0</v>
      </c>
      <c r="E32" s="43">
        <f>COUNTIF('PF64'!V10:V73,"SCB1_SEL1 (1)")</f>
        <v>0</v>
      </c>
      <c r="F32" s="43">
        <f>COUNTIF('PF64'!V10:V73,"SCB2_SEL1 (1)")</f>
        <v>0</v>
      </c>
      <c r="G32" s="43">
        <f>COUNTIF('PF64'!V10:V73,"SCB3_SEL1 (1)")</f>
        <v>0</v>
      </c>
      <c r="H32" s="43">
        <f>COUNTIF('PF64'!V10:V73,"SCB4_SEL1 (1)")</f>
        <v>0</v>
      </c>
      <c r="I32" s="42">
        <f>COUNTIF('PF64'!V10:V73,"SCB5_SEL1 (1)")</f>
        <v>0</v>
      </c>
      <c r="J32" s="42">
        <f>COUNTIF('PF64'!V10:V73,"SCB6_SEL1 (1)")</f>
        <v>0</v>
      </c>
      <c r="K32" s="43">
        <f>COUNTIF('PF64'!V10:V73,"SCB7_SEL1 (1)")</f>
        <v>0</v>
      </c>
    </row>
    <row r="33" spans="2:11" x14ac:dyDescent="0.55000000000000004">
      <c r="B33" s="133"/>
      <c r="C33" s="41" t="s">
        <v>1149</v>
      </c>
      <c r="D33" s="42">
        <f>COUNTIF('PF64'!V10:V73,"SCB0_SEL2 (0)")</f>
        <v>0</v>
      </c>
      <c r="E33" s="43">
        <f>COUNTIF('PF64'!V10:V73,"SCB1_SEL2 (0)")</f>
        <v>0</v>
      </c>
      <c r="F33" s="43">
        <f>COUNTIF('PF64'!V10:V73,"SCB2_SEL2 (0)")</f>
        <v>0</v>
      </c>
      <c r="G33" s="43">
        <f>COUNTIF('PF64'!V10:V73,"SCB3_SEL2 (0)")</f>
        <v>0</v>
      </c>
      <c r="H33" s="43">
        <f>COUNTIF('PF64'!V10:V73,"SCB4_SEL2 (0)")</f>
        <v>0</v>
      </c>
      <c r="I33" s="42">
        <f>COUNTIF('PF64'!V10:V73,"SCB5_SEL2 (0)")</f>
        <v>0</v>
      </c>
      <c r="J33" s="42">
        <f>COUNTIF('PF64'!V10:V73,"SCB6_SEL2 (0)")</f>
        <v>0</v>
      </c>
      <c r="K33" s="43">
        <f>COUNTIF('PF64'!V10:V73,"SCB7_SEL2 (0)")</f>
        <v>0</v>
      </c>
    </row>
    <row r="34" spans="2:11" x14ac:dyDescent="0.55000000000000004">
      <c r="B34" s="133"/>
      <c r="C34" s="41" t="s">
        <v>1150</v>
      </c>
      <c r="D34" s="42">
        <f>COUNTIF('PF64'!V10:V73,"SCB0_SEL2 (1)")</f>
        <v>0</v>
      </c>
      <c r="E34" s="43">
        <f>COUNTIF('PF64'!V10:V73,"SCB1_SEL2 (1)")</f>
        <v>0</v>
      </c>
      <c r="F34" s="43">
        <f>COUNTIF('PF64'!V10:V73,"SCB2_SEL2 (1)")</f>
        <v>0</v>
      </c>
      <c r="G34" s="43">
        <f>COUNTIF('PF64'!V10:V73,"SCB3_SEL2 (1)")</f>
        <v>0</v>
      </c>
      <c r="H34" s="43">
        <f>COUNTIF('PF64'!V10:V73,"SCB4_SEL2 (1)")</f>
        <v>0</v>
      </c>
      <c r="I34" s="42">
        <f>COUNTIF('PF64'!V10:V73,"SCB5_SEL2 (1)")</f>
        <v>0</v>
      </c>
      <c r="J34" s="42">
        <f>COUNTIF('PF64'!V10:V73,"SCB6_SEL2 (1)")</f>
        <v>0</v>
      </c>
      <c r="K34" s="43">
        <f>COUNTIF('PF64'!V10:V73,"SCB7_SEL2 (1)")</f>
        <v>0</v>
      </c>
    </row>
    <row r="35" spans="2:11" x14ac:dyDescent="0.55000000000000004">
      <c r="B35" s="133"/>
      <c r="C35" s="41" t="s">
        <v>1151</v>
      </c>
      <c r="D35" s="42">
        <f>COUNTIF('PF64'!V10:V73,"SCB0_SEL3 (0)")</f>
        <v>0</v>
      </c>
      <c r="E35" s="43">
        <f>COUNTIF('PF64'!V10:V73,"SCB1_SEL3 (0)")</f>
        <v>0</v>
      </c>
      <c r="F35" s="43">
        <f>COUNTIF('PF64'!V10:V73,"SCB2_SEL3 (0)")</f>
        <v>0</v>
      </c>
      <c r="G35" s="43">
        <f>COUNTIF('PF64'!V10:V73,"SCB3_SEL3 (0)")</f>
        <v>0</v>
      </c>
      <c r="H35" s="43">
        <f>COUNTIF('PF64'!V10:V73,"SCB4_SEL3 (0)")</f>
        <v>0</v>
      </c>
      <c r="I35" s="42">
        <f>COUNTIF('PF64'!V10:V73,"SCB5_SEL3 (0)")</f>
        <v>0</v>
      </c>
      <c r="J35" s="42">
        <f>COUNTIF('PF64'!V10:V73,"SCB6_SEL3 (0)")</f>
        <v>0</v>
      </c>
      <c r="K35" s="43">
        <f>COUNTIF('PF64'!V10:V73,"SCB7_SEL3 (0)")</f>
        <v>0</v>
      </c>
    </row>
    <row r="36" spans="2:11" x14ac:dyDescent="0.55000000000000004">
      <c r="B36" s="134"/>
      <c r="C36" s="41" t="s">
        <v>1152</v>
      </c>
      <c r="D36" s="42">
        <f>COUNTIF('PF64'!V10:V73,"SCB0_SEL3 (1)")</f>
        <v>0</v>
      </c>
      <c r="E36" s="43">
        <f>COUNTIF('PF64'!V10:V73,"SCB1_SEL3 (1)")</f>
        <v>0</v>
      </c>
      <c r="F36" s="43">
        <f>COUNTIF('PF64'!V10:V73,"SCB2_SEL3 (1)")</f>
        <v>0</v>
      </c>
      <c r="G36" s="43">
        <f>COUNTIF('PF64'!V10:V73,"SCB3_SEL3 (1)")</f>
        <v>0</v>
      </c>
      <c r="H36" s="43">
        <f>COUNTIF('PF64'!V10:V73,"SCB4_SEL3 (1)")</f>
        <v>0</v>
      </c>
      <c r="I36" s="42">
        <f>COUNTIF('PF64'!V10:V73,"SCB5_SEL3 (1)")</f>
        <v>0</v>
      </c>
      <c r="J36" s="42">
        <f>COUNTIF('PF64'!V10:V73,"SCB6_SEL3 (1)")</f>
        <v>0</v>
      </c>
      <c r="K36" s="43">
        <f>COUNTIF('PF64'!V10:V73,"SCB7_SEL3 (1)")</f>
        <v>0</v>
      </c>
    </row>
    <row r="37" spans="2:11" x14ac:dyDescent="0.55000000000000004">
      <c r="B37" s="131" t="s">
        <v>414</v>
      </c>
      <c r="C37" s="41" t="s">
        <v>1131</v>
      </c>
      <c r="D37" s="42">
        <f>COUNTIF('PF64'!V10:V73,"SCB0_TX (0)")</f>
        <v>0</v>
      </c>
      <c r="E37" s="43">
        <f>COUNTIF('PF64'!V10:V73,"SCB1_TX (0)")</f>
        <v>0</v>
      </c>
      <c r="F37" s="43">
        <f>COUNTIF('PF64'!V10:V73,"SCB2_TX (0)")</f>
        <v>0</v>
      </c>
      <c r="G37" s="43">
        <f>COUNTIF('PF64'!V10:V73,"SCB3_TX (0)")</f>
        <v>0</v>
      </c>
      <c r="H37" s="43">
        <f>COUNTIF('PF64'!V10:V73,"SCB4_TX (0)")</f>
        <v>0</v>
      </c>
      <c r="I37" s="45">
        <f>COUNTIF('PF64'!V10:V73,"SCB5_TX (0)")</f>
        <v>0</v>
      </c>
      <c r="J37" s="45">
        <f>COUNTIF('PF64'!V10:V73,"SCB6_TX (0)")</f>
        <v>0</v>
      </c>
      <c r="K37" s="43">
        <f>COUNTIF('PF64'!V10:V73,"SCB7_TX (0)")</f>
        <v>0</v>
      </c>
    </row>
    <row r="38" spans="2:11" x14ac:dyDescent="0.55000000000000004">
      <c r="B38" s="133"/>
      <c r="C38" s="41" t="s">
        <v>1132</v>
      </c>
      <c r="D38" s="42">
        <f>COUNTIF('PF64'!V10:V73,"SCB0_TX (1)")</f>
        <v>0</v>
      </c>
      <c r="E38" s="43">
        <f>COUNTIF('PF64'!V10:V73,"SCB1_TX (1)")</f>
        <v>0</v>
      </c>
      <c r="F38" s="43">
        <f>COUNTIF('PF64'!V10:V73,"SCB2_TX (1)")</f>
        <v>0</v>
      </c>
      <c r="G38" s="43">
        <f>COUNTIF('PF64'!V10:V73,"SCB3_TX (1)")</f>
        <v>0</v>
      </c>
      <c r="H38" s="43">
        <f>COUNTIF('PF64'!V10:V73,"SCB4_TX (1)")</f>
        <v>0</v>
      </c>
      <c r="I38" s="45">
        <f>COUNTIF('PF64'!V10:V73,"SCB5_TX (1)")</f>
        <v>0</v>
      </c>
      <c r="J38" s="45">
        <f>COUNTIF('PF64'!V10:V73,"SCB6_TX (1)")</f>
        <v>0</v>
      </c>
      <c r="K38" s="43">
        <f>COUNTIF('PF64'!V10:V73,"SCB7_TX (1)")</f>
        <v>0</v>
      </c>
    </row>
    <row r="39" spans="2:11" x14ac:dyDescent="0.55000000000000004">
      <c r="B39" s="133"/>
      <c r="C39" s="41" t="s">
        <v>1133</v>
      </c>
      <c r="D39" s="42">
        <f>COUNTIF('PF64'!V10:V73,"SCB0_RX (0)")</f>
        <v>0</v>
      </c>
      <c r="E39" s="43">
        <f>COUNTIF('PF64'!V10:V73,"SCB1_RX (0)")</f>
        <v>0</v>
      </c>
      <c r="F39" s="43">
        <f>COUNTIF('PF64'!V10:V73,"SCB2_RX (0)")</f>
        <v>0</v>
      </c>
      <c r="G39" s="43">
        <f>COUNTIF('PF64'!V10:V73,"SCB3_RX (0)")</f>
        <v>0</v>
      </c>
      <c r="H39" s="43">
        <f>COUNTIF('PF64'!V10:V73,"SCB4_RX (0)")</f>
        <v>0</v>
      </c>
      <c r="I39" s="43">
        <f>COUNTIF('PF64'!V10:V73,"SCB5_RX (0)")</f>
        <v>0</v>
      </c>
      <c r="J39" s="43">
        <f>COUNTIF('PF64'!V10:V73,"SCB6_RX (0)")</f>
        <v>0</v>
      </c>
      <c r="K39" s="43">
        <f>COUNTIF('PF64'!V10:V73,"SCB7_RX (0)")</f>
        <v>0</v>
      </c>
    </row>
    <row r="40" spans="2:11" x14ac:dyDescent="0.55000000000000004">
      <c r="B40" s="133"/>
      <c r="C40" s="41" t="s">
        <v>1134</v>
      </c>
      <c r="D40" s="46">
        <f>COUNTIF('PF64'!V10:V73,"SCB0_RX (1)")</f>
        <v>0</v>
      </c>
      <c r="E40" s="43">
        <f>COUNTIF('PF64'!V10:V73,"SCB1_RX (1)")</f>
        <v>0</v>
      </c>
      <c r="F40" s="43">
        <f>COUNTIF('PF64'!V10:V73,"SCB2_RX (1)")</f>
        <v>0</v>
      </c>
      <c r="G40" s="43">
        <f>COUNTIF('PF64'!V10:V73,"SCB3_RX (1)")</f>
        <v>0</v>
      </c>
      <c r="H40" s="43">
        <f>COUNTIF('PF64'!V10:V73,"SCB4_RX (1)")</f>
        <v>0</v>
      </c>
      <c r="I40" s="43">
        <f>COUNTIF('PF64'!V10:V73,"SCB5_RX (1)")</f>
        <v>0</v>
      </c>
      <c r="J40" s="43">
        <f>COUNTIF('PF64'!V10:V73,"SCB6_RX (1)")</f>
        <v>0</v>
      </c>
      <c r="K40" s="43">
        <f>COUNTIF('PF64'!V10:V73,"SCB7_RX (1)")</f>
        <v>0</v>
      </c>
    </row>
    <row r="41" spans="2:11" ht="10.25" customHeight="1" x14ac:dyDescent="0.55000000000000004">
      <c r="B41" s="133"/>
      <c r="C41" s="41" t="s">
        <v>1135</v>
      </c>
      <c r="D41" s="42">
        <f>COUNTIF('PF64'!V10:V73,"SCB0_CTS (0)")</f>
        <v>0</v>
      </c>
      <c r="E41" s="43">
        <f>COUNTIF('PF64'!V10:V73,"SCB1_CTS (0)")</f>
        <v>0</v>
      </c>
      <c r="F41" s="43">
        <f>COUNTIF('PF64'!V10:V73,"SCB2_CTS (0)")</f>
        <v>0</v>
      </c>
      <c r="G41" s="43">
        <f>COUNTIF('PF64'!V10:V73,"SCB3_CTS (0)")</f>
        <v>0</v>
      </c>
      <c r="H41" s="43">
        <f>COUNTIF('PF64'!V10:V73,"SCB4_CTS (0)")</f>
        <v>0</v>
      </c>
      <c r="I41" s="43">
        <f>COUNTIF('PF64'!V10:V73,"SCB5_CTS (0)")</f>
        <v>0</v>
      </c>
      <c r="J41" s="43">
        <f>COUNTIF('PF64'!V10:V73,"SCB6_CTS (0)")</f>
        <v>0</v>
      </c>
      <c r="K41" s="43">
        <f>COUNTIF('PF64'!V10:V73,"SCB7_CTS (0)")</f>
        <v>0</v>
      </c>
    </row>
    <row r="42" spans="2:11" x14ac:dyDescent="0.55000000000000004">
      <c r="B42" s="133"/>
      <c r="C42" s="41" t="s">
        <v>1136</v>
      </c>
      <c r="D42" s="46">
        <f>COUNTIF('PF64'!V10:V73,"SCB0_CTS (1)")</f>
        <v>0</v>
      </c>
      <c r="E42" s="43">
        <f>COUNTIF('PF64'!V10:V73,"SCB1_CTS (1)")</f>
        <v>0</v>
      </c>
      <c r="F42" s="43">
        <f>COUNTIF('PF64'!V10:V73,"SCB2_CTS (1)")</f>
        <v>0</v>
      </c>
      <c r="G42" s="43">
        <f>COUNTIF('PF64'!V10:V73,"SCB3_CTS (1)")</f>
        <v>0</v>
      </c>
      <c r="H42" s="43">
        <f>COUNTIF('PF64'!V10:V73,"SCB4_CTS (1)")</f>
        <v>0</v>
      </c>
      <c r="I42" s="43">
        <f>COUNTIF('PF64'!V10:V73,"SCB5_CTS (1)")</f>
        <v>0</v>
      </c>
      <c r="J42" s="43">
        <f>COUNTIF('PF64'!V10:V73,"SCB6_CTS (1)")</f>
        <v>0</v>
      </c>
      <c r="K42" s="43">
        <f>COUNTIF('PF64'!V10:V73,"SCB7_CTS (1)")</f>
        <v>0</v>
      </c>
    </row>
    <row r="43" spans="2:11" x14ac:dyDescent="0.55000000000000004">
      <c r="B43" s="133"/>
      <c r="C43" s="41" t="s">
        <v>1137</v>
      </c>
      <c r="D43" s="42">
        <f>COUNTIF('PF64'!V10:V73,"SCB0_RTS (0)")</f>
        <v>0</v>
      </c>
      <c r="E43" s="43">
        <f>COUNTIF('PF64'!V10:V73,"SCB1_RTS (0)")</f>
        <v>0</v>
      </c>
      <c r="F43" s="43">
        <f>COUNTIF('PF64'!V10:V73,"SCB2_RTS (0)")</f>
        <v>0</v>
      </c>
      <c r="G43" s="43">
        <f>COUNTIF('PF64'!V10:V73,"SCB3_RTS (0)")</f>
        <v>0</v>
      </c>
      <c r="H43" s="43">
        <f>COUNTIF('PF64'!V10:V73,"SCB4_RTS (0)")</f>
        <v>0</v>
      </c>
      <c r="I43" s="43">
        <f>COUNTIF('PF64'!V10:V73,"SCB5_RTS (0)")</f>
        <v>0</v>
      </c>
      <c r="J43" s="43">
        <f>COUNTIF('PF64'!V10:V73,"SCB6_RTS (0)")</f>
        <v>0</v>
      </c>
      <c r="K43" s="43">
        <f>COUNTIF('PF64'!V10:V73,"SCB7_RTS (0)")</f>
        <v>0</v>
      </c>
    </row>
    <row r="44" spans="2:11" x14ac:dyDescent="0.55000000000000004">
      <c r="B44" s="134"/>
      <c r="C44" s="41" t="s">
        <v>1138</v>
      </c>
      <c r="D44" s="46">
        <f>COUNTIF('PF64'!V10:V73,"SCB0_RTS (1)")</f>
        <v>0</v>
      </c>
      <c r="E44" s="43">
        <f>COUNTIF('PF64'!V10:V73,"SCB1_RTS (1)")</f>
        <v>0</v>
      </c>
      <c r="F44" s="43">
        <f>COUNTIF('PF64'!V10:V73,"SCB2_RTS (1)")</f>
        <v>0</v>
      </c>
      <c r="G44" s="43">
        <f>COUNTIF('PF64'!V10:V73,"SCB3_RTS (1)")</f>
        <v>0</v>
      </c>
      <c r="H44" s="43">
        <f>COUNTIF('PF64'!V10:V73,"SCB4_RTS (1)")</f>
        <v>0</v>
      </c>
      <c r="I44" s="43">
        <f>COUNTIF('PF64'!V10:V73,"SCB5_RTS (1)")</f>
        <v>0</v>
      </c>
      <c r="J44" s="43">
        <f>COUNTIF('PF64'!V10:V73,"SCB6_RTS (1)")</f>
        <v>0</v>
      </c>
      <c r="K44" s="43">
        <f>COUNTIF('PF64'!V10:V73,"SCB7_RTS (1)")</f>
        <v>0</v>
      </c>
    </row>
    <row r="45" spans="2:11" ht="10.25" customHeight="1" x14ac:dyDescent="0.55000000000000004">
      <c r="B45" s="131" t="s">
        <v>416</v>
      </c>
      <c r="C45" s="47" t="s">
        <v>1153</v>
      </c>
      <c r="D45" s="42">
        <f>COUNTIF('PF64'!V10:V73,"SCB0_SDA (0)")</f>
        <v>0</v>
      </c>
      <c r="E45" s="43">
        <f>COUNTIF('PF64'!V10:V73,"SCB1_SDA (0)")</f>
        <v>0</v>
      </c>
      <c r="F45" s="43">
        <f>COUNTIF('PF64'!V10:V73,"SCB2_SDA (0)")</f>
        <v>0</v>
      </c>
      <c r="G45" s="43">
        <f>COUNTIF('PF64'!V10:V73,"SCB3_SDA (0)")</f>
        <v>0</v>
      </c>
      <c r="H45" s="43">
        <f>COUNTIF('PF64'!V10:V73,"SCB4_SDA (0)")</f>
        <v>0</v>
      </c>
      <c r="I45" s="45">
        <f>COUNTIF('PF64'!V10:V73,"SCB5_SDA (0)")</f>
        <v>0</v>
      </c>
      <c r="J45" s="45">
        <f>COUNTIF('PF64'!V10:V73,"SCB6_SDA (0)")</f>
        <v>0</v>
      </c>
      <c r="K45" s="45">
        <f>COUNTIF('PF64'!V10:V73,"SCB7_SDA (0)")</f>
        <v>0</v>
      </c>
    </row>
    <row r="46" spans="2:11" x14ac:dyDescent="0.55000000000000004">
      <c r="B46" s="132"/>
      <c r="C46" s="47" t="s">
        <v>1154</v>
      </c>
      <c r="D46" s="42">
        <f>COUNTIF('PF64'!V10:V73,"SCB0_SDA (1)")</f>
        <v>0</v>
      </c>
      <c r="E46" s="43">
        <f>COUNTIF('PF64'!V10:V73,"SCB1_SDA (1)")</f>
        <v>0</v>
      </c>
      <c r="F46" s="43">
        <f>COUNTIF('PF64'!V10:V73,"SCB2_SDA (1)")</f>
        <v>0</v>
      </c>
      <c r="G46" s="43">
        <f>COUNTIF('PF64'!V10:V73,"SCB3_SDA (1)")</f>
        <v>0</v>
      </c>
      <c r="H46" s="43">
        <f>COUNTIF('PF64'!V10:V73,"SCB4_SDA (1)")</f>
        <v>0</v>
      </c>
      <c r="I46" s="45">
        <f>COUNTIF('PF64'!V10:V73,"SCB5_SDA (1)")</f>
        <v>0</v>
      </c>
      <c r="J46" s="45">
        <f>COUNTIF('PF64'!V10:V73,"SCB6_SDA (1)")</f>
        <v>0</v>
      </c>
      <c r="K46" s="45">
        <f>COUNTIF('PF64'!V10:V73,"SCB7_SDA (1)")</f>
        <v>0</v>
      </c>
    </row>
    <row r="47" spans="2:11" x14ac:dyDescent="0.55000000000000004">
      <c r="B47" s="133"/>
      <c r="C47" s="47" t="s">
        <v>1155</v>
      </c>
      <c r="D47" s="42">
        <f>COUNTIF('PF64'!V10:V73,"SCB0_SDA (2)")</f>
        <v>0</v>
      </c>
      <c r="E47" s="43">
        <f>COUNTIF('PF64'!V10:V73,"SCB1_SDA (2)")</f>
        <v>0</v>
      </c>
      <c r="F47" s="43">
        <f>COUNTIF('PF64'!V10:V73,"SCB2_SDA (2)")</f>
        <v>0</v>
      </c>
      <c r="G47" s="43">
        <f>COUNTIF('PF64'!V10:V73,"SCB3_SDA (2)")</f>
        <v>0</v>
      </c>
      <c r="H47" s="43">
        <f>COUNTIF('PF64'!V10:V73,"SCB4_SDA (2)")</f>
        <v>0</v>
      </c>
      <c r="I47" s="45">
        <f>COUNTIF('PF64'!V10:V73,"SCB5_SDA (2)")</f>
        <v>0</v>
      </c>
      <c r="J47" s="45">
        <f>COUNTIF('PF64'!V10:V73,"SCB6_SDA (2)")</f>
        <v>0</v>
      </c>
      <c r="K47" s="45">
        <f>COUNTIF('PF64'!V10:V73,"SCB7_SDA (2)")</f>
        <v>0</v>
      </c>
    </row>
    <row r="48" spans="2:11" x14ac:dyDescent="0.55000000000000004">
      <c r="B48" s="133"/>
      <c r="C48" s="47" t="s">
        <v>1156</v>
      </c>
      <c r="D48" s="42">
        <f>COUNTIF('PF64'!V10:V73,"SCB0_SCL (0)")</f>
        <v>0</v>
      </c>
      <c r="E48" s="43">
        <f>COUNTIF('PF64'!V10:V73,"SCB1_SCL (0)")</f>
        <v>0</v>
      </c>
      <c r="F48" s="43">
        <f>COUNTIF('PF64'!V10:V73,"SCB2_SCL (0)")</f>
        <v>0</v>
      </c>
      <c r="G48" s="43">
        <f>COUNTIF('PF64'!V10:V73,"SCB3_SCL (0)")</f>
        <v>0</v>
      </c>
      <c r="H48" s="43">
        <f>COUNTIF('PF64'!V10:V73,"SCB4_SCL (0)")</f>
        <v>0</v>
      </c>
      <c r="I48" s="45">
        <f>COUNTIF('PF64'!V10:V73,"SCB5_SCL (0)")</f>
        <v>0</v>
      </c>
      <c r="J48" s="45">
        <f>COUNTIF('PF64'!V10:V73,"SCB6_SCL (0)")</f>
        <v>0</v>
      </c>
      <c r="K48" s="45">
        <f>COUNTIF('PF64'!V10:V73,"SCB7_SCL (0)")</f>
        <v>0</v>
      </c>
    </row>
    <row r="49" spans="2:66" x14ac:dyDescent="0.55000000000000004">
      <c r="B49" s="133"/>
      <c r="C49" s="47" t="s">
        <v>1157</v>
      </c>
      <c r="D49" s="42">
        <f>COUNTIF('PF64'!V10:V73,"SCB0_SCL (1)")</f>
        <v>0</v>
      </c>
      <c r="E49" s="43">
        <f>COUNTIF('PF64'!V10:V73,"SCB1_SCL (1)")</f>
        <v>0</v>
      </c>
      <c r="F49" s="43">
        <f>COUNTIF('PF64'!V10:V73,"SCB2_SCL (1)")</f>
        <v>0</v>
      </c>
      <c r="G49" s="43">
        <f>COUNTIF('PF64'!V10:V73,"SCB3_SCL (1)")</f>
        <v>0</v>
      </c>
      <c r="H49" s="43">
        <f>COUNTIF('PF64'!V10:V73,"SCB4_SCL (1)")</f>
        <v>0</v>
      </c>
      <c r="I49" s="45">
        <f>COUNTIF('PF64'!V10:V73,"SCB5_SCL (1)")</f>
        <v>0</v>
      </c>
      <c r="J49" s="45">
        <f>COUNTIF('PF64'!V10:V73,"SCB6_SCL (1)")</f>
        <v>0</v>
      </c>
      <c r="K49" s="45">
        <f>COUNTIF('PF64'!V10:V73,"SCB7_SCL (1)")</f>
        <v>0</v>
      </c>
    </row>
    <row r="50" spans="2:66" x14ac:dyDescent="0.55000000000000004">
      <c r="B50" s="134"/>
      <c r="C50" s="47" t="s">
        <v>1158</v>
      </c>
      <c r="D50" s="42">
        <f>COUNTIF('PF64'!V10:V73,"SCB0_SCL (2)")</f>
        <v>0</v>
      </c>
      <c r="E50" s="43">
        <f>COUNTIF('PF64'!V10:V73,"SCB1_SCL (2)")</f>
        <v>0</v>
      </c>
      <c r="F50" s="43">
        <f>COUNTIF('PF64'!V10:V73,"SCB2_SCL (2)")</f>
        <v>0</v>
      </c>
      <c r="G50" s="43">
        <f>COUNTIF('PF64'!V10:V73,"SCB3_SCL (2)")</f>
        <v>0</v>
      </c>
      <c r="H50" s="43">
        <f>COUNTIF('PF64'!V10:V73,"SCB4_SCL (2)")</f>
        <v>0</v>
      </c>
      <c r="I50" s="45">
        <f>COUNTIF('PF64'!V10:V73,"SCB5_SCL (2)")</f>
        <v>0</v>
      </c>
      <c r="J50" s="45">
        <f>COUNTIF('PF64'!V10:V73,"SCB6_SCL (2)")</f>
        <v>0</v>
      </c>
      <c r="K50" s="45">
        <f>COUNTIF('PF64'!V10:V73,"SCB7_SCL (2)")</f>
        <v>0</v>
      </c>
    </row>
    <row r="52" spans="2:66" hidden="1" x14ac:dyDescent="0.55000000000000004">
      <c r="B52" s="52" t="s">
        <v>376</v>
      </c>
      <c r="C52" s="52" t="s">
        <v>1191</v>
      </c>
      <c r="D52" s="53" t="s">
        <v>377</v>
      </c>
      <c r="E52" s="53" t="s">
        <v>378</v>
      </c>
      <c r="F52" s="53" t="s">
        <v>379</v>
      </c>
      <c r="G52" s="53" t="s">
        <v>380</v>
      </c>
      <c r="H52" s="53" t="s">
        <v>384</v>
      </c>
      <c r="I52" s="53" t="s">
        <v>383</v>
      </c>
      <c r="J52" s="53" t="s">
        <v>382</v>
      </c>
      <c r="K52" s="53" t="s">
        <v>381</v>
      </c>
    </row>
    <row r="53" spans="2:66" hidden="1" x14ac:dyDescent="0.55000000000000004">
      <c r="B53" s="54" t="s">
        <v>1192</v>
      </c>
      <c r="C53" s="55">
        <v>0</v>
      </c>
      <c r="D53" s="55">
        <f>D23+D25+D27+D29+D31+D33+D35</f>
        <v>0</v>
      </c>
      <c r="E53" s="55">
        <f t="shared" ref="E53:K54" si="0">E23+E25+E27+E29+E31+E33+E35</f>
        <v>0</v>
      </c>
      <c r="F53" s="55">
        <f t="shared" si="0"/>
        <v>0</v>
      </c>
      <c r="G53" s="55">
        <f t="shared" si="0"/>
        <v>0</v>
      </c>
      <c r="H53" s="55">
        <f t="shared" si="0"/>
        <v>0</v>
      </c>
      <c r="I53" s="55">
        <f t="shared" si="0"/>
        <v>0</v>
      </c>
      <c r="J53" s="55">
        <f t="shared" si="0"/>
        <v>0</v>
      </c>
      <c r="K53" s="55">
        <f t="shared" si="0"/>
        <v>0</v>
      </c>
    </row>
    <row r="54" spans="2:66" hidden="1" x14ac:dyDescent="0.55000000000000004">
      <c r="B54" s="56"/>
      <c r="C54" s="55">
        <v>1</v>
      </c>
      <c r="D54" s="55">
        <f>D24+D26+D28+D30+D32+D34+D36</f>
        <v>0</v>
      </c>
      <c r="E54" s="55">
        <f t="shared" si="0"/>
        <v>0</v>
      </c>
      <c r="F54" s="55">
        <f t="shared" si="0"/>
        <v>0</v>
      </c>
      <c r="G54" s="55">
        <f t="shared" si="0"/>
        <v>0</v>
      </c>
      <c r="H54" s="55">
        <f t="shared" si="0"/>
        <v>0</v>
      </c>
      <c r="I54" s="55">
        <f t="shared" si="0"/>
        <v>0</v>
      </c>
      <c r="J54" s="55">
        <f t="shared" si="0"/>
        <v>0</v>
      </c>
      <c r="K54" s="55">
        <f t="shared" si="0"/>
        <v>0</v>
      </c>
    </row>
    <row r="55" spans="2:66" hidden="1" x14ac:dyDescent="0.55000000000000004">
      <c r="B55" s="54" t="s">
        <v>1193</v>
      </c>
      <c r="C55" s="55">
        <v>0</v>
      </c>
      <c r="D55" s="55">
        <f>D37+D39+D41+D43</f>
        <v>0</v>
      </c>
      <c r="E55" s="55">
        <f t="shared" ref="E55:K56" si="1">E37+E39+E41+E43</f>
        <v>0</v>
      </c>
      <c r="F55" s="55">
        <f t="shared" si="1"/>
        <v>0</v>
      </c>
      <c r="G55" s="55">
        <f t="shared" si="1"/>
        <v>0</v>
      </c>
      <c r="H55" s="55">
        <f t="shared" si="1"/>
        <v>0</v>
      </c>
      <c r="I55" s="55">
        <f t="shared" si="1"/>
        <v>0</v>
      </c>
      <c r="J55" s="55">
        <f t="shared" si="1"/>
        <v>0</v>
      </c>
      <c r="K55" s="55">
        <f t="shared" si="1"/>
        <v>0</v>
      </c>
    </row>
    <row r="56" spans="2:66" hidden="1" x14ac:dyDescent="0.55000000000000004">
      <c r="B56" s="56"/>
      <c r="C56" s="55">
        <v>1</v>
      </c>
      <c r="D56" s="55">
        <f>D38+D40+D42+D44</f>
        <v>0</v>
      </c>
      <c r="E56" s="55">
        <f t="shared" si="1"/>
        <v>0</v>
      </c>
      <c r="F56" s="55">
        <f t="shared" si="1"/>
        <v>0</v>
      </c>
      <c r="G56" s="55">
        <f t="shared" si="1"/>
        <v>0</v>
      </c>
      <c r="H56" s="55">
        <f t="shared" si="1"/>
        <v>0</v>
      </c>
      <c r="I56" s="55">
        <f t="shared" si="1"/>
        <v>0</v>
      </c>
      <c r="J56" s="55">
        <f t="shared" si="1"/>
        <v>0</v>
      </c>
      <c r="K56" s="55">
        <f t="shared" si="1"/>
        <v>0</v>
      </c>
    </row>
    <row r="57" spans="2:66" hidden="1" x14ac:dyDescent="0.55000000000000004">
      <c r="B57" s="54" t="s">
        <v>1194</v>
      </c>
      <c r="C57" s="55">
        <v>0</v>
      </c>
      <c r="D57" s="55">
        <f t="shared" ref="D57:K57" si="2">D45+D48</f>
        <v>0</v>
      </c>
      <c r="E57" s="55">
        <f t="shared" si="2"/>
        <v>0</v>
      </c>
      <c r="F57" s="55">
        <f t="shared" si="2"/>
        <v>0</v>
      </c>
      <c r="G57" s="55">
        <f t="shared" si="2"/>
        <v>0</v>
      </c>
      <c r="H57" s="55">
        <f t="shared" si="2"/>
        <v>0</v>
      </c>
      <c r="I57" s="55">
        <f t="shared" si="2"/>
        <v>0</v>
      </c>
      <c r="J57" s="55">
        <f t="shared" si="2"/>
        <v>0</v>
      </c>
      <c r="K57" s="55">
        <f t="shared" si="2"/>
        <v>0</v>
      </c>
    </row>
    <row r="58" spans="2:66" hidden="1" x14ac:dyDescent="0.55000000000000004">
      <c r="B58" s="57"/>
      <c r="C58" s="55">
        <v>1</v>
      </c>
      <c r="D58" s="55">
        <f>D46+D49</f>
        <v>0</v>
      </c>
      <c r="E58" s="55">
        <f t="shared" ref="E58:K59" si="3">E46+E49</f>
        <v>0</v>
      </c>
      <c r="F58" s="55">
        <f t="shared" si="3"/>
        <v>0</v>
      </c>
      <c r="G58" s="55">
        <f t="shared" si="3"/>
        <v>0</v>
      </c>
      <c r="H58" s="55">
        <f t="shared" si="3"/>
        <v>0</v>
      </c>
      <c r="I58" s="55">
        <f t="shared" si="3"/>
        <v>0</v>
      </c>
      <c r="J58" s="55">
        <f t="shared" si="3"/>
        <v>0</v>
      </c>
      <c r="K58" s="55">
        <f t="shared" si="3"/>
        <v>0</v>
      </c>
    </row>
    <row r="59" spans="2:66" hidden="1" x14ac:dyDescent="0.55000000000000004">
      <c r="B59" s="56"/>
      <c r="C59" s="55">
        <v>2</v>
      </c>
      <c r="D59" s="55">
        <f>D47+D50</f>
        <v>0</v>
      </c>
      <c r="E59" s="55">
        <f t="shared" si="3"/>
        <v>0</v>
      </c>
      <c r="F59" s="55">
        <f t="shared" si="3"/>
        <v>0</v>
      </c>
      <c r="G59" s="55">
        <f t="shared" si="3"/>
        <v>0</v>
      </c>
      <c r="H59" s="55">
        <f t="shared" si="3"/>
        <v>0</v>
      </c>
      <c r="I59" s="55">
        <f t="shared" si="3"/>
        <v>0</v>
      </c>
      <c r="J59" s="55">
        <f t="shared" si="3"/>
        <v>0</v>
      </c>
      <c r="K59" s="55">
        <f t="shared" si="3"/>
        <v>0</v>
      </c>
    </row>
    <row r="60" spans="2:66" hidden="1" x14ac:dyDescent="0.55000000000000004">
      <c r="B60" s="58" t="s">
        <v>1195</v>
      </c>
      <c r="C60" s="59"/>
      <c r="D60" s="52">
        <f t="shared" ref="D60:K60" si="4">COUNTIF(D53:D59, "&lt;&gt;0")</f>
        <v>0</v>
      </c>
      <c r="E60" s="52">
        <f t="shared" si="4"/>
        <v>0</v>
      </c>
      <c r="F60" s="52">
        <f t="shared" si="4"/>
        <v>0</v>
      </c>
      <c r="G60" s="52">
        <f t="shared" si="4"/>
        <v>0</v>
      </c>
      <c r="H60" s="52">
        <f t="shared" si="4"/>
        <v>0</v>
      </c>
      <c r="I60" s="52">
        <f t="shared" si="4"/>
        <v>0</v>
      </c>
      <c r="J60" s="52">
        <f t="shared" si="4"/>
        <v>0</v>
      </c>
      <c r="K60" s="52">
        <f t="shared" si="4"/>
        <v>0</v>
      </c>
    </row>
    <row r="62" spans="2:66" x14ac:dyDescent="0.55000000000000004">
      <c r="B62" s="128" t="s">
        <v>1218</v>
      </c>
      <c r="C62" s="129"/>
      <c r="D62" s="37" t="s">
        <v>420</v>
      </c>
      <c r="E62" s="37" t="s">
        <v>421</v>
      </c>
      <c r="F62" s="37" t="s">
        <v>422</v>
      </c>
      <c r="G62" s="37" t="s">
        <v>423</v>
      </c>
      <c r="H62" s="37" t="s">
        <v>424</v>
      </c>
      <c r="I62" s="37" t="s">
        <v>425</v>
      </c>
      <c r="J62" s="37" t="s">
        <v>426</v>
      </c>
      <c r="K62" s="37" t="s">
        <v>427</v>
      </c>
      <c r="L62" s="37" t="s">
        <v>428</v>
      </c>
      <c r="M62" s="37" t="s">
        <v>429</v>
      </c>
      <c r="N62" s="37" t="s">
        <v>431</v>
      </c>
      <c r="O62" s="37" t="s">
        <v>432</v>
      </c>
      <c r="P62" s="37" t="s">
        <v>435</v>
      </c>
      <c r="Q62" s="37" t="s">
        <v>436</v>
      </c>
      <c r="R62" s="37" t="s">
        <v>437</v>
      </c>
      <c r="S62" s="37" t="s">
        <v>438</v>
      </c>
      <c r="T62" s="37" t="s">
        <v>439</v>
      </c>
      <c r="U62" s="37" t="s">
        <v>440</v>
      </c>
      <c r="V62" s="37" t="s">
        <v>441</v>
      </c>
      <c r="W62" s="37" t="s">
        <v>442</v>
      </c>
      <c r="X62" s="37" t="s">
        <v>443</v>
      </c>
      <c r="Y62" s="37" t="s">
        <v>444</v>
      </c>
      <c r="Z62" s="37" t="s">
        <v>445</v>
      </c>
      <c r="AA62" s="37" t="s">
        <v>446</v>
      </c>
      <c r="AB62" s="37" t="s">
        <v>447</v>
      </c>
      <c r="AC62" s="37" t="s">
        <v>448</v>
      </c>
      <c r="AD62" s="37" t="s">
        <v>449</v>
      </c>
      <c r="AE62" s="37" t="s">
        <v>450</v>
      </c>
      <c r="AF62" s="37" t="s">
        <v>451</v>
      </c>
      <c r="AG62" s="37" t="s">
        <v>452</v>
      </c>
      <c r="AH62" s="37" t="s">
        <v>453</v>
      </c>
      <c r="AI62" s="37" t="s">
        <v>454</v>
      </c>
      <c r="AJ62" s="37" t="s">
        <v>455</v>
      </c>
      <c r="AK62" s="37" t="s">
        <v>456</v>
      </c>
      <c r="AL62" s="37" t="s">
        <v>457</v>
      </c>
      <c r="AM62" s="37" t="s">
        <v>458</v>
      </c>
      <c r="AN62" s="37" t="s">
        <v>459</v>
      </c>
      <c r="AO62" s="37" t="s">
        <v>460</v>
      </c>
      <c r="AP62" s="37" t="s">
        <v>461</v>
      </c>
      <c r="AQ62" s="37" t="s">
        <v>462</v>
      </c>
      <c r="AR62" s="37" t="s">
        <v>463</v>
      </c>
      <c r="AS62" s="37" t="s">
        <v>464</v>
      </c>
      <c r="AT62" s="37" t="s">
        <v>465</v>
      </c>
      <c r="AU62" s="37" t="s">
        <v>466</v>
      </c>
      <c r="AV62" s="37" t="s">
        <v>467</v>
      </c>
      <c r="AW62" s="37" t="s">
        <v>468</v>
      </c>
      <c r="AX62" s="37" t="s">
        <v>469</v>
      </c>
      <c r="AY62" s="37" t="s">
        <v>470</v>
      </c>
      <c r="AZ62" s="37" t="s">
        <v>471</v>
      </c>
      <c r="BA62" s="37" t="s">
        <v>472</v>
      </c>
      <c r="BB62" s="37" t="s">
        <v>473</v>
      </c>
      <c r="BC62" s="37" t="s">
        <v>474</v>
      </c>
      <c r="BD62" s="37" t="s">
        <v>475</v>
      </c>
      <c r="BE62" s="37" t="s">
        <v>476</v>
      </c>
      <c r="BF62" s="37" t="s">
        <v>477</v>
      </c>
      <c r="BG62" s="37" t="s">
        <v>478</v>
      </c>
      <c r="BH62" s="37" t="s">
        <v>479</v>
      </c>
      <c r="BI62" s="37" t="s">
        <v>480</v>
      </c>
      <c r="BJ62" s="37" t="s">
        <v>481</v>
      </c>
      <c r="BK62" s="37" t="s">
        <v>482</v>
      </c>
      <c r="BL62" s="37" t="s">
        <v>483</v>
      </c>
      <c r="BM62" s="37" t="s">
        <v>484</v>
      </c>
      <c r="BN62" s="37" t="s">
        <v>485</v>
      </c>
    </row>
    <row r="63" spans="2:66" x14ac:dyDescent="0.55000000000000004">
      <c r="B63" s="126" t="s">
        <v>417</v>
      </c>
      <c r="C63" s="38" t="s">
        <v>409</v>
      </c>
      <c r="D63" s="38">
        <f>COUNTIF('PF64'!V10:V73,"PWM0_0")</f>
        <v>0</v>
      </c>
      <c r="E63" s="38">
        <f>COUNTIF('PF64'!V10:V73,"PWM0_1")</f>
        <v>0</v>
      </c>
      <c r="F63" s="38">
        <f>COUNTIF('PF64'!V10:V73,"PWM0_2")</f>
        <v>0</v>
      </c>
      <c r="G63" s="38">
        <f>COUNTIF('PF64'!V10:V73,"PWM0_3")</f>
        <v>0</v>
      </c>
      <c r="H63" s="38">
        <f>COUNTIF('PF64'!V10:V73,"PWM0_4")</f>
        <v>0</v>
      </c>
      <c r="I63" s="38">
        <f>COUNTIF('PF64'!V10:V73,"PWM0_5")</f>
        <v>0</v>
      </c>
      <c r="J63" s="38">
        <f>COUNTIF('PF64'!V10:V73,"PWM0_6")</f>
        <v>0</v>
      </c>
      <c r="K63" s="38">
        <f>COUNTIF('PF64'!V10:V73,"PWM0_7")</f>
        <v>0</v>
      </c>
      <c r="L63" s="38">
        <f>COUNTIF('PF64'!V10:V73,"PWM0_8")</f>
        <v>0</v>
      </c>
      <c r="M63" s="38">
        <f>COUNTIF('PF64'!V10:V73,"PWM0_9")</f>
        <v>0</v>
      </c>
      <c r="N63" s="38">
        <f>COUNTIF('PF64'!V10:V73,"PWM0_10")</f>
        <v>0</v>
      </c>
      <c r="O63" s="38">
        <f>COUNTIF('PF64'!V10:V73,"PWM0_11")</f>
        <v>0</v>
      </c>
      <c r="P63" s="38">
        <f>COUNTIF('PF64'!V10:V73,"PWM0_12")</f>
        <v>0</v>
      </c>
      <c r="Q63" s="38">
        <f>COUNTIF('PF64'!V10:V73,"PWM0_13")</f>
        <v>0</v>
      </c>
      <c r="R63" s="38">
        <f>COUNTIF('PF64'!V10:V73,"PWM0_14")</f>
        <v>0</v>
      </c>
      <c r="S63" s="38">
        <f>COUNTIF('PF64'!V10:V73,"PWM0_15")</f>
        <v>0</v>
      </c>
      <c r="T63" s="38">
        <f>COUNTIF('PF64'!V10:V73,"PWM0_16")</f>
        <v>0</v>
      </c>
      <c r="U63" s="38">
        <f>COUNTIF('PF64'!V10:V73,"PWM0_17")</f>
        <v>0</v>
      </c>
      <c r="V63" s="38">
        <f>COUNTIF('PF64'!V10:V73,"PWM0_18")</f>
        <v>0</v>
      </c>
      <c r="W63" s="38">
        <f>COUNTIF('PF64'!V10:V73,"PWM0_19")</f>
        <v>0</v>
      </c>
      <c r="X63" s="38">
        <f>COUNTIF('PF64'!V10:V73,"PWM0_20")</f>
        <v>0</v>
      </c>
      <c r="Y63" s="38">
        <f>COUNTIF('PF64'!V10:V73,"PWM0_21")</f>
        <v>0</v>
      </c>
      <c r="Z63" s="38">
        <f>COUNTIF('PF64'!V10:V73,"PWM0_22")</f>
        <v>0</v>
      </c>
      <c r="AA63" s="38">
        <f>COUNTIF('PF64'!V10:V73,"PWM0_23")</f>
        <v>0</v>
      </c>
      <c r="AB63" s="38">
        <f>COUNTIF('PF64'!V10:V73,"PWM0_24")</f>
        <v>0</v>
      </c>
      <c r="AC63" s="38">
        <f>COUNTIF('PF64'!V10:V73,"PWM0_25")</f>
        <v>0</v>
      </c>
      <c r="AD63" s="38">
        <f>COUNTIF('PF64'!V10:V73,"PWM0_26")</f>
        <v>0</v>
      </c>
      <c r="AE63" s="38">
        <f>COUNTIF('PF64'!V10:V73,"PWM0_27")</f>
        <v>0</v>
      </c>
      <c r="AF63" s="38">
        <f>COUNTIF('PF64'!V10:V73,"PWM0_28")</f>
        <v>0</v>
      </c>
      <c r="AG63" s="38">
        <f>COUNTIF('PF64'!V10:V73,"PWM0_29")</f>
        <v>0</v>
      </c>
      <c r="AH63" s="38">
        <f>COUNTIF('PF64'!V10:V73,"PWM0_30")</f>
        <v>0</v>
      </c>
      <c r="AI63" s="38">
        <f>COUNTIF('PF64'!V10:V73,"PWM0_31")</f>
        <v>0</v>
      </c>
      <c r="AJ63" s="38">
        <f>COUNTIF('PF64'!V10:V73,"PWM0_32")</f>
        <v>0</v>
      </c>
      <c r="AK63" s="38">
        <f>COUNTIF('PF64'!V10:V73,"PWM0_33")</f>
        <v>0</v>
      </c>
      <c r="AL63" s="38">
        <f>COUNTIF('PF64'!V10:V73,"PWM0_34")</f>
        <v>0</v>
      </c>
      <c r="AM63" s="38">
        <f>COUNTIF('PF64'!V10:V73,"PWM0_35")</f>
        <v>0</v>
      </c>
      <c r="AN63" s="38">
        <f>COUNTIF('PF64'!V10:V73,"PWM0_36")</f>
        <v>0</v>
      </c>
      <c r="AO63" s="38">
        <f>COUNTIF('PF64'!V10:V73,"PWM0_37")</f>
        <v>0</v>
      </c>
      <c r="AP63" s="38">
        <f>COUNTIF('PF64'!V10:V73,"PWM0_38")</f>
        <v>0</v>
      </c>
      <c r="AQ63" s="38">
        <f>COUNTIF('PF64'!V10:V73,"PWM0_39")</f>
        <v>0</v>
      </c>
      <c r="AR63" s="38">
        <f>COUNTIF('PF64'!V10:V73,"PWM0_40")</f>
        <v>0</v>
      </c>
      <c r="AS63" s="38">
        <f>COUNTIF('PF64'!V10:V73,"PWM0_41")</f>
        <v>0</v>
      </c>
      <c r="AT63" s="38">
        <f>COUNTIF('PF64'!V10:V73,"PWM0_42")</f>
        <v>0</v>
      </c>
      <c r="AU63" s="38">
        <f>COUNTIF('PF64'!V10:V73,"PWM0_43")</f>
        <v>0</v>
      </c>
      <c r="AV63" s="38">
        <f>COUNTIF('PF64'!V10:V73,"PWM0_44")</f>
        <v>0</v>
      </c>
      <c r="AW63" s="38">
        <f>COUNTIF('PF64'!V10:V73,"PWM0_45")</f>
        <v>0</v>
      </c>
      <c r="AX63" s="38">
        <f>COUNTIF('PF64'!V10:V73,"PWM0_46")</f>
        <v>0</v>
      </c>
      <c r="AY63" s="38">
        <f>COUNTIF('PF64'!V10:V73,"PWM0_47")</f>
        <v>0</v>
      </c>
      <c r="AZ63" s="38">
        <f>COUNTIF('PF64'!V10:V73,"PWM0_48")</f>
        <v>0</v>
      </c>
      <c r="BA63" s="38">
        <f>COUNTIF('PF64'!V10:V73,"PWM0_49")</f>
        <v>0</v>
      </c>
      <c r="BB63" s="38">
        <f>COUNTIF('PF64'!V10:V73,"PWM0_50")</f>
        <v>0</v>
      </c>
      <c r="BC63" s="38">
        <f>COUNTIF('PF64'!V10:V73,"PWM0_51")</f>
        <v>0</v>
      </c>
      <c r="BD63" s="38">
        <f>COUNTIF('PF64'!V10:V73,"PWM0_52")</f>
        <v>0</v>
      </c>
      <c r="BE63" s="38">
        <f>COUNTIF('PF64'!V10:V73,"PWM0_53")</f>
        <v>0</v>
      </c>
      <c r="BF63" s="38">
        <f>COUNTIF('PF64'!V10:V73,"PWM0_54")</f>
        <v>0</v>
      </c>
      <c r="BG63" s="38">
        <f>COUNTIF('PF64'!V10:V73,"PWM0_55")</f>
        <v>0</v>
      </c>
      <c r="BH63" s="38">
        <f>COUNTIF('PF64'!V10:V73,"PWM0_56")</f>
        <v>0</v>
      </c>
      <c r="BI63" s="38">
        <f>COUNTIF('PF64'!V10:V73,"PWM0_57")</f>
        <v>0</v>
      </c>
      <c r="BJ63" s="38">
        <f>COUNTIF('PF64'!V10:V73,"PWM0_58")</f>
        <v>0</v>
      </c>
      <c r="BK63" s="38">
        <f>COUNTIF('PF64'!V10:V73,"PWM0_59")</f>
        <v>0</v>
      </c>
      <c r="BL63" s="38">
        <f>COUNTIF('PF64'!V10:V73,"PWM0_60")</f>
        <v>0</v>
      </c>
      <c r="BM63" s="38">
        <f>COUNTIF('PF64'!V10:V73,"PWM0_61")</f>
        <v>0</v>
      </c>
      <c r="BN63" s="38">
        <f>COUNTIF('PF64'!V10:V73,"PWM0_62")</f>
        <v>0</v>
      </c>
    </row>
    <row r="64" spans="2:66" x14ac:dyDescent="0.55000000000000004">
      <c r="B64" s="127"/>
      <c r="C64" s="38" t="s">
        <v>1219</v>
      </c>
      <c r="D64" s="38">
        <f>COUNTIF('PF64'!V10:V73,"PWM0_0_N")</f>
        <v>0</v>
      </c>
      <c r="E64" s="38">
        <f>COUNTIF('PF64'!V10:V73,"PWM0_1_N")</f>
        <v>0</v>
      </c>
      <c r="F64" s="38">
        <f>COUNTIF('PF64'!V10:V73,"PWM0_2_N")</f>
        <v>0</v>
      </c>
      <c r="G64" s="38">
        <f>COUNTIF('PF64'!V10:V73,"PWM0_3_N")</f>
        <v>0</v>
      </c>
      <c r="H64" s="38">
        <f>COUNTIF('PF64'!V10:V73,"PWM0_4_N")</f>
        <v>0</v>
      </c>
      <c r="I64" s="38">
        <f>COUNTIF('PF64'!V10:V73,"PWM0_5_N")</f>
        <v>0</v>
      </c>
      <c r="J64" s="38">
        <f>COUNTIF('PF64'!V10:V73,"PWM0_6_N")</f>
        <v>0</v>
      </c>
      <c r="K64" s="38">
        <f>COUNTIF('PF64'!V10:V73,"PWM0_7_N")</f>
        <v>0</v>
      </c>
      <c r="L64" s="38">
        <f>COUNTIF('PF64'!V10:V73,"PWM0_8_N")</f>
        <v>0</v>
      </c>
      <c r="M64" s="38">
        <f>COUNTIF('PF64'!V10:V73,"PWM0_9_N")</f>
        <v>0</v>
      </c>
      <c r="N64" s="38">
        <f>COUNTIF('PF64'!V10:V73,"PWM0_10_N")</f>
        <v>0</v>
      </c>
      <c r="O64" s="38">
        <f>COUNTIF('PF64'!V10:V73,"PWM0_11_N")</f>
        <v>0</v>
      </c>
      <c r="P64" s="38">
        <f>COUNTIF('PF64'!V10:V73,"PWM0_12_N")</f>
        <v>0</v>
      </c>
      <c r="Q64" s="38">
        <f>COUNTIF('PF64'!V10:V73,"PWM0_13_N")</f>
        <v>0</v>
      </c>
      <c r="R64" s="38">
        <f>COUNTIF('PF64'!V10:V73,"PWM0_14_N")</f>
        <v>0</v>
      </c>
      <c r="S64" s="38">
        <f>COUNTIF('PF64'!V10:V73,"PWM0_15_N")</f>
        <v>0</v>
      </c>
      <c r="T64" s="38">
        <f>COUNTIF('PF64'!V10:V73,"PWM0_16_N")</f>
        <v>0</v>
      </c>
      <c r="U64" s="38">
        <f>COUNTIF('PF64'!V10:V73,"PWM0_17_N")</f>
        <v>0</v>
      </c>
      <c r="V64" s="38">
        <f>COUNTIF('PF64'!V10:V73,"PWM0_18_N")</f>
        <v>0</v>
      </c>
      <c r="W64" s="38">
        <f>COUNTIF('PF64'!V10:V73,"PWM0_19_N")</f>
        <v>0</v>
      </c>
      <c r="X64" s="38">
        <f>COUNTIF('PF64'!V10:V73,"PWM0_20_N")</f>
        <v>0</v>
      </c>
      <c r="Y64" s="38">
        <f>COUNTIF('PF64'!V10:V73,"PWM0_21_N")</f>
        <v>0</v>
      </c>
      <c r="Z64" s="38">
        <f>COUNTIF('PF64'!V10:V73,"PWM0_22_N")</f>
        <v>0</v>
      </c>
      <c r="AA64" s="38">
        <f>COUNTIF('PF64'!V10:V73,"PWM0_23_N")</f>
        <v>0</v>
      </c>
      <c r="AB64" s="38">
        <f>COUNTIF('PF64'!V10:V73,"PWM0_24_N")</f>
        <v>0</v>
      </c>
      <c r="AC64" s="38">
        <f>COUNTIF('PF64'!V10:V73,"PWM0_25_N")</f>
        <v>0</v>
      </c>
      <c r="AD64" s="38">
        <f>COUNTIF('PF64'!V10:V73,"PWM0_26_N")</f>
        <v>0</v>
      </c>
      <c r="AE64" s="38">
        <f>COUNTIF('PF64'!V10:V73,"PWM0_27_N")</f>
        <v>0</v>
      </c>
      <c r="AF64" s="38">
        <f>COUNTIF('PF64'!V10:V73,"PWM0_28_N")</f>
        <v>0</v>
      </c>
      <c r="AG64" s="38">
        <f>COUNTIF('PF64'!V10:V73,"PWM0_29_N")</f>
        <v>0</v>
      </c>
      <c r="AH64" s="38">
        <f>COUNTIF('PF64'!V10:V73,"PWM0_30_N")</f>
        <v>0</v>
      </c>
      <c r="AI64" s="38">
        <f>COUNTIF('PF64'!V10:V73,"PWM0_31_N")</f>
        <v>0</v>
      </c>
      <c r="AJ64" s="38">
        <f>COUNTIF('PF64'!V10:V73,"PWM0_32_N")</f>
        <v>0</v>
      </c>
      <c r="AK64" s="38">
        <f>COUNTIF('PF64'!V10:V73,"PWM0_33_N")</f>
        <v>0</v>
      </c>
      <c r="AL64" s="38">
        <f>COUNTIF('PF64'!V10:V73,"PWM0_34_N")</f>
        <v>0</v>
      </c>
      <c r="AM64" s="38">
        <f>COUNTIF('PF64'!V10:V73,"PWM0_35_N")</f>
        <v>0</v>
      </c>
      <c r="AN64" s="38">
        <f>COUNTIF('PF64'!V10:V73,"PWM0_36_N")</f>
        <v>0</v>
      </c>
      <c r="AO64" s="38">
        <f>COUNTIF('PF64'!V10:V73,"PWM0_37_N")</f>
        <v>0</v>
      </c>
      <c r="AP64" s="38">
        <f>COUNTIF('PF64'!V10:V73,"PWM0_38_N")</f>
        <v>0</v>
      </c>
      <c r="AQ64" s="38">
        <f>COUNTIF('PF64'!V10:V73,"PWM0_39_N")</f>
        <v>0</v>
      </c>
      <c r="AR64" s="38">
        <f>COUNTIF('PF64'!V10:V73,"PWM0_40_N")</f>
        <v>0</v>
      </c>
      <c r="AS64" s="38">
        <f>COUNTIF('PF64'!V10:V73,"PWM0_41_N")</f>
        <v>0</v>
      </c>
      <c r="AT64" s="38">
        <f>COUNTIF('PF64'!V10:V73,"PWM0_42_N")</f>
        <v>0</v>
      </c>
      <c r="AU64" s="38">
        <f>COUNTIF('PF64'!V10:V73,"PWM0_43_N")</f>
        <v>0</v>
      </c>
      <c r="AV64" s="38">
        <f>COUNTIF('PF64'!V10:V73,"PWM0_44_N")</f>
        <v>0</v>
      </c>
      <c r="AW64" s="38">
        <f>COUNTIF('PF64'!V10:V73,"PWM0_45_N")</f>
        <v>0</v>
      </c>
      <c r="AX64" s="38">
        <f>COUNTIF('PF64'!V10:V73,"PWM0_46_N")</f>
        <v>0</v>
      </c>
      <c r="AY64" s="38">
        <f>COUNTIF('PF64'!V10:V73,"PWM0_47_N")</f>
        <v>0</v>
      </c>
      <c r="AZ64" s="38">
        <f>COUNTIF('PF64'!V10:V73,"PWM0_48_N")</f>
        <v>0</v>
      </c>
      <c r="BA64" s="38">
        <f>COUNTIF('PF64'!V10:V73,"PWM0_49_N")</f>
        <v>0</v>
      </c>
      <c r="BB64" s="38">
        <f>COUNTIF('PF64'!V10:V73,"PWM0_50_N")</f>
        <v>0</v>
      </c>
      <c r="BC64" s="38">
        <f>COUNTIF('PF64'!V10:V73,"PWM0_51_N")</f>
        <v>0</v>
      </c>
      <c r="BD64" s="38">
        <f>COUNTIF('PF64'!V10:V73,"PWM0_52_N")</f>
        <v>0</v>
      </c>
      <c r="BE64" s="38">
        <f>COUNTIF('PF64'!V10:V73,"PWM0_53_N")</f>
        <v>0</v>
      </c>
      <c r="BF64" s="38">
        <f>COUNTIF('PF64'!V10:V73,"PWM0_54_N")</f>
        <v>0</v>
      </c>
      <c r="BG64" s="38">
        <f>COUNTIF('PF64'!V10:V73,"PWM0_55_N")</f>
        <v>0</v>
      </c>
      <c r="BH64" s="38">
        <f>COUNTIF('PF64'!V10:V73,"PWM0_56_N")</f>
        <v>0</v>
      </c>
      <c r="BI64" s="38">
        <f>COUNTIF('PF64'!V10:V73,"PWM0_57_N")</f>
        <v>0</v>
      </c>
      <c r="BJ64" s="38">
        <f>COUNTIF('PF64'!V10:V73,"PWM0_58_N")</f>
        <v>0</v>
      </c>
      <c r="BK64" s="38">
        <f>COUNTIF('PF64'!V10:V73,"PWM0_59_N")</f>
        <v>0</v>
      </c>
      <c r="BL64" s="38">
        <f>COUNTIF('PF64'!V10:V73,"PWM0_60_N")</f>
        <v>0</v>
      </c>
      <c r="BM64" s="38">
        <f>COUNTIF('PF64'!V10:V73,"PWM0_61_N")</f>
        <v>0</v>
      </c>
      <c r="BN64" s="38">
        <f>COUNTIF('PF64'!V10:V73,"PWM0_62_N")</f>
        <v>0</v>
      </c>
    </row>
    <row r="65" spans="2:66" x14ac:dyDescent="0.55000000000000004">
      <c r="B65" s="126" t="s">
        <v>418</v>
      </c>
      <c r="C65" s="38" t="s">
        <v>410</v>
      </c>
      <c r="D65" s="38">
        <f>COUNTIF('PF64'!V10:V73,"TC0_0_TR0")</f>
        <v>0</v>
      </c>
      <c r="E65" s="38">
        <f>COUNTIF('PF64'!V10:V73,"TC0_1_TR0")</f>
        <v>0</v>
      </c>
      <c r="F65" s="38">
        <f>COUNTIF('PF64'!V10:V73,"TC0_2_TR0")</f>
        <v>0</v>
      </c>
      <c r="G65" s="38">
        <f>COUNTIF('PF64'!V10:V73,"TC0_3_TR0")</f>
        <v>0</v>
      </c>
      <c r="H65" s="38">
        <f>COUNTIF('PF64'!V10:V73,"TC0_4_TR0")</f>
        <v>0</v>
      </c>
      <c r="I65" s="38">
        <f>COUNTIF('PF64'!V10:V73,"TC0_5_TR0")</f>
        <v>0</v>
      </c>
      <c r="J65" s="38">
        <f>COUNTIF('PF64'!V10:V73,"TC0_6_TR0")</f>
        <v>0</v>
      </c>
      <c r="K65" s="38">
        <f>COUNTIF('PF64'!V10:V73,"TC0_7_TR0")</f>
        <v>0</v>
      </c>
      <c r="L65" s="38">
        <f>COUNTIF('PF64'!V10:V73,"TC0_8_TR0")</f>
        <v>0</v>
      </c>
      <c r="M65" s="38">
        <f>COUNTIF('PF64'!V10:V73,"TC0_9_TR0")</f>
        <v>0</v>
      </c>
      <c r="N65" s="38">
        <f>COUNTIF('PF64'!V10:V73,"TC0_10_TR0")</f>
        <v>0</v>
      </c>
      <c r="O65" s="38">
        <f>COUNTIF('PF64'!V10:V73,"TC0_11_TR0")</f>
        <v>0</v>
      </c>
      <c r="P65" s="38">
        <f>COUNTIF('PF64'!V10:V73,"TC0_12_TR0")</f>
        <v>0</v>
      </c>
      <c r="Q65" s="38">
        <f>COUNTIF('PF64'!V10:V73,"TC0_13_TR0")</f>
        <v>0</v>
      </c>
      <c r="R65" s="38">
        <f>COUNTIF('PF64'!V10:V73,"TC0_14_TR0")</f>
        <v>0</v>
      </c>
      <c r="S65" s="38">
        <f>COUNTIF('PF64'!V10:V73,"TC0_15_TR0")</f>
        <v>0</v>
      </c>
      <c r="T65" s="38">
        <f>COUNTIF('PF64'!V10:V73,"TC0_16_TR0")</f>
        <v>0</v>
      </c>
      <c r="U65" s="38">
        <f>COUNTIF('PF64'!V10:V73,"TC0_17_TR0")</f>
        <v>0</v>
      </c>
      <c r="V65" s="38">
        <f>COUNTIF('PF64'!V10:V73,"TC0_18_TR0")</f>
        <v>0</v>
      </c>
      <c r="W65" s="38">
        <f>COUNTIF('PF64'!V10:V73,"TC0_19_TR0")</f>
        <v>0</v>
      </c>
      <c r="X65" s="38">
        <f>COUNTIF('PF64'!V10:V73,"TC0_20_TR0")</f>
        <v>0</v>
      </c>
      <c r="Y65" s="38">
        <f>COUNTIF('PF64'!V10:V73,"TC0_21_TR0")</f>
        <v>0</v>
      </c>
      <c r="Z65" s="38">
        <f>COUNTIF('PF64'!V10:V73,"TC0_22_TR0")</f>
        <v>0</v>
      </c>
      <c r="AA65" s="38">
        <f>COUNTIF('PF64'!V10:V73,"TC0_23_TR0")</f>
        <v>0</v>
      </c>
      <c r="AB65" s="38">
        <f>COUNTIF('PF64'!V10:V73,"TC0_24_TR0")</f>
        <v>0</v>
      </c>
      <c r="AC65" s="38">
        <f>COUNTIF('PF64'!V10:V73,"TC0_25_TR0")</f>
        <v>0</v>
      </c>
      <c r="AD65" s="38">
        <f>COUNTIF('PF64'!V10:V73,"TC0_26_TR0")</f>
        <v>0</v>
      </c>
      <c r="AE65" s="38">
        <f>COUNTIF('PF64'!V10:V73,"TC0_27_TR0")</f>
        <v>0</v>
      </c>
      <c r="AF65" s="38">
        <f>COUNTIF('PF64'!V10:V73,"TC0_28_TR0")</f>
        <v>0</v>
      </c>
      <c r="AG65" s="38">
        <f>COUNTIF('PF64'!V10:V73,"TC0_29_TR0")</f>
        <v>0</v>
      </c>
      <c r="AH65" s="38">
        <f>COUNTIF('PF64'!V10:V73,"TC0_30_TR0")</f>
        <v>0</v>
      </c>
      <c r="AI65" s="38">
        <f>COUNTIF('PF64'!V10:V73,"TC0_31_TR0")</f>
        <v>0</v>
      </c>
      <c r="AJ65" s="38">
        <f>COUNTIF('PF64'!V10:V73,"TC0_32_TR0")</f>
        <v>0</v>
      </c>
      <c r="AK65" s="38">
        <f>COUNTIF('PF64'!V10:V73,"TC0_33_TR0")</f>
        <v>0</v>
      </c>
      <c r="AL65" s="38">
        <f>COUNTIF('PF64'!V10:V73,"TC0_34_TR0")</f>
        <v>0</v>
      </c>
      <c r="AM65" s="38">
        <f>COUNTIF('PF64'!V10:V73,"TC0_35_TR0")</f>
        <v>0</v>
      </c>
      <c r="AN65" s="38">
        <f>COUNTIF('PF64'!V10:V73,"TC0_36_TR0")</f>
        <v>0</v>
      </c>
      <c r="AO65" s="38">
        <f>COUNTIF('PF64'!V10:V73,"TC0_37_TR0")</f>
        <v>0</v>
      </c>
      <c r="AP65" s="38">
        <f>COUNTIF('PF64'!V10:V73,"TC0_38_TR0")</f>
        <v>0</v>
      </c>
      <c r="AQ65" s="38">
        <f>COUNTIF('PF64'!V10:V73,"TC0_39_TR0")</f>
        <v>0</v>
      </c>
      <c r="AR65" s="38">
        <f>COUNTIF('PF64'!V10:V73,"TC0_40_TR0")</f>
        <v>0</v>
      </c>
      <c r="AS65" s="38">
        <f>COUNTIF('PF64'!V10:V73,"TC0_41_TR0")</f>
        <v>0</v>
      </c>
      <c r="AT65" s="38">
        <f>COUNTIF('PF64'!V10:V73,"TC0_42_TR0")</f>
        <v>0</v>
      </c>
      <c r="AU65" s="38">
        <f>COUNTIF('PF64'!V10:V73,"TC0_43_TR0")</f>
        <v>0</v>
      </c>
      <c r="AV65" s="38">
        <f>COUNTIF('PF64'!V10:V73,"TC0_44_TR0")</f>
        <v>0</v>
      </c>
      <c r="AW65" s="38">
        <f>COUNTIF('PF64'!V10:V73,"TC0_45_TR0")</f>
        <v>0</v>
      </c>
      <c r="AX65" s="38">
        <f>COUNTIF('PF64'!V10:V73,"TC0_46_TR0")</f>
        <v>0</v>
      </c>
      <c r="AY65" s="38">
        <f>COUNTIF('PF64'!V10:V73,"TC0_47_TR0")</f>
        <v>0</v>
      </c>
      <c r="AZ65" s="38">
        <f>COUNTIF('PF64'!V10:V73,"TC0_48_TR0")</f>
        <v>0</v>
      </c>
      <c r="BA65" s="38">
        <f>COUNTIF('PF64'!V10:V73,"TC0_49_TR0")</f>
        <v>0</v>
      </c>
      <c r="BB65" s="38">
        <f>COUNTIF('PF64'!V10:V73,"TC0_50_TR0")</f>
        <v>0</v>
      </c>
      <c r="BC65" s="38">
        <f>COUNTIF('PF64'!V10:V73,"TC0_51_TR0")</f>
        <v>0</v>
      </c>
      <c r="BD65" s="38">
        <f>COUNTIF('PF64'!V10:V73,"TC0_52_TR0")</f>
        <v>0</v>
      </c>
      <c r="BE65" s="38">
        <f>COUNTIF('PF64'!V10:V73,"TC0_53_TR0")</f>
        <v>0</v>
      </c>
      <c r="BF65" s="38">
        <f>COUNTIF('PF64'!V10:V73,"TC0_54_TR0")</f>
        <v>0</v>
      </c>
      <c r="BG65" s="38">
        <f>COUNTIF('PF64'!V10:V73,"TC0_55_TR0")</f>
        <v>0</v>
      </c>
      <c r="BH65" s="38">
        <f>COUNTIF('PF64'!V10:V73,"TC0_56_TR0")</f>
        <v>0</v>
      </c>
      <c r="BI65" s="38">
        <f>COUNTIF('PF64'!V10:V73,"TC0_57_TR0")</f>
        <v>0</v>
      </c>
      <c r="BJ65" s="38">
        <f>COUNTIF('PF64'!V10:V73,"TC0_58_TR0")</f>
        <v>0</v>
      </c>
      <c r="BK65" s="38">
        <f>COUNTIF('PF64'!V10:V73,"TC0_59_TR0")</f>
        <v>0</v>
      </c>
      <c r="BL65" s="38">
        <f>COUNTIF('PF64'!V10:V73,"TC0_60_TR0")</f>
        <v>0</v>
      </c>
      <c r="BM65" s="38">
        <f>COUNTIF('PF64'!V10:V73,"TC0_61_TR0")</f>
        <v>0</v>
      </c>
      <c r="BN65" s="38">
        <f>COUNTIF('PF64'!V10:V73,"TC0_62_TR0")</f>
        <v>0</v>
      </c>
    </row>
    <row r="66" spans="2:66" x14ac:dyDescent="0.55000000000000004">
      <c r="B66" s="127"/>
      <c r="C66" s="38" t="s">
        <v>411</v>
      </c>
      <c r="D66" s="38">
        <f>COUNTIF('PF64'!V10:V73,"TC0_0_TR1")</f>
        <v>0</v>
      </c>
      <c r="E66" s="38">
        <f>COUNTIF('PF64'!V10:V73,"TC0_1_TR1")</f>
        <v>0</v>
      </c>
      <c r="F66" s="38">
        <f>COUNTIF('PF64'!V10:V73,"TC0_2_TR1")</f>
        <v>0</v>
      </c>
      <c r="G66" s="38">
        <f>COUNTIF('PF64'!V10:V73,"TC0_3_TR1")</f>
        <v>0</v>
      </c>
      <c r="H66" s="38">
        <f>COUNTIF('PF64'!V10:V73,"TC0_4_TR1")</f>
        <v>0</v>
      </c>
      <c r="I66" s="38">
        <f>COUNTIF('PF64'!V10:V73,"TC0_5_TR1")</f>
        <v>0</v>
      </c>
      <c r="J66" s="38">
        <f>COUNTIF('PF64'!V10:V73,"TC0_6_TR1")</f>
        <v>0</v>
      </c>
      <c r="K66" s="38">
        <f>COUNTIF('PF64'!V10:V73,"TC0_7_TR1")</f>
        <v>0</v>
      </c>
      <c r="L66" s="38">
        <f>COUNTIF('PF64'!V10:V73,"TC0_8_TR1")</f>
        <v>0</v>
      </c>
      <c r="M66" s="38">
        <f>COUNTIF('PF64'!V10:V73,"TC0_9_TR1")</f>
        <v>0</v>
      </c>
      <c r="N66" s="38">
        <f>COUNTIF('PF64'!V10:V73,"TC0_10_TR1")</f>
        <v>0</v>
      </c>
      <c r="O66" s="38">
        <f>COUNTIF('PF64'!V10:V73,"TC0_11_TR1")</f>
        <v>0</v>
      </c>
      <c r="P66" s="38">
        <f>COUNTIF('PF64'!V10:V73,"TC0_12_TR1")</f>
        <v>0</v>
      </c>
      <c r="Q66" s="38">
        <f>COUNTIF('PF64'!V10:V73,"TC0_13_TR1")</f>
        <v>0</v>
      </c>
      <c r="R66" s="38">
        <f>COUNTIF('PF64'!V10:V73,"TC0_14_TR1")</f>
        <v>0</v>
      </c>
      <c r="S66" s="38">
        <f>COUNTIF('PF64'!V10:V73,"TC0_15_TR1")</f>
        <v>0</v>
      </c>
      <c r="T66" s="38">
        <f>COUNTIF('PF64'!V10:V73,"TC0_16_TR1")</f>
        <v>0</v>
      </c>
      <c r="U66" s="38">
        <f>COUNTIF('PF64'!V10:V73,"TC0_17_TR1")</f>
        <v>0</v>
      </c>
      <c r="V66" s="38">
        <f>COUNTIF('PF64'!V10:V73,"TC0_18_TR1")</f>
        <v>0</v>
      </c>
      <c r="W66" s="38">
        <f>COUNTIF('PF64'!V10:V73,"TC0_19_TR1")</f>
        <v>0</v>
      </c>
      <c r="X66" s="38">
        <f>COUNTIF('PF64'!V10:V73,"TC0_20_TR1")</f>
        <v>0</v>
      </c>
      <c r="Y66" s="38">
        <f>COUNTIF('PF64'!V10:V73,"TC0_21_TR1")</f>
        <v>0</v>
      </c>
      <c r="Z66" s="38">
        <f>COUNTIF('PF64'!V10:V73,"TC0_22_TR1")</f>
        <v>0</v>
      </c>
      <c r="AA66" s="38">
        <f>COUNTIF('PF64'!V10:V73,"TC0_23_TR1")</f>
        <v>0</v>
      </c>
      <c r="AB66" s="38">
        <f>COUNTIF('PF64'!V10:V73,"TC0_24_TR1")</f>
        <v>0</v>
      </c>
      <c r="AC66" s="38">
        <f>COUNTIF('PF64'!V10:V73,"TC0_25_TR1")</f>
        <v>0</v>
      </c>
      <c r="AD66" s="38">
        <f>COUNTIF('PF64'!V10:V73,"TC0_26_TR1")</f>
        <v>0</v>
      </c>
      <c r="AE66" s="38">
        <f>COUNTIF('PF64'!V10:V73,"TC0_27_TR1")</f>
        <v>0</v>
      </c>
      <c r="AF66" s="38">
        <f>COUNTIF('PF64'!V10:V73,"TC0_28_TR1")</f>
        <v>0</v>
      </c>
      <c r="AG66" s="38">
        <f>COUNTIF('PF64'!V10:V73,"TC0_29_TR1")</f>
        <v>0</v>
      </c>
      <c r="AH66" s="38">
        <f>COUNTIF('PF64'!V10:V73,"TC0_30_TR1")</f>
        <v>0</v>
      </c>
      <c r="AI66" s="38">
        <f>COUNTIF('PF64'!V10:V73,"TC0_31_TR1")</f>
        <v>0</v>
      </c>
      <c r="AJ66" s="38">
        <f>COUNTIF('PF64'!V10:V73,"TC0_32_TR1")</f>
        <v>0</v>
      </c>
      <c r="AK66" s="38">
        <f>COUNTIF('PF64'!V10:V73,"TC0_33_TR1")</f>
        <v>0</v>
      </c>
      <c r="AL66" s="38">
        <f>COUNTIF('PF64'!V10:V73,"TC0_34_TR1")</f>
        <v>0</v>
      </c>
      <c r="AM66" s="38">
        <f>COUNTIF('PF64'!V10:V73,"TC0_35_TR1")</f>
        <v>0</v>
      </c>
      <c r="AN66" s="38">
        <f>COUNTIF('PF64'!V10:V73,"TC0_36_TR1")</f>
        <v>0</v>
      </c>
      <c r="AO66" s="38">
        <f>COUNTIF('PF64'!V10:V73,"TC0_37_TR1")</f>
        <v>0</v>
      </c>
      <c r="AP66" s="38">
        <f>COUNTIF('PF64'!V10:V73,"TC0_38_TR1")</f>
        <v>0</v>
      </c>
      <c r="AQ66" s="38">
        <f>COUNTIF('PF64'!V10:V73,"TC0_39_TR1")</f>
        <v>0</v>
      </c>
      <c r="AR66" s="38">
        <f>COUNTIF('PF64'!V10:V73,"TC0_40_TR1")</f>
        <v>0</v>
      </c>
      <c r="AS66" s="38">
        <f>COUNTIF('PF64'!V10:V73,"TC0_41_TR1")</f>
        <v>0</v>
      </c>
      <c r="AT66" s="38">
        <f>COUNTIF('PF64'!V10:V73,"TC0_42_TR1")</f>
        <v>0</v>
      </c>
      <c r="AU66" s="38">
        <f>COUNTIF('PF64'!V10:V73,"TC0_43_TR1")</f>
        <v>0</v>
      </c>
      <c r="AV66" s="38">
        <f>COUNTIF('PF64'!V10:V73,"TC0_44_TR1")</f>
        <v>0</v>
      </c>
      <c r="AW66" s="38">
        <f>COUNTIF('PF64'!V10:V73,"TC0_45_TR1")</f>
        <v>0</v>
      </c>
      <c r="AX66" s="38">
        <f>COUNTIF('PF64'!V10:V73,"TC0_46_TR1")</f>
        <v>0</v>
      </c>
      <c r="AY66" s="38">
        <f>COUNTIF('PF64'!V10:V73,"TC0_47_TR1")</f>
        <v>0</v>
      </c>
      <c r="AZ66" s="38">
        <f>COUNTIF('PF64'!V10:V73,"TC0_48_TR1")</f>
        <v>0</v>
      </c>
      <c r="BA66" s="38">
        <f>COUNTIF('PF64'!V10:V73,"TC0_49_TR1")</f>
        <v>0</v>
      </c>
      <c r="BB66" s="38">
        <f>COUNTIF('PF64'!V10:V73,"TC0_50_TR1")</f>
        <v>0</v>
      </c>
      <c r="BC66" s="38">
        <f>COUNTIF('PF64'!V10:V73,"TC0_51_TR1")</f>
        <v>0</v>
      </c>
      <c r="BD66" s="38">
        <f>COUNTIF('PF64'!V10:V73,"TC0_52_TR1")</f>
        <v>0</v>
      </c>
      <c r="BE66" s="38">
        <f>COUNTIF('PF64'!V10:V73,"TC0_53_TR1")</f>
        <v>0</v>
      </c>
      <c r="BF66" s="38">
        <f>COUNTIF('PF64'!V10:V73,"TC0_54_TR1")</f>
        <v>0</v>
      </c>
      <c r="BG66" s="38">
        <f>COUNTIF('PF64'!V10:V73,"TC0_55_TR1")</f>
        <v>0</v>
      </c>
      <c r="BH66" s="38">
        <f>COUNTIF('PF64'!V10:V73,"TC0_56_TR1")</f>
        <v>0</v>
      </c>
      <c r="BI66" s="38">
        <f>COUNTIF('PF64'!V10:V73,"TC0_57_TR1")</f>
        <v>0</v>
      </c>
      <c r="BJ66" s="38">
        <f>COUNTIF('PF64'!V10:V73,"TC0_58_TR1")</f>
        <v>0</v>
      </c>
      <c r="BK66" s="38">
        <f>COUNTIF('PF64'!V10:V73,"TC0_59_TR1")</f>
        <v>0</v>
      </c>
      <c r="BL66" s="38">
        <f>COUNTIF('PF64'!V10:V73,"TC0_60_TR1")</f>
        <v>0</v>
      </c>
      <c r="BM66" s="38">
        <f>COUNTIF('PF64'!V10:V73,"TC0_61_TR1")</f>
        <v>0</v>
      </c>
      <c r="BN66" s="38">
        <f>COUNTIF('PF64'!V10:V73,"TC0_62_TR1")</f>
        <v>0</v>
      </c>
    </row>
    <row r="68" spans="2:66" x14ac:dyDescent="0.55000000000000004">
      <c r="B68" s="128" t="s">
        <v>1221</v>
      </c>
      <c r="C68" s="129"/>
      <c r="D68" s="37" t="s">
        <v>420</v>
      </c>
      <c r="E68" s="37" t="s">
        <v>421</v>
      </c>
      <c r="F68" s="37" t="s">
        <v>422</v>
      </c>
      <c r="G68" s="37" t="s">
        <v>423</v>
      </c>
      <c r="H68" s="37" t="s">
        <v>424</v>
      </c>
      <c r="I68" s="37" t="s">
        <v>425</v>
      </c>
      <c r="J68" s="37" t="s">
        <v>426</v>
      </c>
      <c r="K68" s="37" t="s">
        <v>427</v>
      </c>
      <c r="L68" s="37" t="s">
        <v>428</v>
      </c>
      <c r="M68" s="37" t="s">
        <v>429</v>
      </c>
      <c r="N68" s="37" t="s">
        <v>431</v>
      </c>
      <c r="O68" s="37" t="s">
        <v>432</v>
      </c>
      <c r="P68" s="60"/>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row>
    <row r="69" spans="2:66" x14ac:dyDescent="0.55000000000000004">
      <c r="B69" s="126" t="s">
        <v>417</v>
      </c>
      <c r="C69" s="38" t="s">
        <v>409</v>
      </c>
      <c r="D69" s="38">
        <f>COUNTIF('PF64'!V10:V73,"PWM0_M_0")</f>
        <v>0</v>
      </c>
      <c r="E69" s="38">
        <f>COUNTIF('PF64'!V10:V73,"PWM0_M_1")</f>
        <v>0</v>
      </c>
      <c r="F69" s="38">
        <f>COUNTIF('PF64'!V10:V73,"PWM0_M_2")</f>
        <v>0</v>
      </c>
      <c r="G69" s="38">
        <f>COUNTIF('PF64'!V10:V73,"PWM0_M_3")</f>
        <v>0</v>
      </c>
      <c r="H69" s="38">
        <f>COUNTIF('PF64'!V10:V73,"PWM0_M_4")</f>
        <v>0</v>
      </c>
      <c r="I69" s="38">
        <f>COUNTIF('PF64'!V10:V73,"PWM0_M_5")</f>
        <v>0</v>
      </c>
      <c r="J69" s="38">
        <f>COUNTIF('PF64'!V10:V73,"PWM0_M_6")</f>
        <v>0</v>
      </c>
      <c r="K69" s="38">
        <f>COUNTIF('PF64'!V10:V73,"PWM0_M_7")</f>
        <v>0</v>
      </c>
      <c r="L69" s="38">
        <f>COUNTIF('PF64'!V10:V73,"PWM0_M_8")</f>
        <v>0</v>
      </c>
      <c r="M69" s="38">
        <f>COUNTIF('PF64'!V10:V73,"PWM0_M_9")</f>
        <v>0</v>
      </c>
      <c r="N69" s="38">
        <f>COUNTIF('PF64'!V10:V73,"PWM0_M_10")</f>
        <v>0</v>
      </c>
      <c r="O69" s="38">
        <f>COUNTIF('PF64'!V10:V73,"PWM0_M_11")</f>
        <v>0</v>
      </c>
      <c r="P69" s="61"/>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row>
    <row r="70" spans="2:66" x14ac:dyDescent="0.55000000000000004">
      <c r="B70" s="127"/>
      <c r="C70" s="38" t="s">
        <v>1219</v>
      </c>
      <c r="D70" s="38">
        <f>COUNTIF('PF64'!V10:V73,"PWM0_M_0_N")</f>
        <v>0</v>
      </c>
      <c r="E70" s="38">
        <f>COUNTIF('PF64'!V10:V73,"PWM0_M_1_N")</f>
        <v>0</v>
      </c>
      <c r="F70" s="38">
        <f>COUNTIF('PF64'!V10:V73,"PWM0_M_2_N")</f>
        <v>0</v>
      </c>
      <c r="G70" s="38">
        <f>COUNTIF('PF64'!V10:V73,"PWM0_M_3_N")</f>
        <v>0</v>
      </c>
      <c r="H70" s="38">
        <f>COUNTIF('PF64'!V10:V73,"PWM0_M_4_N")</f>
        <v>0</v>
      </c>
      <c r="I70" s="38">
        <f>COUNTIF('PF64'!V10:V73,"PWM0_M_5_N")</f>
        <v>0</v>
      </c>
      <c r="J70" s="38">
        <f>COUNTIF('PF64'!V10:V73,"PWM0_M_6_N")</f>
        <v>0</v>
      </c>
      <c r="K70" s="38">
        <f>COUNTIF('PF64'!V10:V73,"PWM0_M_7_N")</f>
        <v>0</v>
      </c>
      <c r="L70" s="38">
        <f>COUNTIF('PF64'!V10:V73,"PWM0_M_8_N")</f>
        <v>0</v>
      </c>
      <c r="M70" s="38">
        <f>COUNTIF('PF64'!V10:V73,"PWM0_M_9_N")</f>
        <v>0</v>
      </c>
      <c r="N70" s="38">
        <f>COUNTIF('PF64'!V10:V73,"PWM0_M_10_N")</f>
        <v>0</v>
      </c>
      <c r="O70" s="38">
        <f>COUNTIF('PF64'!V10:V73,"PWM0_M_11_N")</f>
        <v>0</v>
      </c>
      <c r="P70" s="61"/>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row>
    <row r="71" spans="2:66" x14ac:dyDescent="0.55000000000000004">
      <c r="B71" s="126" t="s">
        <v>418</v>
      </c>
      <c r="C71" s="38" t="s">
        <v>410</v>
      </c>
      <c r="D71" s="38">
        <f>COUNTIF('PF64'!V10:V73,"TC0_M_0_TR0")</f>
        <v>0</v>
      </c>
      <c r="E71" s="38">
        <f>COUNTIF('PF64'!V10:V73,"TC0_M_1_TR0")</f>
        <v>0</v>
      </c>
      <c r="F71" s="38">
        <f>COUNTIF('PF64'!V10:V73,"TC0_M_2_TR0")</f>
        <v>0</v>
      </c>
      <c r="G71" s="38">
        <f>COUNTIF('PF64'!V10:V73,"TC0_M_3_TR0")</f>
        <v>0</v>
      </c>
      <c r="H71" s="38">
        <f>COUNTIF('PF64'!V10:V73,"TC0_M_4_TR0")</f>
        <v>0</v>
      </c>
      <c r="I71" s="38">
        <f>COUNTIF('PF64'!V10:V73,"TC0_M_5_TR0")</f>
        <v>0</v>
      </c>
      <c r="J71" s="38">
        <f>COUNTIF('PF64'!V10:V73,"TC0_M_6_TR0")</f>
        <v>0</v>
      </c>
      <c r="K71" s="38">
        <f>COUNTIF('PF64'!V10:V73,"TC0_M_7_TR0")</f>
        <v>0</v>
      </c>
      <c r="L71" s="38">
        <f>COUNTIF('PF64'!V10:V73,"TC0_M_8_TR0")</f>
        <v>0</v>
      </c>
      <c r="M71" s="38">
        <f>COUNTIF('PF64'!V10:V73,"TC0_M_9_TR0")</f>
        <v>0</v>
      </c>
      <c r="N71" s="38">
        <f>COUNTIF('PF64'!V10:V73,"TC0_M_10_TR0")</f>
        <v>0</v>
      </c>
      <c r="O71" s="38">
        <f>COUNTIF('PF64'!V10:V73,"TC0_M_11_TR0")</f>
        <v>0</v>
      </c>
      <c r="P71" s="61"/>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row>
    <row r="72" spans="2:66" x14ac:dyDescent="0.55000000000000004">
      <c r="B72" s="127"/>
      <c r="C72" s="38" t="s">
        <v>411</v>
      </c>
      <c r="D72" s="38">
        <f>COUNTIF('PF64'!V10:V73,"TC0_M_0_TR1")</f>
        <v>0</v>
      </c>
      <c r="E72" s="38">
        <f>COUNTIF('PF64'!V10:V73,"TC0_M_1_TR1")</f>
        <v>0</v>
      </c>
      <c r="F72" s="38">
        <f>COUNTIF('PF64'!V10:V73,"TC0_M_2_TR1")</f>
        <v>0</v>
      </c>
      <c r="G72" s="38">
        <f>COUNTIF('PF64'!V10:V73,"TC0_M_3_TR1")</f>
        <v>0</v>
      </c>
      <c r="H72" s="38">
        <f>COUNTIF('PF64'!V10:V73,"TC0_M_4_TR1")</f>
        <v>0</v>
      </c>
      <c r="I72" s="38">
        <f>COUNTIF('PF64'!V10:V73,"TC0_M_5_TR1")</f>
        <v>0</v>
      </c>
      <c r="J72" s="38">
        <f>COUNTIF('PF64'!V10:V73,"TC0_M_6_TR1")</f>
        <v>0</v>
      </c>
      <c r="K72" s="38">
        <f>COUNTIF('PF64'!V10:V73,"TC0_M_7_TR1")</f>
        <v>0</v>
      </c>
      <c r="L72" s="38">
        <f>COUNTIF('PF64'!V10:V73,"TC0_M_8_TR1")</f>
        <v>0</v>
      </c>
      <c r="M72" s="38">
        <f>COUNTIF('PF64'!V10:V73,"TC0_M_9_TR1")</f>
        <v>0</v>
      </c>
      <c r="N72" s="38">
        <f>COUNTIF('PF64'!V10:V73,"TC0_M_10_TR1")</f>
        <v>0</v>
      </c>
      <c r="O72" s="38">
        <f>COUNTIF('PF64'!V10:V73,"TC0_M_11_TR1")</f>
        <v>0</v>
      </c>
      <c r="P72" s="61"/>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row>
    <row r="73" spans="2:66" x14ac:dyDescent="0.55000000000000004">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row>
    <row r="74" spans="2:66" x14ac:dyDescent="0.55000000000000004">
      <c r="B74" s="128" t="s">
        <v>1220</v>
      </c>
      <c r="C74" s="129"/>
      <c r="D74" s="37" t="s">
        <v>420</v>
      </c>
      <c r="E74" s="37" t="s">
        <v>421</v>
      </c>
      <c r="F74" s="37" t="s">
        <v>422</v>
      </c>
      <c r="G74" s="37" t="s">
        <v>423</v>
      </c>
      <c r="H74" s="37" t="s">
        <v>424</v>
      </c>
      <c r="I74" s="37" t="s">
        <v>425</v>
      </c>
      <c r="J74" s="37" t="s">
        <v>426</v>
      </c>
      <c r="K74" s="37" t="s">
        <v>427</v>
      </c>
      <c r="Q74" s="40"/>
      <c r="R74" s="40"/>
      <c r="S74" s="40"/>
      <c r="T74" s="40"/>
      <c r="U74" s="40"/>
      <c r="V74" s="40"/>
      <c r="W74" s="40"/>
      <c r="X74" s="40"/>
      <c r="Y74" s="40"/>
      <c r="Z74" s="40"/>
      <c r="AA74" s="40"/>
      <c r="AB74" s="40"/>
      <c r="AC74" s="40"/>
      <c r="AD74" s="40"/>
      <c r="AE74" s="40"/>
      <c r="AF74" s="40"/>
      <c r="AG74" s="40"/>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row>
    <row r="75" spans="2:66" x14ac:dyDescent="0.55000000000000004">
      <c r="B75" s="126" t="s">
        <v>417</v>
      </c>
      <c r="C75" s="38" t="s">
        <v>409</v>
      </c>
      <c r="D75" s="38">
        <f>COUNTIF('PF64'!V10:V73,"PWM0_H_0")</f>
        <v>0</v>
      </c>
      <c r="E75" s="38">
        <f>COUNTIF('PF64'!V10:V73,"PWM0_H_1")</f>
        <v>0</v>
      </c>
      <c r="F75" s="38">
        <f>COUNTIF('PF64'!V10:V73,"PWM0_H_2")</f>
        <v>0</v>
      </c>
      <c r="G75" s="38">
        <f>COUNTIF('PF64'!V10:V73,"PWM0_H_3")</f>
        <v>0</v>
      </c>
      <c r="H75" s="38">
        <f>COUNTIF('PF64'!V10:V73,"PWM0_H_4")</f>
        <v>0</v>
      </c>
      <c r="I75" s="38">
        <f>COUNTIF('PF64'!V10:V73,"PWM0_H_5")</f>
        <v>0</v>
      </c>
      <c r="J75" s="38">
        <f>COUNTIF('PF64'!V10:V73,"PWM0_H_6")</f>
        <v>0</v>
      </c>
      <c r="K75" s="38">
        <f>COUNTIF('PF64'!V10:V73,"PWM0_H_7")</f>
        <v>0</v>
      </c>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row>
    <row r="76" spans="2:66" x14ac:dyDescent="0.55000000000000004">
      <c r="B76" s="127"/>
      <c r="C76" s="38" t="s">
        <v>1219</v>
      </c>
      <c r="D76" s="38">
        <f>COUNTIF('PF64'!V10:V73,"PWM0_H_0_N")</f>
        <v>0</v>
      </c>
      <c r="E76" s="38">
        <f>COUNTIF('PF64'!V10:V73,"PWM0_H_1_N")</f>
        <v>0</v>
      </c>
      <c r="F76" s="38">
        <f>COUNTIF('PF64'!V10:V73,"PWM0_H_2_N")</f>
        <v>0</v>
      </c>
      <c r="G76" s="38">
        <f>COUNTIF('PF64'!V10:V73,"PWM0_H_3_N")</f>
        <v>0</v>
      </c>
      <c r="H76" s="38">
        <f>COUNTIF('PF64'!V10:V73,"PWM0_H_4_N")</f>
        <v>0</v>
      </c>
      <c r="I76" s="38">
        <f>COUNTIF('PF64'!V10:V73,"PWM0_H_5_N")</f>
        <v>0</v>
      </c>
      <c r="J76" s="38">
        <f>COUNTIF('PF64'!V10:V73,"PWM0_H_6_N")</f>
        <v>0</v>
      </c>
      <c r="K76" s="38">
        <f>COUNTIF('PF64'!V10:V73,"PWM0_H_7_N")</f>
        <v>0</v>
      </c>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row>
    <row r="77" spans="2:66" x14ac:dyDescent="0.55000000000000004">
      <c r="B77" s="126" t="s">
        <v>418</v>
      </c>
      <c r="C77" s="38" t="s">
        <v>410</v>
      </c>
      <c r="D77" s="38">
        <f>COUNTIF('PF64'!V10:V73,"TC0_H_0_TR0")</f>
        <v>0</v>
      </c>
      <c r="E77" s="38">
        <f>COUNTIF('PF64'!V10:V73,"TC0_H_1_TR0")</f>
        <v>0</v>
      </c>
      <c r="F77" s="38">
        <f>COUNTIF('PF64'!V10:V73,"TC0_H_2_TR0")</f>
        <v>0</v>
      </c>
      <c r="G77" s="38">
        <f>COUNTIF('PF64'!V10:V73,"TC0_H_3_TR0")</f>
        <v>0</v>
      </c>
      <c r="H77" s="38">
        <f>COUNTIF('PF64'!V10:V73,"TC0_H_4_TR0")</f>
        <v>0</v>
      </c>
      <c r="I77" s="38">
        <f>COUNTIF('PF64'!V10:V73,"TC0_H_5_TR0")</f>
        <v>0</v>
      </c>
      <c r="J77" s="38">
        <f>COUNTIF('PF64'!V10:V73,"TC0_H_6_TR0")</f>
        <v>0</v>
      </c>
      <c r="K77" s="38">
        <f>COUNTIF('PF64'!V10:V73,"TC0_H_7_TR0")</f>
        <v>0</v>
      </c>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row>
    <row r="78" spans="2:66" x14ac:dyDescent="0.55000000000000004">
      <c r="B78" s="127"/>
      <c r="C78" s="38" t="s">
        <v>411</v>
      </c>
      <c r="D78" s="38">
        <f>COUNTIF('PF64'!V10:V73,"TC0_H_0_TR1")</f>
        <v>0</v>
      </c>
      <c r="E78" s="38">
        <f>COUNTIF('PF64'!V10:V73,"TC0_H_1_TR1")</f>
        <v>0</v>
      </c>
      <c r="F78" s="38">
        <f>COUNTIF('PF64'!V10:V73,"TC0_H_2_TR1")</f>
        <v>0</v>
      </c>
      <c r="G78" s="38">
        <f>COUNTIF('PF64'!V10:V73,"TC0_H_3_TR1")</f>
        <v>0</v>
      </c>
      <c r="H78" s="38">
        <f>COUNTIF('PF64'!V10:V73,"TC0_H_4_TR1")</f>
        <v>0</v>
      </c>
      <c r="I78" s="38">
        <f>COUNTIF('PF64'!V10:V73,"TC0_H_5_TR1")</f>
        <v>0</v>
      </c>
      <c r="J78" s="38">
        <f>COUNTIF('PF64'!V10:V73,"TC0_H_6_TR1")</f>
        <v>0</v>
      </c>
      <c r="K78" s="38">
        <f>COUNTIF('PF64'!V10:V73,"TC0_H_7_TR1")</f>
        <v>0</v>
      </c>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row>
    <row r="79" spans="2:66" ht="10" customHeight="1" x14ac:dyDescent="0.55000000000000004"/>
    <row r="81" spans="2:6" x14ac:dyDescent="0.55000000000000004">
      <c r="B81" s="128" t="s">
        <v>405</v>
      </c>
      <c r="C81" s="129"/>
      <c r="D81" s="37" t="s">
        <v>406</v>
      </c>
      <c r="E81" s="37" t="s">
        <v>407</v>
      </c>
      <c r="F81" s="37" t="s">
        <v>408</v>
      </c>
    </row>
    <row r="82" spans="2:6" x14ac:dyDescent="0.55000000000000004">
      <c r="B82" s="123" t="s">
        <v>398</v>
      </c>
      <c r="C82" s="38" t="s">
        <v>486</v>
      </c>
      <c r="D82" s="38">
        <f>COUNTIF('PF64'!V10:V73,"ADC[0]_0")</f>
        <v>0</v>
      </c>
      <c r="E82" s="38">
        <f>COUNTIF('PF64'!V10:V73,"ADC[1]_0")</f>
        <v>0</v>
      </c>
      <c r="F82" s="38">
        <f>COUNTIF('PF64'!V10:V73,"ADC[2]_0")</f>
        <v>0</v>
      </c>
    </row>
    <row r="83" spans="2:6" x14ac:dyDescent="0.55000000000000004">
      <c r="B83" s="124"/>
      <c r="C83" s="38" t="s">
        <v>487</v>
      </c>
      <c r="D83" s="38">
        <f>COUNTIF('PF64'!V10:V73,"ADC[0]_1")</f>
        <v>0</v>
      </c>
      <c r="E83" s="38">
        <f>COUNTIF('PF64'!V10:V73,"ADC[1]_1")</f>
        <v>0</v>
      </c>
      <c r="F83" s="38">
        <f>COUNTIF('PF64'!V10:V73,"ADC[2]_1")</f>
        <v>0</v>
      </c>
    </row>
    <row r="84" spans="2:6" x14ac:dyDescent="0.55000000000000004">
      <c r="B84" s="124"/>
      <c r="C84" s="38" t="s">
        <v>488</v>
      </c>
      <c r="D84" s="38">
        <f>COUNTIF('PF64'!V10:V73,"ADC[0]_2")</f>
        <v>0</v>
      </c>
      <c r="E84" s="38">
        <f>COUNTIF('PF64'!V10:V73,"ADC[1]_2")</f>
        <v>0</v>
      </c>
      <c r="F84" s="38">
        <f>COUNTIF('PF64'!V10:V73,"ADC[2]_2")</f>
        <v>0</v>
      </c>
    </row>
    <row r="85" spans="2:6" x14ac:dyDescent="0.55000000000000004">
      <c r="B85" s="124"/>
      <c r="C85" s="38" t="s">
        <v>489</v>
      </c>
      <c r="D85" s="38">
        <f>COUNTIF('PF64'!V10:V73,"ADC[0]_3")</f>
        <v>0</v>
      </c>
      <c r="E85" s="38">
        <f>COUNTIF('PF64'!V10:V73,"ADC[1]_3")</f>
        <v>0</v>
      </c>
      <c r="F85" s="38">
        <f>COUNTIF('PF64'!V10:V73,"ADC[2]_3")</f>
        <v>0</v>
      </c>
    </row>
    <row r="86" spans="2:6" x14ac:dyDescent="0.55000000000000004">
      <c r="B86" s="124"/>
      <c r="C86" s="38" t="s">
        <v>490</v>
      </c>
      <c r="D86" s="38">
        <f>COUNTIF('PF64'!V10:V73,"ADC[0]_4")</f>
        <v>0</v>
      </c>
      <c r="E86" s="38">
        <f>COUNTIF('PF64'!V10:V73,"ADC[1]_4")</f>
        <v>0</v>
      </c>
      <c r="F86" s="38">
        <f>COUNTIF('PF64'!V10:V73,"ADC[2]_4")</f>
        <v>0</v>
      </c>
    </row>
    <row r="87" spans="2:6" x14ac:dyDescent="0.55000000000000004">
      <c r="B87" s="124"/>
      <c r="C87" s="38" t="s">
        <v>491</v>
      </c>
      <c r="D87" s="38">
        <f>COUNTIF('PF64'!V10:V73,"ADC[0]_5")</f>
        <v>0</v>
      </c>
      <c r="E87" s="38">
        <f>COUNTIF('PF64'!V10:V73,"ADC[1]_5")</f>
        <v>0</v>
      </c>
      <c r="F87" s="38">
        <f>COUNTIF('PF64'!V10:V73,"ADC[2]_5")</f>
        <v>0</v>
      </c>
    </row>
    <row r="88" spans="2:6" x14ac:dyDescent="0.55000000000000004">
      <c r="B88" s="124"/>
      <c r="C88" s="38" t="s">
        <v>492</v>
      </c>
      <c r="D88" s="38">
        <f>COUNTIF('PF64'!V10:V73,"ADC[0]_6")</f>
        <v>0</v>
      </c>
      <c r="E88" s="38">
        <f>COUNTIF('PF64'!V10:V73,"ADC[1]_6")</f>
        <v>0</v>
      </c>
      <c r="F88" s="38">
        <f>COUNTIF('PF64'!V10:V73,"ADC[2]_6")</f>
        <v>0</v>
      </c>
    </row>
    <row r="89" spans="2:6" x14ac:dyDescent="0.55000000000000004">
      <c r="B89" s="124"/>
      <c r="C89" s="38" t="s">
        <v>493</v>
      </c>
      <c r="D89" s="38">
        <f>COUNTIF('PF64'!V10:V73,"ADC[0]_7")</f>
        <v>0</v>
      </c>
      <c r="E89" s="38">
        <f>COUNTIF('PF64'!V10:V73,"ADC[1]_7")</f>
        <v>0</v>
      </c>
      <c r="F89" s="38">
        <f>COUNTIF('PF64'!V10:V73,"ADC[2]_7")</f>
        <v>0</v>
      </c>
    </row>
    <row r="90" spans="2:6" x14ac:dyDescent="0.55000000000000004">
      <c r="B90" s="124"/>
      <c r="C90" s="38" t="s">
        <v>494</v>
      </c>
      <c r="D90" s="38">
        <f>COUNTIF('PF64'!V10:V73,"ADC[0]_8")</f>
        <v>0</v>
      </c>
      <c r="E90" s="38">
        <f>COUNTIF('PF64'!V10:V73,"ADC[1]_8")</f>
        <v>0</v>
      </c>
      <c r="F90" s="38">
        <f>COUNTIF('PF64'!V10:V73,"ADC[2]_8")</f>
        <v>0</v>
      </c>
    </row>
    <row r="91" spans="2:6" x14ac:dyDescent="0.55000000000000004">
      <c r="B91" s="124"/>
      <c r="C91" s="38" t="s">
        <v>495</v>
      </c>
      <c r="D91" s="38">
        <f>COUNTIF('PF64'!V10:V73,"ADC[0]_9")</f>
        <v>0</v>
      </c>
      <c r="E91" s="38">
        <f>COUNTIF('PF64'!V10:V73,"ADC[1]_9")</f>
        <v>0</v>
      </c>
      <c r="F91" s="38">
        <f>COUNTIF('PF64'!V10:V73,"ADC[2]_9")</f>
        <v>0</v>
      </c>
    </row>
    <row r="92" spans="2:6" x14ac:dyDescent="0.55000000000000004">
      <c r="B92" s="124"/>
      <c r="C92" s="38" t="s">
        <v>496</v>
      </c>
      <c r="D92" s="38">
        <f>COUNTIF('PF64'!V10:V73,"ADC[0]_10")</f>
        <v>0</v>
      </c>
      <c r="E92" s="38">
        <f>COUNTIF('PF64'!V10:V73,"ADC[1]_10")</f>
        <v>0</v>
      </c>
      <c r="F92" s="38">
        <f>COUNTIF('PF64'!V10:V73,"ADC[2]_10")</f>
        <v>0</v>
      </c>
    </row>
    <row r="93" spans="2:6" x14ac:dyDescent="0.55000000000000004">
      <c r="B93" s="124"/>
      <c r="C93" s="38" t="s">
        <v>497</v>
      </c>
      <c r="D93" s="38">
        <f>COUNTIF('PF64'!V10:V73,"ADC[0]_11")</f>
        <v>0</v>
      </c>
      <c r="E93" s="38">
        <f>COUNTIF('PF64'!V10:V73,"ADC[1]_11")</f>
        <v>0</v>
      </c>
      <c r="F93" s="38">
        <f>COUNTIF('PF64'!V10:V73,"ADC[2]_11")</f>
        <v>0</v>
      </c>
    </row>
    <row r="94" spans="2:6" x14ac:dyDescent="0.55000000000000004">
      <c r="B94" s="124"/>
      <c r="C94" s="38" t="s">
        <v>498</v>
      </c>
      <c r="D94" s="38">
        <f>COUNTIF('PF64'!V10:V73,"ADC[0]_12")</f>
        <v>0</v>
      </c>
      <c r="E94" s="38">
        <f>COUNTIF('PF64'!V10:V73,"ADC[1]_12")</f>
        <v>0</v>
      </c>
      <c r="F94" s="38">
        <f>COUNTIF('PF64'!V10:V73,"ADC[2]_12")</f>
        <v>0</v>
      </c>
    </row>
    <row r="95" spans="2:6" x14ac:dyDescent="0.55000000000000004">
      <c r="B95" s="124"/>
      <c r="C95" s="38" t="s">
        <v>499</v>
      </c>
      <c r="D95" s="38">
        <f>COUNTIF('PF64'!V10:V73,"ADC[0]_13")</f>
        <v>0</v>
      </c>
      <c r="E95" s="38">
        <f>COUNTIF('PF64'!V10:V73,"ADC[1]_13")</f>
        <v>0</v>
      </c>
      <c r="F95" s="38">
        <f>COUNTIF('PF64'!V10:V73,"ADC[2]_13")</f>
        <v>0</v>
      </c>
    </row>
    <row r="96" spans="2:6" x14ac:dyDescent="0.55000000000000004">
      <c r="B96" s="124"/>
      <c r="C96" s="38" t="s">
        <v>500</v>
      </c>
      <c r="D96" s="38">
        <f>COUNTIF('PF64'!V10:V73,"ADC[0]_14")</f>
        <v>0</v>
      </c>
      <c r="E96" s="38">
        <f>COUNTIF('PF64'!V10:V73,"ADC[1]_14")</f>
        <v>0</v>
      </c>
      <c r="F96" s="38">
        <f>COUNTIF('PF64'!V10:V73,"ADC[2]_14")</f>
        <v>0</v>
      </c>
    </row>
    <row r="97" spans="2:6" x14ac:dyDescent="0.55000000000000004">
      <c r="B97" s="124"/>
      <c r="C97" s="38" t="s">
        <v>501</v>
      </c>
      <c r="D97" s="38">
        <f>COUNTIF('PF64'!V10:V73,"ADC[0]_15")</f>
        <v>0</v>
      </c>
      <c r="E97" s="38">
        <f>COUNTIF('PF64'!V10:V73,"ADC[1]_15")</f>
        <v>0</v>
      </c>
      <c r="F97" s="38">
        <f>COUNTIF('PF64'!V10:V73,"ADC[2]_15")</f>
        <v>0</v>
      </c>
    </row>
    <row r="98" spans="2:6" x14ac:dyDescent="0.55000000000000004">
      <c r="B98" s="124"/>
      <c r="C98" s="38" t="s">
        <v>502</v>
      </c>
      <c r="D98" s="38">
        <f>COUNTIF('PF64'!V10:V73,"ADC[0]_16")</f>
        <v>0</v>
      </c>
      <c r="E98" s="38">
        <f>COUNTIF('PF64'!V10:V73,"ADC[1]_16")</f>
        <v>0</v>
      </c>
      <c r="F98" s="38">
        <f>COUNTIF('PF64'!V10:V73,"ADC[2]_16")</f>
        <v>0</v>
      </c>
    </row>
    <row r="99" spans="2:6" x14ac:dyDescent="0.55000000000000004">
      <c r="B99" s="124"/>
      <c r="C99" s="38" t="s">
        <v>503</v>
      </c>
      <c r="D99" s="38">
        <f>COUNTIF('PF64'!V10:V73,"ADC[0]_17")</f>
        <v>0</v>
      </c>
      <c r="E99" s="38">
        <f>COUNTIF('PF64'!V10:V73,"ADC[1]_17")</f>
        <v>0</v>
      </c>
      <c r="F99" s="38">
        <f>COUNTIF('PF64'!V10:V73,"ADC[2]_17")</f>
        <v>0</v>
      </c>
    </row>
    <row r="100" spans="2:6" x14ac:dyDescent="0.55000000000000004">
      <c r="B100" s="124"/>
      <c r="C100" s="38" t="s">
        <v>504</v>
      </c>
      <c r="D100" s="38">
        <f>COUNTIF('PF64'!V10:V73,"ADC[0]_18")</f>
        <v>0</v>
      </c>
      <c r="E100" s="38">
        <f>COUNTIF('PF64'!V10:V73,"ADC[1]_18")</f>
        <v>0</v>
      </c>
      <c r="F100" s="38">
        <f>COUNTIF('PF64'!V10:V73,"ADC[2]_18")</f>
        <v>0</v>
      </c>
    </row>
    <row r="101" spans="2:6" x14ac:dyDescent="0.55000000000000004">
      <c r="B101" s="124"/>
      <c r="C101" s="38" t="s">
        <v>505</v>
      </c>
      <c r="D101" s="38">
        <f>COUNTIF('PF64'!V10:V73,"ADC[0]_19")</f>
        <v>0</v>
      </c>
      <c r="E101" s="38">
        <f>COUNTIF('PF64'!V10:V73,"ADC[1]_19")</f>
        <v>0</v>
      </c>
      <c r="F101" s="38">
        <f>COUNTIF('PF64'!V10:V73,"ADC[2]_19")</f>
        <v>0</v>
      </c>
    </row>
    <row r="102" spans="2:6" x14ac:dyDescent="0.55000000000000004">
      <c r="B102" s="124"/>
      <c r="C102" s="38" t="s">
        <v>506</v>
      </c>
      <c r="D102" s="38">
        <f>COUNTIF('PF64'!V10:V73,"ADC[0]_20")</f>
        <v>0</v>
      </c>
      <c r="E102" s="38">
        <f>COUNTIF('PF64'!V10:V73,"ADC[1]_20")</f>
        <v>0</v>
      </c>
      <c r="F102" s="38">
        <f>COUNTIF('PF64'!V10:V73,"ADC[2]_20")</f>
        <v>0</v>
      </c>
    </row>
    <row r="103" spans="2:6" x14ac:dyDescent="0.55000000000000004">
      <c r="B103" s="124"/>
      <c r="C103" s="38" t="s">
        <v>507</v>
      </c>
      <c r="D103" s="38">
        <f>COUNTIF('PF64'!V10:V73,"ADC[0]_21")</f>
        <v>0</v>
      </c>
      <c r="E103" s="38">
        <f>COUNTIF('PF64'!V10:V73,"ADC[1]_21")</f>
        <v>0</v>
      </c>
      <c r="F103" s="38">
        <f>COUNTIF('PF64'!V10:V73,"ADC[2]_21")</f>
        <v>0</v>
      </c>
    </row>
    <row r="104" spans="2:6" x14ac:dyDescent="0.55000000000000004">
      <c r="B104" s="124"/>
      <c r="C104" s="38" t="s">
        <v>508</v>
      </c>
      <c r="D104" s="38">
        <f>COUNTIF('PF64'!V10:V73,"ADC[0]_22")</f>
        <v>0</v>
      </c>
      <c r="E104" s="38">
        <f>COUNTIF('PF64'!V10:V73,"ADC[1]_22")</f>
        <v>0</v>
      </c>
      <c r="F104" s="38">
        <f>COUNTIF('PF64'!V10:V73,"ADC[2]_22")</f>
        <v>0</v>
      </c>
    </row>
    <row r="105" spans="2:6" x14ac:dyDescent="0.55000000000000004">
      <c r="B105" s="124"/>
      <c r="C105" s="38" t="s">
        <v>509</v>
      </c>
      <c r="D105" s="38">
        <f>COUNTIF('PF64'!V10:V73,"ADC[0]_23")</f>
        <v>0</v>
      </c>
      <c r="E105" s="38">
        <f>COUNTIF('PF64'!V10:V73,"ADC[1]_23")</f>
        <v>0</v>
      </c>
      <c r="F105" s="38">
        <f>COUNTIF('PF64'!V10:V73,"ADC[2]_23")</f>
        <v>0</v>
      </c>
    </row>
    <row r="106" spans="2:6" x14ac:dyDescent="0.55000000000000004">
      <c r="B106" s="124"/>
      <c r="C106" s="38" t="s">
        <v>510</v>
      </c>
      <c r="D106" s="38">
        <f>COUNTIF('PF64'!V10:V73,"ADC[0]_24")</f>
        <v>0</v>
      </c>
      <c r="E106" s="38">
        <f>COUNTIF('PF64'!V10:V73,"ADC[1]_24")</f>
        <v>0</v>
      </c>
      <c r="F106" s="38">
        <f>COUNTIF('PF64'!V10:V73,"ADC[2]_24")</f>
        <v>0</v>
      </c>
    </row>
    <row r="107" spans="2:6" x14ac:dyDescent="0.55000000000000004">
      <c r="B107" s="124"/>
      <c r="C107" s="38" t="s">
        <v>511</v>
      </c>
      <c r="D107" s="38">
        <f>COUNTIF('PF64'!V10:V73,"ADC[0]_25")</f>
        <v>0</v>
      </c>
      <c r="E107" s="38">
        <f>COUNTIF('PF64'!V10:V73,"ADC[1]_25")</f>
        <v>0</v>
      </c>
      <c r="F107" s="38">
        <f>COUNTIF('PF64'!V10:V73,"ADC[2]_25")</f>
        <v>0</v>
      </c>
    </row>
    <row r="108" spans="2:6" x14ac:dyDescent="0.55000000000000004">
      <c r="B108" s="124"/>
      <c r="C108" s="38" t="s">
        <v>512</v>
      </c>
      <c r="D108" s="38">
        <f>COUNTIF('PF64'!V10:V73,"ADC[0]_26")</f>
        <v>0</v>
      </c>
      <c r="E108" s="38">
        <f>COUNTIF('PF64'!V10:V73,"ADC[1]_26")</f>
        <v>0</v>
      </c>
      <c r="F108" s="38">
        <f>COUNTIF('PF64'!V10:V73,"ADC[2]_26")</f>
        <v>0</v>
      </c>
    </row>
    <row r="109" spans="2:6" x14ac:dyDescent="0.55000000000000004">
      <c r="B109" s="124"/>
      <c r="C109" s="38" t="s">
        <v>513</v>
      </c>
      <c r="D109" s="38">
        <f>COUNTIF('PF64'!V10:V73,"ADC[0]_27")</f>
        <v>0</v>
      </c>
      <c r="E109" s="38">
        <f>COUNTIF('PF64'!V10:V73,"ADC[1]_27")</f>
        <v>0</v>
      </c>
      <c r="F109" s="38">
        <f>COUNTIF('PF64'!V10:V73,"ADC[2]_27")</f>
        <v>0</v>
      </c>
    </row>
    <row r="110" spans="2:6" x14ac:dyDescent="0.55000000000000004">
      <c r="B110" s="124"/>
      <c r="C110" s="38" t="s">
        <v>514</v>
      </c>
      <c r="D110" s="38">
        <f>COUNTIF('PF64'!V10:V73,"ADC[0]_28")</f>
        <v>0</v>
      </c>
      <c r="E110" s="38">
        <f>COUNTIF('PF64'!V10:V73,"ADC[1]_28")</f>
        <v>0</v>
      </c>
      <c r="F110" s="38">
        <f>COUNTIF('PF64'!V10:V73,"ADC[2]_28")</f>
        <v>0</v>
      </c>
    </row>
    <row r="111" spans="2:6" x14ac:dyDescent="0.55000000000000004">
      <c r="B111" s="124"/>
      <c r="C111" s="38" t="s">
        <v>515</v>
      </c>
      <c r="D111" s="38">
        <f>COUNTIF('PF64'!V10:V73,"ADC[0]_29")</f>
        <v>0</v>
      </c>
      <c r="E111" s="38">
        <f>COUNTIF('PF64'!V10:V73,"ADC[1]_29")</f>
        <v>0</v>
      </c>
      <c r="F111" s="38">
        <f>COUNTIF('PF64'!V10:V73,"ADC[2]_29")</f>
        <v>0</v>
      </c>
    </row>
    <row r="112" spans="2:6" x14ac:dyDescent="0.55000000000000004">
      <c r="B112" s="124"/>
      <c r="C112" s="38" t="s">
        <v>516</v>
      </c>
      <c r="D112" s="38">
        <f>COUNTIF('PF64'!V10:V73,"ADC[0]_30")</f>
        <v>0</v>
      </c>
      <c r="E112" s="38">
        <f>COUNTIF('PF64'!V10:V73,"ADC[1]_30")</f>
        <v>0</v>
      </c>
      <c r="F112" s="38">
        <f>COUNTIF('PF64'!V10:V73,"ADC[2]_30")</f>
        <v>0</v>
      </c>
    </row>
    <row r="113" spans="2:21" x14ac:dyDescent="0.55000000000000004">
      <c r="B113" s="130"/>
      <c r="C113" s="38" t="s">
        <v>517</v>
      </c>
      <c r="D113" s="38">
        <f>COUNTIF('PF64'!V10:V73,"ADC[0]_31")</f>
        <v>0</v>
      </c>
      <c r="E113" s="38">
        <f>COUNTIF('PF64'!V10:V73,"ADC[1]_31")</f>
        <v>0</v>
      </c>
      <c r="F113" s="38">
        <f>COUNTIF('PF64'!V10:V73,"ADC[2]_31")</f>
        <v>0</v>
      </c>
    </row>
    <row r="114" spans="2:21" ht="20" x14ac:dyDescent="0.55000000000000004">
      <c r="B114" s="62" t="s">
        <v>518</v>
      </c>
      <c r="C114" s="63" t="s">
        <v>419</v>
      </c>
      <c r="D114" s="38">
        <f>COUNTIF('PF64'!V10:V73,"ADC[0]_M")</f>
        <v>0</v>
      </c>
      <c r="E114" s="38">
        <f>COUNTIF('PF64'!V10:V73,"ADC[1]_M")</f>
        <v>0</v>
      </c>
      <c r="F114" s="38">
        <f>COUNTIF('PF64'!V10:V73,"ADC[2]_M")</f>
        <v>0</v>
      </c>
    </row>
    <row r="117" spans="2:21" x14ac:dyDescent="0.55000000000000004">
      <c r="B117" s="128" t="s">
        <v>1201</v>
      </c>
      <c r="C117" s="129"/>
      <c r="D117" s="37" t="s">
        <v>1203</v>
      </c>
      <c r="E117" s="37" t="s">
        <v>1204</v>
      </c>
      <c r="F117" s="37" t="s">
        <v>1205</v>
      </c>
      <c r="G117" s="37" t="s">
        <v>1207</v>
      </c>
    </row>
    <row r="118" spans="2:21" x14ac:dyDescent="0.55000000000000004">
      <c r="B118" s="123" t="s">
        <v>398</v>
      </c>
      <c r="C118" s="38" t="s">
        <v>386</v>
      </c>
      <c r="D118" s="38">
        <f>COUNTIF('PF64'!V10:V73,"CXPI0_RX")</f>
        <v>0</v>
      </c>
      <c r="E118" s="38">
        <f>COUNTIF('PF64'!V10:V73,"CXPI1_RX")</f>
        <v>0</v>
      </c>
      <c r="F118" s="38">
        <f>COUNTIF('PF64'!V10:V73,"CXPI2_RX")</f>
        <v>0</v>
      </c>
      <c r="G118" s="38">
        <f>COUNTIF('PF64'!V10:V73,"CXPI3_RX")</f>
        <v>0</v>
      </c>
    </row>
    <row r="119" spans="2:21" x14ac:dyDescent="0.55000000000000004">
      <c r="B119" s="124"/>
      <c r="C119" s="38" t="s">
        <v>385</v>
      </c>
      <c r="D119" s="38">
        <f>COUNTIF('PF64'!V10:V73,"CXPI0_TX")</f>
        <v>0</v>
      </c>
      <c r="E119" s="38">
        <f>COUNTIF('PF64'!V10:V73,"CXPI1_TX")</f>
        <v>0</v>
      </c>
      <c r="F119" s="38">
        <f>COUNTIF('PF64'!V10:V73,"CXPI2_TX")</f>
        <v>0</v>
      </c>
      <c r="G119" s="38">
        <f>COUNTIF('PF64'!V10:V73,"CXPI3_TX")</f>
        <v>0</v>
      </c>
    </row>
    <row r="120" spans="2:21" x14ac:dyDescent="0.55000000000000004">
      <c r="B120" s="125"/>
      <c r="C120" s="38" t="s">
        <v>1202</v>
      </c>
      <c r="D120" s="38">
        <f>COUNTIF('PF64'!V10:V73,"CXPI0_EN")</f>
        <v>0</v>
      </c>
      <c r="E120" s="38">
        <f>COUNTIF('PF64'!V10:V73,"CXPI1_EN")</f>
        <v>0</v>
      </c>
      <c r="F120" s="38">
        <f>COUNTIF('PF64'!V10:V73,"CXPI2_EN")</f>
        <v>0</v>
      </c>
      <c r="G120" s="38">
        <f>COUNTIF('PF64'!V10:V73,"CXPI3_EN")</f>
        <v>0</v>
      </c>
    </row>
    <row r="126" spans="2:21" ht="14.5" x14ac:dyDescent="0.35">
      <c r="B126" s="118" t="s">
        <v>1216</v>
      </c>
      <c r="C126" s="118"/>
      <c r="D126" s="118"/>
      <c r="E126" s="118"/>
      <c r="F126" s="118"/>
      <c r="G126" s="118"/>
      <c r="H126" s="118"/>
      <c r="I126" s="118"/>
      <c r="J126" s="118"/>
      <c r="K126" s="118"/>
      <c r="L126" s="118"/>
      <c r="M126" s="118"/>
      <c r="N126" s="118"/>
      <c r="O126" s="118"/>
      <c r="P126" s="118"/>
      <c r="Q126" s="118"/>
      <c r="R126" s="118"/>
      <c r="S126" s="118"/>
      <c r="T126" s="118"/>
      <c r="U126" s="118"/>
    </row>
    <row r="127" spans="2:21" ht="172" customHeight="1" x14ac:dyDescent="0.55000000000000004">
      <c r="B127" s="119" t="s">
        <v>1217</v>
      </c>
      <c r="C127" s="119"/>
      <c r="D127" s="119"/>
      <c r="E127" s="119"/>
      <c r="F127" s="119"/>
      <c r="G127" s="119"/>
      <c r="H127" s="119"/>
      <c r="I127" s="119"/>
      <c r="J127" s="119"/>
      <c r="K127" s="119"/>
      <c r="L127" s="119"/>
      <c r="M127" s="119"/>
      <c r="N127" s="119"/>
      <c r="O127" s="119"/>
      <c r="P127" s="119"/>
      <c r="Q127" s="119"/>
      <c r="R127" s="119"/>
      <c r="S127" s="119"/>
      <c r="T127" s="119"/>
      <c r="U127" s="119"/>
    </row>
  </sheetData>
  <sheetProtection algorithmName="SHA-512" hashValue="kUd6LIW10bpOhsvXvf3ZEGQwHE3oVqiUzDthIubQswa44WWXqUOGVCsCfXXX22to5Y+4xochW3Nlrpc2Whw2Hg==" saltValue="sHVNLMt9Knr1vARahN8+TQ==" spinCount="100000" sheet="1" objects="1" scenarios="1" formatCells="0" formatColumns="0" formatRows="0" insertColumns="0" insertRows="0" insertHyperlinks="0" deleteColumns="0" deleteRows="0" selectLockedCells="1" sort="0" autoFilter="0" pivotTables="0"/>
  <mergeCells count="25">
    <mergeCell ref="B126:U126"/>
    <mergeCell ref="B127:U127"/>
    <mergeCell ref="B82:B113"/>
    <mergeCell ref="B68:C68"/>
    <mergeCell ref="B23:B36"/>
    <mergeCell ref="B37:B44"/>
    <mergeCell ref="B45:B50"/>
    <mergeCell ref="B62:C62"/>
    <mergeCell ref="B71:B72"/>
    <mergeCell ref="B117:C117"/>
    <mergeCell ref="B118:B120"/>
    <mergeCell ref="B8:B9"/>
    <mergeCell ref="B7:C7"/>
    <mergeCell ref="B12:B13"/>
    <mergeCell ref="B11:C11"/>
    <mergeCell ref="B81:C81"/>
    <mergeCell ref="B16:C16"/>
    <mergeCell ref="B22:C22"/>
    <mergeCell ref="B17:B19"/>
    <mergeCell ref="B63:B64"/>
    <mergeCell ref="B69:B70"/>
    <mergeCell ref="B65:B66"/>
    <mergeCell ref="B74:C74"/>
    <mergeCell ref="B75:B76"/>
    <mergeCell ref="B77:B78"/>
  </mergeCells>
  <phoneticPr fontId="3"/>
  <conditionalFormatting sqref="D17:K20">
    <cfRule type="cellIs" dxfId="57" priority="154" operator="greaterThanOrEqual">
      <formula>2</formula>
    </cfRule>
    <cfRule type="cellIs" dxfId="56" priority="179" operator="notEqual">
      <formula>0</formula>
    </cfRule>
  </conditionalFormatting>
  <conditionalFormatting sqref="D8:F9">
    <cfRule type="cellIs" dxfId="55" priority="156" operator="greaterThanOrEqual">
      <formula>2</formula>
    </cfRule>
    <cfRule type="cellIs" dxfId="54" priority="172" operator="notEqual">
      <formula>0</formula>
    </cfRule>
  </conditionalFormatting>
  <conditionalFormatting sqref="D12:F14">
    <cfRule type="cellIs" dxfId="53" priority="155" operator="greaterThanOrEqual">
      <formula>2</formula>
    </cfRule>
    <cfRule type="cellIs" dxfId="52" priority="171" operator="notEqual">
      <formula>0</formula>
    </cfRule>
  </conditionalFormatting>
  <conditionalFormatting sqref="D75:K78">
    <cfRule type="cellIs" dxfId="51" priority="151" operator="greaterThanOrEqual">
      <formula>2</formula>
    </cfRule>
    <cfRule type="cellIs" dxfId="50" priority="152" operator="notEqual">
      <formula>0</formula>
    </cfRule>
  </conditionalFormatting>
  <conditionalFormatting sqref="D69:O72">
    <cfRule type="cellIs" dxfId="49" priority="149" operator="greaterThanOrEqual">
      <formula>2</formula>
    </cfRule>
    <cfRule type="cellIs" dxfId="48" priority="150" operator="notEqual">
      <formula>0</formula>
    </cfRule>
  </conditionalFormatting>
  <conditionalFormatting sqref="D63:BN66">
    <cfRule type="cellIs" dxfId="47" priority="147" operator="greaterThanOrEqual">
      <formula>2</formula>
    </cfRule>
    <cfRule type="cellIs" dxfId="46" priority="148" operator="notEqual">
      <formula>0</formula>
    </cfRule>
  </conditionalFormatting>
  <conditionalFormatting sqref="D82:F114">
    <cfRule type="cellIs" dxfId="45" priority="145" operator="greaterThanOrEqual">
      <formula>2</formula>
    </cfRule>
    <cfRule type="cellIs" dxfId="44" priority="146" operator="notEqual">
      <formula>0</formula>
    </cfRule>
  </conditionalFormatting>
  <conditionalFormatting sqref="D45:K50">
    <cfRule type="cellIs" dxfId="43" priority="13" operator="greaterThanOrEqual">
      <formula>2</formula>
    </cfRule>
    <cfRule type="cellIs" dxfId="42" priority="14" operator="notEqual">
      <formula>0</formula>
    </cfRule>
  </conditionalFormatting>
  <conditionalFormatting sqref="D23:K23">
    <cfRule type="cellIs" dxfId="41" priority="43" operator="greaterThanOrEqual">
      <formula>2</formula>
    </cfRule>
    <cfRule type="cellIs" dxfId="40" priority="44" operator="notEqual">
      <formula>0</formula>
    </cfRule>
  </conditionalFormatting>
  <conditionalFormatting sqref="D37:K37">
    <cfRule type="cellIs" dxfId="39" priority="41" operator="greaterThanOrEqual">
      <formula>2</formula>
    </cfRule>
    <cfRule type="cellIs" dxfId="38" priority="42" operator="notEqual">
      <formula>0</formula>
    </cfRule>
  </conditionalFormatting>
  <conditionalFormatting sqref="D38:K38">
    <cfRule type="cellIs" dxfId="37" priority="39" operator="greaterThanOrEqual">
      <formula>2</formula>
    </cfRule>
    <cfRule type="cellIs" dxfId="36" priority="40" operator="notEqual">
      <formula>0</formula>
    </cfRule>
  </conditionalFormatting>
  <conditionalFormatting sqref="D44:K44">
    <cfRule type="cellIs" dxfId="35" priority="31" operator="greaterThanOrEqual">
      <formula>2</formula>
    </cfRule>
    <cfRule type="cellIs" dxfId="34" priority="32" operator="notEqual">
      <formula>0</formula>
    </cfRule>
  </conditionalFormatting>
  <conditionalFormatting sqref="D42:K42">
    <cfRule type="cellIs" dxfId="33" priority="33" operator="greaterThanOrEqual">
      <formula>2</formula>
    </cfRule>
    <cfRule type="cellIs" dxfId="32" priority="34" operator="notEqual">
      <formula>0</formula>
    </cfRule>
  </conditionalFormatting>
  <conditionalFormatting sqref="D39:K39 D41:K41 D43:K43">
    <cfRule type="cellIs" dxfId="31" priority="37" operator="greaterThanOrEqual">
      <formula>2</formula>
    </cfRule>
    <cfRule type="cellIs" dxfId="30" priority="38" operator="notEqual">
      <formula>0</formula>
    </cfRule>
  </conditionalFormatting>
  <conditionalFormatting sqref="D40:K40">
    <cfRule type="cellIs" dxfId="29" priority="35" operator="greaterThanOrEqual">
      <formula>2</formula>
    </cfRule>
    <cfRule type="cellIs" dxfId="28" priority="36" operator="notEqual">
      <formula>0</formula>
    </cfRule>
  </conditionalFormatting>
  <conditionalFormatting sqref="D24:K24">
    <cfRule type="cellIs" dxfId="27" priority="27" operator="greaterThanOrEqual">
      <formula>2</formula>
    </cfRule>
    <cfRule type="cellIs" dxfId="26" priority="28" operator="notEqual">
      <formula>0</formula>
    </cfRule>
  </conditionalFormatting>
  <conditionalFormatting sqref="D26:K26">
    <cfRule type="cellIs" dxfId="25" priority="25" operator="greaterThanOrEqual">
      <formula>2</formula>
    </cfRule>
    <cfRule type="cellIs" dxfId="24" priority="26" operator="notEqual">
      <formula>0</formula>
    </cfRule>
  </conditionalFormatting>
  <conditionalFormatting sqref="D28:K28">
    <cfRule type="cellIs" dxfId="23" priority="23" operator="greaterThanOrEqual">
      <formula>2</formula>
    </cfRule>
    <cfRule type="cellIs" dxfId="22" priority="24" operator="notEqual">
      <formula>0</formula>
    </cfRule>
  </conditionalFormatting>
  <conditionalFormatting sqref="D30:K30">
    <cfRule type="cellIs" dxfId="21" priority="21" operator="greaterThanOrEqual">
      <formula>2</formula>
    </cfRule>
    <cfRule type="cellIs" dxfId="20" priority="22" operator="notEqual">
      <formula>0</formula>
    </cfRule>
  </conditionalFormatting>
  <conditionalFormatting sqref="D32:K32">
    <cfRule type="cellIs" dxfId="19" priority="19" operator="greaterThanOrEqual">
      <formula>2</formula>
    </cfRule>
    <cfRule type="cellIs" dxfId="18" priority="20" operator="notEqual">
      <formula>0</formula>
    </cfRule>
  </conditionalFormatting>
  <conditionalFormatting sqref="D34:K34">
    <cfRule type="cellIs" dxfId="17" priority="17" operator="greaterThanOrEqual">
      <formula>2</formula>
    </cfRule>
    <cfRule type="cellIs" dxfId="16" priority="18" operator="notEqual">
      <formula>0</formula>
    </cfRule>
  </conditionalFormatting>
  <conditionalFormatting sqref="D36:K36">
    <cfRule type="cellIs" dxfId="15" priority="15" operator="greaterThanOrEqual">
      <formula>2</formula>
    </cfRule>
    <cfRule type="cellIs" dxfId="14" priority="16" operator="notEqual">
      <formula>0</formula>
    </cfRule>
  </conditionalFormatting>
  <conditionalFormatting sqref="D25:K25 D27:K27 D29:K29 D31:K31 D33:K33 D35:K35">
    <cfRule type="cellIs" dxfId="13" priority="29" operator="greaterThanOrEqual">
      <formula>2</formula>
    </cfRule>
    <cfRule type="cellIs" dxfId="12" priority="30" operator="notEqual">
      <formula>0</formula>
    </cfRule>
  </conditionalFormatting>
  <conditionalFormatting sqref="D118:F119">
    <cfRule type="cellIs" dxfId="11" priority="11" operator="greaterThanOrEqual">
      <formula>2</formula>
    </cfRule>
    <cfRule type="cellIs" dxfId="10" priority="12" operator="notEqual">
      <formula>0</formula>
    </cfRule>
  </conditionalFormatting>
  <conditionalFormatting sqref="D120:F120">
    <cfRule type="cellIs" dxfId="9" priority="9" operator="greaterThanOrEqual">
      <formula>2</formula>
    </cfRule>
    <cfRule type="cellIs" dxfId="8" priority="10" operator="notEqual">
      <formula>0</formula>
    </cfRule>
  </conditionalFormatting>
  <conditionalFormatting sqref="G118:G119">
    <cfRule type="cellIs" dxfId="7" priority="7" operator="greaterThanOrEqual">
      <formula>2</formula>
    </cfRule>
    <cfRule type="cellIs" dxfId="6" priority="8" operator="notEqual">
      <formula>0</formula>
    </cfRule>
  </conditionalFormatting>
  <conditionalFormatting sqref="G120">
    <cfRule type="cellIs" dxfId="5" priority="5" operator="greaterThanOrEqual">
      <formula>2</formula>
    </cfRule>
    <cfRule type="cellIs" dxfId="4" priority="6" operator="notEqual">
      <formula>0</formula>
    </cfRule>
  </conditionalFormatting>
  <conditionalFormatting sqref="G8:G9">
    <cfRule type="cellIs" dxfId="3" priority="3" operator="greaterThanOrEqual">
      <formula>2</formula>
    </cfRule>
    <cfRule type="cellIs" dxfId="2" priority="4" operator="notEqual">
      <formula>0</formula>
    </cfRule>
  </conditionalFormatting>
  <conditionalFormatting sqref="G12:G13">
    <cfRule type="cellIs" dxfId="1" priority="1" operator="greaterThanOrEqual">
      <formula>2</formula>
    </cfRule>
    <cfRule type="cellIs" dxfId="0" priority="2" operator="notEqual">
      <formula>0</formula>
    </cfRule>
  </conditionalFormatting>
  <pageMargins left="0.7" right="0.7" top="0.75" bottom="0.75" header="0.3" footer="0.3"/>
  <pageSetup paperSize="9" orientation="portrait" r:id="rId1"/>
  <ignoredErrors>
    <ignoredError sqref="D10:R10 D67:R68 D73:R73 P69:R69 P70:R70 D79:R123 L75:R75 L76:R76 P71:R71 P72:R72 L77:R77 L78:R78 D63:BN66 D69:O72 D77:G77 D75:F75 G75 D76:E76 F76:G76 L74:R74 D78:F78 G78 H75:K78 D9:F9 H9:R9 D14:R62 D11:F12 H11:R13 D13:E13 D8:E8 H8:M8 O8:R8" unlockedFormula="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6783C-9021-49B1-8961-6147C403979C}">
  <dimension ref="A1:AA41"/>
  <sheetViews>
    <sheetView zoomScale="82" zoomScaleNormal="82" workbookViewId="0">
      <selection activeCell="AB5" sqref="AB5"/>
    </sheetView>
  </sheetViews>
  <sheetFormatPr defaultRowHeight="10" x14ac:dyDescent="0.55000000000000004"/>
  <cols>
    <col min="1" max="1" width="8.6640625" style="35"/>
    <col min="2" max="2" width="8.58203125" style="35" customWidth="1"/>
    <col min="3" max="3" width="18.58203125" style="35" customWidth="1"/>
    <col min="4" max="5" width="3.33203125" style="35" customWidth="1"/>
    <col min="6" max="21" width="2.33203125" style="35" customWidth="1"/>
    <col min="22" max="23" width="3.33203125" style="35" customWidth="1"/>
    <col min="24" max="24" width="18.58203125" style="35" customWidth="1"/>
    <col min="25" max="27" width="8.58203125" style="35" customWidth="1"/>
    <col min="28" max="249" width="8.6640625" style="35"/>
    <col min="250" max="250" width="14.33203125" style="35" customWidth="1"/>
    <col min="251" max="252" width="3.33203125" style="35" customWidth="1"/>
    <col min="253" max="277" width="2.4140625" style="35" customWidth="1"/>
    <col min="278" max="279" width="3.33203125" style="35" customWidth="1"/>
    <col min="280" max="280" width="14.33203125" style="35" customWidth="1"/>
    <col min="281" max="505" width="8.6640625" style="35"/>
    <col min="506" max="506" width="14.33203125" style="35" customWidth="1"/>
    <col min="507" max="508" width="3.33203125" style="35" customWidth="1"/>
    <col min="509" max="533" width="2.4140625" style="35" customWidth="1"/>
    <col min="534" max="535" width="3.33203125" style="35" customWidth="1"/>
    <col min="536" max="536" width="14.33203125" style="35" customWidth="1"/>
    <col min="537" max="761" width="8.6640625" style="35"/>
    <col min="762" max="762" width="14.33203125" style="35" customWidth="1"/>
    <col min="763" max="764" width="3.33203125" style="35" customWidth="1"/>
    <col min="765" max="789" width="2.4140625" style="35" customWidth="1"/>
    <col min="790" max="791" width="3.33203125" style="35" customWidth="1"/>
    <col min="792" max="792" width="14.33203125" style="35" customWidth="1"/>
    <col min="793" max="1017" width="8.6640625" style="35"/>
    <col min="1018" max="1018" width="14.33203125" style="35" customWidth="1"/>
    <col min="1019" max="1020" width="3.33203125" style="35" customWidth="1"/>
    <col min="1021" max="1045" width="2.4140625" style="35" customWidth="1"/>
    <col min="1046" max="1047" width="3.33203125" style="35" customWidth="1"/>
    <col min="1048" max="1048" width="14.33203125" style="35" customWidth="1"/>
    <col min="1049" max="1273" width="8.6640625" style="35"/>
    <col min="1274" max="1274" width="14.33203125" style="35" customWidth="1"/>
    <col min="1275" max="1276" width="3.33203125" style="35" customWidth="1"/>
    <col min="1277" max="1301" width="2.4140625" style="35" customWidth="1"/>
    <col min="1302" max="1303" width="3.33203125" style="35" customWidth="1"/>
    <col min="1304" max="1304" width="14.33203125" style="35" customWidth="1"/>
    <col min="1305" max="1529" width="8.6640625" style="35"/>
    <col min="1530" max="1530" width="14.33203125" style="35" customWidth="1"/>
    <col min="1531" max="1532" width="3.33203125" style="35" customWidth="1"/>
    <col min="1533" max="1557" width="2.4140625" style="35" customWidth="1"/>
    <col min="1558" max="1559" width="3.33203125" style="35" customWidth="1"/>
    <col min="1560" max="1560" width="14.33203125" style="35" customWidth="1"/>
    <col min="1561" max="1785" width="8.6640625" style="35"/>
    <col min="1786" max="1786" width="14.33203125" style="35" customWidth="1"/>
    <col min="1787" max="1788" width="3.33203125" style="35" customWidth="1"/>
    <col min="1789" max="1813" width="2.4140625" style="35" customWidth="1"/>
    <col min="1814" max="1815" width="3.33203125" style="35" customWidth="1"/>
    <col min="1816" max="1816" width="14.33203125" style="35" customWidth="1"/>
    <col min="1817" max="2041" width="8.6640625" style="35"/>
    <col min="2042" max="2042" width="14.33203125" style="35" customWidth="1"/>
    <col min="2043" max="2044" width="3.33203125" style="35" customWidth="1"/>
    <col min="2045" max="2069" width="2.4140625" style="35" customWidth="1"/>
    <col min="2070" max="2071" width="3.33203125" style="35" customWidth="1"/>
    <col min="2072" max="2072" width="14.33203125" style="35" customWidth="1"/>
    <col min="2073" max="2297" width="8.6640625" style="35"/>
    <col min="2298" max="2298" width="14.33203125" style="35" customWidth="1"/>
    <col min="2299" max="2300" width="3.33203125" style="35" customWidth="1"/>
    <col min="2301" max="2325" width="2.4140625" style="35" customWidth="1"/>
    <col min="2326" max="2327" width="3.33203125" style="35" customWidth="1"/>
    <col min="2328" max="2328" width="14.33203125" style="35" customWidth="1"/>
    <col min="2329" max="2553" width="8.6640625" style="35"/>
    <col min="2554" max="2554" width="14.33203125" style="35" customWidth="1"/>
    <col min="2555" max="2556" width="3.33203125" style="35" customWidth="1"/>
    <col min="2557" max="2581" width="2.4140625" style="35" customWidth="1"/>
    <col min="2582" max="2583" width="3.33203125" style="35" customWidth="1"/>
    <col min="2584" max="2584" width="14.33203125" style="35" customWidth="1"/>
    <col min="2585" max="2809" width="8.6640625" style="35"/>
    <col min="2810" max="2810" width="14.33203125" style="35" customWidth="1"/>
    <col min="2811" max="2812" width="3.33203125" style="35" customWidth="1"/>
    <col min="2813" max="2837" width="2.4140625" style="35" customWidth="1"/>
    <col min="2838" max="2839" width="3.33203125" style="35" customWidth="1"/>
    <col min="2840" max="2840" width="14.33203125" style="35" customWidth="1"/>
    <col min="2841" max="3065" width="8.6640625" style="35"/>
    <col min="3066" max="3066" width="14.33203125" style="35" customWidth="1"/>
    <col min="3067" max="3068" width="3.33203125" style="35" customWidth="1"/>
    <col min="3069" max="3093" width="2.4140625" style="35" customWidth="1"/>
    <col min="3094" max="3095" width="3.33203125" style="35" customWidth="1"/>
    <col min="3096" max="3096" width="14.33203125" style="35" customWidth="1"/>
    <col min="3097" max="3321" width="8.6640625" style="35"/>
    <col min="3322" max="3322" width="14.33203125" style="35" customWidth="1"/>
    <col min="3323" max="3324" width="3.33203125" style="35" customWidth="1"/>
    <col min="3325" max="3349" width="2.4140625" style="35" customWidth="1"/>
    <col min="3350" max="3351" width="3.33203125" style="35" customWidth="1"/>
    <col min="3352" max="3352" width="14.33203125" style="35" customWidth="1"/>
    <col min="3353" max="3577" width="8.6640625" style="35"/>
    <col min="3578" max="3578" width="14.33203125" style="35" customWidth="1"/>
    <col min="3579" max="3580" width="3.33203125" style="35" customWidth="1"/>
    <col min="3581" max="3605" width="2.4140625" style="35" customWidth="1"/>
    <col min="3606" max="3607" width="3.33203125" style="35" customWidth="1"/>
    <col min="3608" max="3608" width="14.33203125" style="35" customWidth="1"/>
    <col min="3609" max="3833" width="8.6640625" style="35"/>
    <col min="3834" max="3834" width="14.33203125" style="35" customWidth="1"/>
    <col min="3835" max="3836" width="3.33203125" style="35" customWidth="1"/>
    <col min="3837" max="3861" width="2.4140625" style="35" customWidth="1"/>
    <col min="3862" max="3863" width="3.33203125" style="35" customWidth="1"/>
    <col min="3864" max="3864" width="14.33203125" style="35" customWidth="1"/>
    <col min="3865" max="4089" width="8.6640625" style="35"/>
    <col min="4090" max="4090" width="14.33203125" style="35" customWidth="1"/>
    <col min="4091" max="4092" width="3.33203125" style="35" customWidth="1"/>
    <col min="4093" max="4117" width="2.4140625" style="35" customWidth="1"/>
    <col min="4118" max="4119" width="3.33203125" style="35" customWidth="1"/>
    <col min="4120" max="4120" width="14.33203125" style="35" customWidth="1"/>
    <col min="4121" max="4345" width="8.6640625" style="35"/>
    <col min="4346" max="4346" width="14.33203125" style="35" customWidth="1"/>
    <col min="4347" max="4348" width="3.33203125" style="35" customWidth="1"/>
    <col min="4349" max="4373" width="2.4140625" style="35" customWidth="1"/>
    <col min="4374" max="4375" width="3.33203125" style="35" customWidth="1"/>
    <col min="4376" max="4376" width="14.33203125" style="35" customWidth="1"/>
    <col min="4377" max="4601" width="8.6640625" style="35"/>
    <col min="4602" max="4602" width="14.33203125" style="35" customWidth="1"/>
    <col min="4603" max="4604" width="3.33203125" style="35" customWidth="1"/>
    <col min="4605" max="4629" width="2.4140625" style="35" customWidth="1"/>
    <col min="4630" max="4631" width="3.33203125" style="35" customWidth="1"/>
    <col min="4632" max="4632" width="14.33203125" style="35" customWidth="1"/>
    <col min="4633" max="4857" width="8.6640625" style="35"/>
    <col min="4858" max="4858" width="14.33203125" style="35" customWidth="1"/>
    <col min="4859" max="4860" width="3.33203125" style="35" customWidth="1"/>
    <col min="4861" max="4885" width="2.4140625" style="35" customWidth="1"/>
    <col min="4886" max="4887" width="3.33203125" style="35" customWidth="1"/>
    <col min="4888" max="4888" width="14.33203125" style="35" customWidth="1"/>
    <col min="4889" max="5113" width="8.6640625" style="35"/>
    <col min="5114" max="5114" width="14.33203125" style="35" customWidth="1"/>
    <col min="5115" max="5116" width="3.33203125" style="35" customWidth="1"/>
    <col min="5117" max="5141" width="2.4140625" style="35" customWidth="1"/>
    <col min="5142" max="5143" width="3.33203125" style="35" customWidth="1"/>
    <col min="5144" max="5144" width="14.33203125" style="35" customWidth="1"/>
    <col min="5145" max="5369" width="8.6640625" style="35"/>
    <col min="5370" max="5370" width="14.33203125" style="35" customWidth="1"/>
    <col min="5371" max="5372" width="3.33203125" style="35" customWidth="1"/>
    <col min="5373" max="5397" width="2.4140625" style="35" customWidth="1"/>
    <col min="5398" max="5399" width="3.33203125" style="35" customWidth="1"/>
    <col min="5400" max="5400" width="14.33203125" style="35" customWidth="1"/>
    <col min="5401" max="5625" width="8.6640625" style="35"/>
    <col min="5626" max="5626" width="14.33203125" style="35" customWidth="1"/>
    <col min="5627" max="5628" width="3.33203125" style="35" customWidth="1"/>
    <col min="5629" max="5653" width="2.4140625" style="35" customWidth="1"/>
    <col min="5654" max="5655" width="3.33203125" style="35" customWidth="1"/>
    <col min="5656" max="5656" width="14.33203125" style="35" customWidth="1"/>
    <col min="5657" max="5881" width="8.6640625" style="35"/>
    <col min="5882" max="5882" width="14.33203125" style="35" customWidth="1"/>
    <col min="5883" max="5884" width="3.33203125" style="35" customWidth="1"/>
    <col min="5885" max="5909" width="2.4140625" style="35" customWidth="1"/>
    <col min="5910" max="5911" width="3.33203125" style="35" customWidth="1"/>
    <col min="5912" max="5912" width="14.33203125" style="35" customWidth="1"/>
    <col min="5913" max="6137" width="8.6640625" style="35"/>
    <col min="6138" max="6138" width="14.33203125" style="35" customWidth="1"/>
    <col min="6139" max="6140" width="3.33203125" style="35" customWidth="1"/>
    <col min="6141" max="6165" width="2.4140625" style="35" customWidth="1"/>
    <col min="6166" max="6167" width="3.33203125" style="35" customWidth="1"/>
    <col min="6168" max="6168" width="14.33203125" style="35" customWidth="1"/>
    <col min="6169" max="6393" width="8.6640625" style="35"/>
    <col min="6394" max="6394" width="14.33203125" style="35" customWidth="1"/>
    <col min="6395" max="6396" width="3.33203125" style="35" customWidth="1"/>
    <col min="6397" max="6421" width="2.4140625" style="35" customWidth="1"/>
    <col min="6422" max="6423" width="3.33203125" style="35" customWidth="1"/>
    <col min="6424" max="6424" width="14.33203125" style="35" customWidth="1"/>
    <col min="6425" max="6649" width="8.6640625" style="35"/>
    <col min="6650" max="6650" width="14.33203125" style="35" customWidth="1"/>
    <col min="6651" max="6652" width="3.33203125" style="35" customWidth="1"/>
    <col min="6653" max="6677" width="2.4140625" style="35" customWidth="1"/>
    <col min="6678" max="6679" width="3.33203125" style="35" customWidth="1"/>
    <col min="6680" max="6680" width="14.33203125" style="35" customWidth="1"/>
    <col min="6681" max="6905" width="8.6640625" style="35"/>
    <col min="6906" max="6906" width="14.33203125" style="35" customWidth="1"/>
    <col min="6907" max="6908" width="3.33203125" style="35" customWidth="1"/>
    <col min="6909" max="6933" width="2.4140625" style="35" customWidth="1"/>
    <col min="6934" max="6935" width="3.33203125" style="35" customWidth="1"/>
    <col min="6936" max="6936" width="14.33203125" style="35" customWidth="1"/>
    <col min="6937" max="7161" width="8.6640625" style="35"/>
    <col min="7162" max="7162" width="14.33203125" style="35" customWidth="1"/>
    <col min="7163" max="7164" width="3.33203125" style="35" customWidth="1"/>
    <col min="7165" max="7189" width="2.4140625" style="35" customWidth="1"/>
    <col min="7190" max="7191" width="3.33203125" style="35" customWidth="1"/>
    <col min="7192" max="7192" width="14.33203125" style="35" customWidth="1"/>
    <col min="7193" max="7417" width="8.6640625" style="35"/>
    <col min="7418" max="7418" width="14.33203125" style="35" customWidth="1"/>
    <col min="7419" max="7420" width="3.33203125" style="35" customWidth="1"/>
    <col min="7421" max="7445" width="2.4140625" style="35" customWidth="1"/>
    <col min="7446" max="7447" width="3.33203125" style="35" customWidth="1"/>
    <col min="7448" max="7448" width="14.33203125" style="35" customWidth="1"/>
    <col min="7449" max="7673" width="8.6640625" style="35"/>
    <col min="7674" max="7674" width="14.33203125" style="35" customWidth="1"/>
    <col min="7675" max="7676" width="3.33203125" style="35" customWidth="1"/>
    <col min="7677" max="7701" width="2.4140625" style="35" customWidth="1"/>
    <col min="7702" max="7703" width="3.33203125" style="35" customWidth="1"/>
    <col min="7704" max="7704" width="14.33203125" style="35" customWidth="1"/>
    <col min="7705" max="7929" width="8.6640625" style="35"/>
    <col min="7930" max="7930" width="14.33203125" style="35" customWidth="1"/>
    <col min="7931" max="7932" width="3.33203125" style="35" customWidth="1"/>
    <col min="7933" max="7957" width="2.4140625" style="35" customWidth="1"/>
    <col min="7958" max="7959" width="3.33203125" style="35" customWidth="1"/>
    <col min="7960" max="7960" width="14.33203125" style="35" customWidth="1"/>
    <col min="7961" max="8185" width="8.6640625" style="35"/>
    <col min="8186" max="8186" width="14.33203125" style="35" customWidth="1"/>
    <col min="8187" max="8188" width="3.33203125" style="35" customWidth="1"/>
    <col min="8189" max="8213" width="2.4140625" style="35" customWidth="1"/>
    <col min="8214" max="8215" width="3.33203125" style="35" customWidth="1"/>
    <col min="8216" max="8216" width="14.33203125" style="35" customWidth="1"/>
    <col min="8217" max="8441" width="8.6640625" style="35"/>
    <col min="8442" max="8442" width="14.33203125" style="35" customWidth="1"/>
    <col min="8443" max="8444" width="3.33203125" style="35" customWidth="1"/>
    <col min="8445" max="8469" width="2.4140625" style="35" customWidth="1"/>
    <col min="8470" max="8471" width="3.33203125" style="35" customWidth="1"/>
    <col min="8472" max="8472" width="14.33203125" style="35" customWidth="1"/>
    <col min="8473" max="8697" width="8.6640625" style="35"/>
    <col min="8698" max="8698" width="14.33203125" style="35" customWidth="1"/>
    <col min="8699" max="8700" width="3.33203125" style="35" customWidth="1"/>
    <col min="8701" max="8725" width="2.4140625" style="35" customWidth="1"/>
    <col min="8726" max="8727" width="3.33203125" style="35" customWidth="1"/>
    <col min="8728" max="8728" width="14.33203125" style="35" customWidth="1"/>
    <col min="8729" max="8953" width="8.6640625" style="35"/>
    <col min="8954" max="8954" width="14.33203125" style="35" customWidth="1"/>
    <col min="8955" max="8956" width="3.33203125" style="35" customWidth="1"/>
    <col min="8957" max="8981" width="2.4140625" style="35" customWidth="1"/>
    <col min="8982" max="8983" width="3.33203125" style="35" customWidth="1"/>
    <col min="8984" max="8984" width="14.33203125" style="35" customWidth="1"/>
    <col min="8985" max="9209" width="8.6640625" style="35"/>
    <col min="9210" max="9210" width="14.33203125" style="35" customWidth="1"/>
    <col min="9211" max="9212" width="3.33203125" style="35" customWidth="1"/>
    <col min="9213" max="9237" width="2.4140625" style="35" customWidth="1"/>
    <col min="9238" max="9239" width="3.33203125" style="35" customWidth="1"/>
    <col min="9240" max="9240" width="14.33203125" style="35" customWidth="1"/>
    <col min="9241" max="9465" width="8.6640625" style="35"/>
    <col min="9466" max="9466" width="14.33203125" style="35" customWidth="1"/>
    <col min="9467" max="9468" width="3.33203125" style="35" customWidth="1"/>
    <col min="9469" max="9493" width="2.4140625" style="35" customWidth="1"/>
    <col min="9494" max="9495" width="3.33203125" style="35" customWidth="1"/>
    <col min="9496" max="9496" width="14.33203125" style="35" customWidth="1"/>
    <col min="9497" max="9721" width="8.6640625" style="35"/>
    <col min="9722" max="9722" width="14.33203125" style="35" customWidth="1"/>
    <col min="9723" max="9724" width="3.33203125" style="35" customWidth="1"/>
    <col min="9725" max="9749" width="2.4140625" style="35" customWidth="1"/>
    <col min="9750" max="9751" width="3.33203125" style="35" customWidth="1"/>
    <col min="9752" max="9752" width="14.33203125" style="35" customWidth="1"/>
    <col min="9753" max="9977" width="8.6640625" style="35"/>
    <col min="9978" max="9978" width="14.33203125" style="35" customWidth="1"/>
    <col min="9979" max="9980" width="3.33203125" style="35" customWidth="1"/>
    <col min="9981" max="10005" width="2.4140625" style="35" customWidth="1"/>
    <col min="10006" max="10007" width="3.33203125" style="35" customWidth="1"/>
    <col min="10008" max="10008" width="14.33203125" style="35" customWidth="1"/>
    <col min="10009" max="10233" width="8.6640625" style="35"/>
    <col min="10234" max="10234" width="14.33203125" style="35" customWidth="1"/>
    <col min="10235" max="10236" width="3.33203125" style="35" customWidth="1"/>
    <col min="10237" max="10261" width="2.4140625" style="35" customWidth="1"/>
    <col min="10262" max="10263" width="3.33203125" style="35" customWidth="1"/>
    <col min="10264" max="10264" width="14.33203125" style="35" customWidth="1"/>
    <col min="10265" max="10489" width="8.6640625" style="35"/>
    <col min="10490" max="10490" width="14.33203125" style="35" customWidth="1"/>
    <col min="10491" max="10492" width="3.33203125" style="35" customWidth="1"/>
    <col min="10493" max="10517" width="2.4140625" style="35" customWidth="1"/>
    <col min="10518" max="10519" width="3.33203125" style="35" customWidth="1"/>
    <col min="10520" max="10520" width="14.33203125" style="35" customWidth="1"/>
    <col min="10521" max="10745" width="8.6640625" style="35"/>
    <col min="10746" max="10746" width="14.33203125" style="35" customWidth="1"/>
    <col min="10747" max="10748" width="3.33203125" style="35" customWidth="1"/>
    <col min="10749" max="10773" width="2.4140625" style="35" customWidth="1"/>
    <col min="10774" max="10775" width="3.33203125" style="35" customWidth="1"/>
    <col min="10776" max="10776" width="14.33203125" style="35" customWidth="1"/>
    <col min="10777" max="11001" width="8.6640625" style="35"/>
    <col min="11002" max="11002" width="14.33203125" style="35" customWidth="1"/>
    <col min="11003" max="11004" width="3.33203125" style="35" customWidth="1"/>
    <col min="11005" max="11029" width="2.4140625" style="35" customWidth="1"/>
    <col min="11030" max="11031" width="3.33203125" style="35" customWidth="1"/>
    <col min="11032" max="11032" width="14.33203125" style="35" customWidth="1"/>
    <col min="11033" max="11257" width="8.6640625" style="35"/>
    <col min="11258" max="11258" width="14.33203125" style="35" customWidth="1"/>
    <col min="11259" max="11260" width="3.33203125" style="35" customWidth="1"/>
    <col min="11261" max="11285" width="2.4140625" style="35" customWidth="1"/>
    <col min="11286" max="11287" width="3.33203125" style="35" customWidth="1"/>
    <col min="11288" max="11288" width="14.33203125" style="35" customWidth="1"/>
    <col min="11289" max="11513" width="8.6640625" style="35"/>
    <col min="11514" max="11514" width="14.33203125" style="35" customWidth="1"/>
    <col min="11515" max="11516" width="3.33203125" style="35" customWidth="1"/>
    <col min="11517" max="11541" width="2.4140625" style="35" customWidth="1"/>
    <col min="11542" max="11543" width="3.33203125" style="35" customWidth="1"/>
    <col min="11544" max="11544" width="14.33203125" style="35" customWidth="1"/>
    <col min="11545" max="11769" width="8.6640625" style="35"/>
    <col min="11770" max="11770" width="14.33203125" style="35" customWidth="1"/>
    <col min="11771" max="11772" width="3.33203125" style="35" customWidth="1"/>
    <col min="11773" max="11797" width="2.4140625" style="35" customWidth="1"/>
    <col min="11798" max="11799" width="3.33203125" style="35" customWidth="1"/>
    <col min="11800" max="11800" width="14.33203125" style="35" customWidth="1"/>
    <col min="11801" max="12025" width="8.6640625" style="35"/>
    <col min="12026" max="12026" width="14.33203125" style="35" customWidth="1"/>
    <col min="12027" max="12028" width="3.33203125" style="35" customWidth="1"/>
    <col min="12029" max="12053" width="2.4140625" style="35" customWidth="1"/>
    <col min="12054" max="12055" width="3.33203125" style="35" customWidth="1"/>
    <col min="12056" max="12056" width="14.33203125" style="35" customWidth="1"/>
    <col min="12057" max="12281" width="8.6640625" style="35"/>
    <col min="12282" max="12282" width="14.33203125" style="35" customWidth="1"/>
    <col min="12283" max="12284" width="3.33203125" style="35" customWidth="1"/>
    <col min="12285" max="12309" width="2.4140625" style="35" customWidth="1"/>
    <col min="12310" max="12311" width="3.33203125" style="35" customWidth="1"/>
    <col min="12312" max="12312" width="14.33203125" style="35" customWidth="1"/>
    <col min="12313" max="12537" width="8.6640625" style="35"/>
    <col min="12538" max="12538" width="14.33203125" style="35" customWidth="1"/>
    <col min="12539" max="12540" width="3.33203125" style="35" customWidth="1"/>
    <col min="12541" max="12565" width="2.4140625" style="35" customWidth="1"/>
    <col min="12566" max="12567" width="3.33203125" style="35" customWidth="1"/>
    <col min="12568" max="12568" width="14.33203125" style="35" customWidth="1"/>
    <col min="12569" max="12793" width="8.6640625" style="35"/>
    <col min="12794" max="12794" width="14.33203125" style="35" customWidth="1"/>
    <col min="12795" max="12796" width="3.33203125" style="35" customWidth="1"/>
    <col min="12797" max="12821" width="2.4140625" style="35" customWidth="1"/>
    <col min="12822" max="12823" width="3.33203125" style="35" customWidth="1"/>
    <col min="12824" max="12824" width="14.33203125" style="35" customWidth="1"/>
    <col min="12825" max="13049" width="8.6640625" style="35"/>
    <col min="13050" max="13050" width="14.33203125" style="35" customWidth="1"/>
    <col min="13051" max="13052" width="3.33203125" style="35" customWidth="1"/>
    <col min="13053" max="13077" width="2.4140625" style="35" customWidth="1"/>
    <col min="13078" max="13079" width="3.33203125" style="35" customWidth="1"/>
    <col min="13080" max="13080" width="14.33203125" style="35" customWidth="1"/>
    <col min="13081" max="13305" width="8.6640625" style="35"/>
    <col min="13306" max="13306" width="14.33203125" style="35" customWidth="1"/>
    <col min="13307" max="13308" width="3.33203125" style="35" customWidth="1"/>
    <col min="13309" max="13333" width="2.4140625" style="35" customWidth="1"/>
    <col min="13334" max="13335" width="3.33203125" style="35" customWidth="1"/>
    <col min="13336" max="13336" width="14.33203125" style="35" customWidth="1"/>
    <col min="13337" max="13561" width="8.6640625" style="35"/>
    <col min="13562" max="13562" width="14.33203125" style="35" customWidth="1"/>
    <col min="13563" max="13564" width="3.33203125" style="35" customWidth="1"/>
    <col min="13565" max="13589" width="2.4140625" style="35" customWidth="1"/>
    <col min="13590" max="13591" width="3.33203125" style="35" customWidth="1"/>
    <col min="13592" max="13592" width="14.33203125" style="35" customWidth="1"/>
    <col min="13593" max="13817" width="8.6640625" style="35"/>
    <col min="13818" max="13818" width="14.33203125" style="35" customWidth="1"/>
    <col min="13819" max="13820" width="3.33203125" style="35" customWidth="1"/>
    <col min="13821" max="13845" width="2.4140625" style="35" customWidth="1"/>
    <col min="13846" max="13847" width="3.33203125" style="35" customWidth="1"/>
    <col min="13848" max="13848" width="14.33203125" style="35" customWidth="1"/>
    <col min="13849" max="14073" width="8.6640625" style="35"/>
    <col min="14074" max="14074" width="14.33203125" style="35" customWidth="1"/>
    <col min="14075" max="14076" width="3.33203125" style="35" customWidth="1"/>
    <col min="14077" max="14101" width="2.4140625" style="35" customWidth="1"/>
    <col min="14102" max="14103" width="3.33203125" style="35" customWidth="1"/>
    <col min="14104" max="14104" width="14.33203125" style="35" customWidth="1"/>
    <col min="14105" max="14329" width="8.6640625" style="35"/>
    <col min="14330" max="14330" width="14.33203125" style="35" customWidth="1"/>
    <col min="14331" max="14332" width="3.33203125" style="35" customWidth="1"/>
    <col min="14333" max="14357" width="2.4140625" style="35" customWidth="1"/>
    <col min="14358" max="14359" width="3.33203125" style="35" customWidth="1"/>
    <col min="14360" max="14360" width="14.33203125" style="35" customWidth="1"/>
    <col min="14361" max="14585" width="8.6640625" style="35"/>
    <col min="14586" max="14586" width="14.33203125" style="35" customWidth="1"/>
    <col min="14587" max="14588" width="3.33203125" style="35" customWidth="1"/>
    <col min="14589" max="14613" width="2.4140625" style="35" customWidth="1"/>
    <col min="14614" max="14615" width="3.33203125" style="35" customWidth="1"/>
    <col min="14616" max="14616" width="14.33203125" style="35" customWidth="1"/>
    <col min="14617" max="14841" width="8.6640625" style="35"/>
    <col min="14842" max="14842" width="14.33203125" style="35" customWidth="1"/>
    <col min="14843" max="14844" width="3.33203125" style="35" customWidth="1"/>
    <col min="14845" max="14869" width="2.4140625" style="35" customWidth="1"/>
    <col min="14870" max="14871" width="3.33203125" style="35" customWidth="1"/>
    <col min="14872" max="14872" width="14.33203125" style="35" customWidth="1"/>
    <col min="14873" max="15097" width="8.6640625" style="35"/>
    <col min="15098" max="15098" width="14.33203125" style="35" customWidth="1"/>
    <col min="15099" max="15100" width="3.33203125" style="35" customWidth="1"/>
    <col min="15101" max="15125" width="2.4140625" style="35" customWidth="1"/>
    <col min="15126" max="15127" width="3.33203125" style="35" customWidth="1"/>
    <col min="15128" max="15128" width="14.33203125" style="35" customWidth="1"/>
    <col min="15129" max="15353" width="8.6640625" style="35"/>
    <col min="15354" max="15354" width="14.33203125" style="35" customWidth="1"/>
    <col min="15355" max="15356" width="3.33203125" style="35" customWidth="1"/>
    <col min="15357" max="15381" width="2.4140625" style="35" customWidth="1"/>
    <col min="15382" max="15383" width="3.33203125" style="35" customWidth="1"/>
    <col min="15384" max="15384" width="14.33203125" style="35" customWidth="1"/>
    <col min="15385" max="15609" width="8.6640625" style="35"/>
    <col min="15610" max="15610" width="14.33203125" style="35" customWidth="1"/>
    <col min="15611" max="15612" width="3.33203125" style="35" customWidth="1"/>
    <col min="15613" max="15637" width="2.4140625" style="35" customWidth="1"/>
    <col min="15638" max="15639" width="3.33203125" style="35" customWidth="1"/>
    <col min="15640" max="15640" width="14.33203125" style="35" customWidth="1"/>
    <col min="15641" max="15865" width="8.6640625" style="35"/>
    <col min="15866" max="15866" width="14.33203125" style="35" customWidth="1"/>
    <col min="15867" max="15868" width="3.33203125" style="35" customWidth="1"/>
    <col min="15869" max="15893" width="2.4140625" style="35" customWidth="1"/>
    <col min="15894" max="15895" width="3.33203125" style="35" customWidth="1"/>
    <col min="15896" max="15896" width="14.33203125" style="35" customWidth="1"/>
    <col min="15897" max="16121" width="8.6640625" style="35"/>
    <col min="16122" max="16122" width="14.33203125" style="35" customWidth="1"/>
    <col min="16123" max="16124" width="3.33203125" style="35" customWidth="1"/>
    <col min="16125" max="16149" width="2.4140625" style="35" customWidth="1"/>
    <col min="16150" max="16151" width="3.33203125" style="35" customWidth="1"/>
    <col min="16152" max="16152" width="14.33203125" style="35" customWidth="1"/>
    <col min="16153" max="16384" width="8.6640625" style="35"/>
  </cols>
  <sheetData>
    <row r="1" spans="1:27" ht="25" customHeight="1" x14ac:dyDescent="0.55000000000000004">
      <c r="A1" s="34" t="s">
        <v>368</v>
      </c>
      <c r="Y1" s="4"/>
      <c r="Z1" s="4"/>
      <c r="AA1" s="4"/>
    </row>
    <row r="2" spans="1:27" ht="25" customHeight="1" x14ac:dyDescent="0.55000000000000004">
      <c r="A2" s="34"/>
      <c r="Y2" s="4"/>
      <c r="Z2" s="4"/>
      <c r="AA2" s="4"/>
    </row>
    <row r="3" spans="1:27" ht="25" customHeight="1" x14ac:dyDescent="0.55000000000000004">
      <c r="A3" s="34"/>
      <c r="Y3" s="4"/>
      <c r="Z3" s="4"/>
      <c r="AA3" s="4"/>
    </row>
    <row r="4" spans="1:27" ht="25" customHeight="1" x14ac:dyDescent="0.55000000000000004">
      <c r="A4" s="34"/>
      <c r="Y4" s="4"/>
      <c r="Z4" s="4"/>
      <c r="AA4" s="4"/>
    </row>
    <row r="5" spans="1:27" ht="25" customHeight="1" x14ac:dyDescent="0.55000000000000004">
      <c r="A5" s="34"/>
      <c r="Y5" s="4"/>
      <c r="Z5" s="4"/>
      <c r="AA5" s="24" t="s">
        <v>1185</v>
      </c>
    </row>
    <row r="9" spans="1:27" ht="105" customHeight="1" x14ac:dyDescent="0.55000000000000004">
      <c r="F9" s="69">
        <f>'PF64'!V73</f>
        <v>0</v>
      </c>
      <c r="G9" s="69">
        <f>'PF64'!V72</f>
        <v>0</v>
      </c>
      <c r="H9" s="69">
        <f>'PF64'!V71</f>
        <v>0</v>
      </c>
      <c r="I9" s="69">
        <f>'PF64'!V70</f>
        <v>0</v>
      </c>
      <c r="J9" s="69">
        <f>'PF64'!V69</f>
        <v>0</v>
      </c>
      <c r="K9" s="69">
        <f>'PF64'!V68</f>
        <v>0</v>
      </c>
      <c r="L9" s="68" t="str">
        <f>'PF64'!V67</f>
        <v>VCCD</v>
      </c>
      <c r="M9" s="70" t="str">
        <f>'PF64'!V66</f>
        <v>VSSD</v>
      </c>
      <c r="N9" s="70" t="str">
        <f>'PF64'!V65</f>
        <v>VSSD</v>
      </c>
      <c r="O9" s="68" t="str">
        <f>'PF64'!V64</f>
        <v>VDDD</v>
      </c>
      <c r="P9" s="71" t="str">
        <f>'PF64'!V63</f>
        <v>XRES_L</v>
      </c>
      <c r="Q9" s="69">
        <f>'PF64'!V62</f>
        <v>0</v>
      </c>
      <c r="R9" s="69">
        <f>'PF64'!V61</f>
        <v>0</v>
      </c>
      <c r="S9" s="69">
        <f>'PF64'!V60</f>
        <v>0</v>
      </c>
      <c r="T9" s="69">
        <f>'PF64'!V59</f>
        <v>0</v>
      </c>
      <c r="U9" s="70" t="str">
        <f>'PF64'!V58</f>
        <v>VSSD</v>
      </c>
    </row>
    <row r="10" spans="1:27" ht="15" customHeight="1" x14ac:dyDescent="0.55000000000000004">
      <c r="D10" s="72"/>
      <c r="E10" s="73"/>
      <c r="F10" s="73">
        <v>64</v>
      </c>
      <c r="G10" s="73">
        <v>63</v>
      </c>
      <c r="H10" s="73">
        <v>62</v>
      </c>
      <c r="I10" s="73">
        <v>61</v>
      </c>
      <c r="J10" s="73">
        <v>60</v>
      </c>
      <c r="K10" s="73">
        <v>59</v>
      </c>
      <c r="L10" s="73">
        <v>58</v>
      </c>
      <c r="M10" s="73">
        <v>57</v>
      </c>
      <c r="N10" s="73">
        <v>56</v>
      </c>
      <c r="O10" s="73">
        <v>55</v>
      </c>
      <c r="P10" s="73">
        <v>54</v>
      </c>
      <c r="Q10" s="73">
        <v>53</v>
      </c>
      <c r="R10" s="73">
        <v>52</v>
      </c>
      <c r="S10" s="73">
        <v>51</v>
      </c>
      <c r="T10" s="73">
        <v>50</v>
      </c>
      <c r="U10" s="73">
        <v>49</v>
      </c>
      <c r="V10" s="73"/>
      <c r="W10" s="74"/>
    </row>
    <row r="11" spans="1:27" ht="15" customHeight="1" x14ac:dyDescent="0.55000000000000004">
      <c r="D11" s="75"/>
      <c r="E11" s="76"/>
      <c r="F11" s="76"/>
      <c r="G11" s="76"/>
      <c r="H11" s="76"/>
      <c r="I11" s="76"/>
      <c r="J11" s="76"/>
      <c r="K11" s="76"/>
      <c r="L11" s="76"/>
      <c r="M11" s="76"/>
      <c r="N11" s="76"/>
      <c r="O11" s="76"/>
      <c r="P11" s="76"/>
      <c r="Q11" s="76"/>
      <c r="R11" s="76"/>
      <c r="S11" s="76"/>
      <c r="T11" s="76"/>
      <c r="U11" s="76"/>
      <c r="V11" s="76"/>
      <c r="W11" s="77"/>
    </row>
    <row r="12" spans="1:27" ht="15" customHeight="1" x14ac:dyDescent="0.55000000000000004">
      <c r="B12" s="78"/>
      <c r="C12" s="81">
        <f>'PF64'!V10</f>
        <v>0</v>
      </c>
      <c r="D12" s="75">
        <v>1</v>
      </c>
      <c r="E12" s="76"/>
      <c r="F12" s="136" t="s">
        <v>369</v>
      </c>
      <c r="G12" s="136"/>
      <c r="H12" s="136"/>
      <c r="I12" s="136"/>
      <c r="J12" s="136"/>
      <c r="K12" s="136"/>
      <c r="L12" s="136"/>
      <c r="M12" s="136"/>
      <c r="N12" s="136"/>
      <c r="O12" s="136"/>
      <c r="P12" s="136"/>
      <c r="Q12" s="136"/>
      <c r="R12" s="136"/>
      <c r="S12" s="136"/>
      <c r="T12" s="136"/>
      <c r="U12" s="136"/>
      <c r="V12" s="76"/>
      <c r="W12" s="77">
        <v>48</v>
      </c>
      <c r="X12" s="80" t="str">
        <f>'PF64'!V57</f>
        <v>VDDD</v>
      </c>
    </row>
    <row r="13" spans="1:27" ht="15" customHeight="1" x14ac:dyDescent="0.55000000000000004">
      <c r="B13" s="78"/>
      <c r="C13" s="81">
        <f>'PF64'!V11</f>
        <v>0</v>
      </c>
      <c r="D13" s="75">
        <v>2</v>
      </c>
      <c r="E13" s="76"/>
      <c r="F13" s="136"/>
      <c r="G13" s="136"/>
      <c r="H13" s="136"/>
      <c r="I13" s="136"/>
      <c r="J13" s="136"/>
      <c r="K13" s="136"/>
      <c r="L13" s="136"/>
      <c r="M13" s="136"/>
      <c r="N13" s="136"/>
      <c r="O13" s="136"/>
      <c r="P13" s="136"/>
      <c r="Q13" s="136"/>
      <c r="R13" s="136"/>
      <c r="S13" s="136"/>
      <c r="T13" s="136"/>
      <c r="U13" s="136"/>
      <c r="V13" s="76"/>
      <c r="W13" s="77">
        <v>47</v>
      </c>
      <c r="X13" s="82">
        <f>'PF64'!V56</f>
        <v>0</v>
      </c>
    </row>
    <row r="14" spans="1:27" ht="15" customHeight="1" x14ac:dyDescent="0.55000000000000004">
      <c r="B14" s="78"/>
      <c r="C14" s="81">
        <f>'PF64'!V12</f>
        <v>0</v>
      </c>
      <c r="D14" s="75">
        <v>3</v>
      </c>
      <c r="E14" s="76"/>
      <c r="F14" s="136"/>
      <c r="G14" s="136"/>
      <c r="H14" s="136"/>
      <c r="I14" s="136"/>
      <c r="J14" s="136"/>
      <c r="K14" s="136"/>
      <c r="L14" s="136"/>
      <c r="M14" s="136"/>
      <c r="N14" s="136"/>
      <c r="O14" s="136"/>
      <c r="P14" s="136"/>
      <c r="Q14" s="136"/>
      <c r="R14" s="136"/>
      <c r="S14" s="136"/>
      <c r="T14" s="136"/>
      <c r="U14" s="136"/>
      <c r="V14" s="76"/>
      <c r="W14" s="77">
        <v>46</v>
      </c>
      <c r="X14" s="82">
        <f>'PF64'!V55</f>
        <v>0</v>
      </c>
    </row>
    <row r="15" spans="1:27" ht="15" customHeight="1" x14ac:dyDescent="0.55000000000000004">
      <c r="B15" s="78"/>
      <c r="C15" s="81">
        <f>'PF64'!V13</f>
        <v>0</v>
      </c>
      <c r="D15" s="75">
        <v>4</v>
      </c>
      <c r="E15" s="76"/>
      <c r="F15" s="136"/>
      <c r="G15" s="136"/>
      <c r="H15" s="136"/>
      <c r="I15" s="136"/>
      <c r="J15" s="136"/>
      <c r="K15" s="136"/>
      <c r="L15" s="136"/>
      <c r="M15" s="136"/>
      <c r="N15" s="136"/>
      <c r="O15" s="136"/>
      <c r="P15" s="136"/>
      <c r="Q15" s="136"/>
      <c r="R15" s="136"/>
      <c r="S15" s="136"/>
      <c r="T15" s="136"/>
      <c r="U15" s="136"/>
      <c r="V15" s="76"/>
      <c r="W15" s="77">
        <v>45</v>
      </c>
      <c r="X15" s="82">
        <f>'PF64'!V54</f>
        <v>0</v>
      </c>
    </row>
    <row r="16" spans="1:27" ht="15" customHeight="1" x14ac:dyDescent="0.55000000000000004">
      <c r="B16" s="78"/>
      <c r="C16" s="81">
        <f>'PF64'!V14</f>
        <v>0</v>
      </c>
      <c r="D16" s="75">
        <v>5</v>
      </c>
      <c r="E16" s="76"/>
      <c r="F16" s="136"/>
      <c r="G16" s="136"/>
      <c r="H16" s="136"/>
      <c r="I16" s="136"/>
      <c r="J16" s="136"/>
      <c r="K16" s="136"/>
      <c r="L16" s="136"/>
      <c r="M16" s="136"/>
      <c r="N16" s="136"/>
      <c r="O16" s="136"/>
      <c r="P16" s="136"/>
      <c r="Q16" s="136"/>
      <c r="R16" s="136"/>
      <c r="S16" s="136"/>
      <c r="T16" s="136"/>
      <c r="U16" s="136"/>
      <c r="V16" s="76"/>
      <c r="W16" s="77">
        <v>44</v>
      </c>
      <c r="X16" s="82">
        <f>'PF64'!V53</f>
        <v>0</v>
      </c>
    </row>
    <row r="17" spans="2:24" ht="15" customHeight="1" x14ac:dyDescent="0.55000000000000004">
      <c r="B17" s="78"/>
      <c r="C17" s="81">
        <f>'PF64'!V15</f>
        <v>0</v>
      </c>
      <c r="D17" s="75">
        <v>6</v>
      </c>
      <c r="E17" s="76"/>
      <c r="F17" s="136"/>
      <c r="G17" s="136"/>
      <c r="H17" s="136"/>
      <c r="I17" s="136"/>
      <c r="J17" s="136"/>
      <c r="K17" s="136"/>
      <c r="L17" s="136"/>
      <c r="M17" s="136"/>
      <c r="N17" s="136"/>
      <c r="O17" s="136"/>
      <c r="P17" s="136"/>
      <c r="Q17" s="136"/>
      <c r="R17" s="136"/>
      <c r="S17" s="136"/>
      <c r="T17" s="136"/>
      <c r="U17" s="136"/>
      <c r="V17" s="76"/>
      <c r="W17" s="77">
        <v>43</v>
      </c>
      <c r="X17" s="82">
        <f>'PF64'!V52</f>
        <v>0</v>
      </c>
    </row>
    <row r="18" spans="2:24" ht="15" customHeight="1" x14ac:dyDescent="0.55000000000000004">
      <c r="B18" s="78"/>
      <c r="C18" s="81">
        <f>'PF64'!V16</f>
        <v>0</v>
      </c>
      <c r="D18" s="75">
        <v>7</v>
      </c>
      <c r="E18" s="76"/>
      <c r="F18" s="136"/>
      <c r="G18" s="136"/>
      <c r="H18" s="136"/>
      <c r="I18" s="136"/>
      <c r="J18" s="136"/>
      <c r="K18" s="136"/>
      <c r="L18" s="136"/>
      <c r="M18" s="136"/>
      <c r="N18" s="136"/>
      <c r="O18" s="136"/>
      <c r="P18" s="136"/>
      <c r="Q18" s="136"/>
      <c r="R18" s="136"/>
      <c r="S18" s="136"/>
      <c r="T18" s="136"/>
      <c r="U18" s="136"/>
      <c r="V18" s="76"/>
      <c r="W18" s="77">
        <v>42</v>
      </c>
      <c r="X18" s="82">
        <f>'PF64'!V51</f>
        <v>0</v>
      </c>
    </row>
    <row r="19" spans="2:24" ht="15" customHeight="1" x14ac:dyDescent="0.55000000000000004">
      <c r="B19" s="78"/>
      <c r="C19" s="81">
        <f>'PF64'!V17</f>
        <v>0</v>
      </c>
      <c r="D19" s="75">
        <v>8</v>
      </c>
      <c r="E19" s="76"/>
      <c r="F19" s="136"/>
      <c r="G19" s="136"/>
      <c r="H19" s="136"/>
      <c r="I19" s="136"/>
      <c r="J19" s="136"/>
      <c r="K19" s="136"/>
      <c r="L19" s="136"/>
      <c r="M19" s="136"/>
      <c r="N19" s="136"/>
      <c r="O19" s="136"/>
      <c r="P19" s="136"/>
      <c r="Q19" s="136"/>
      <c r="R19" s="136"/>
      <c r="S19" s="136"/>
      <c r="T19" s="136"/>
      <c r="U19" s="136"/>
      <c r="V19" s="76"/>
      <c r="W19" s="77">
        <v>41</v>
      </c>
      <c r="X19" s="82">
        <f>'PF64'!V50</f>
        <v>0</v>
      </c>
    </row>
    <row r="20" spans="2:24" ht="15" customHeight="1" x14ac:dyDescent="0.55000000000000004">
      <c r="B20" s="78"/>
      <c r="C20" s="81">
        <f>'PF64'!V18</f>
        <v>0</v>
      </c>
      <c r="D20" s="75">
        <v>9</v>
      </c>
      <c r="E20" s="76"/>
      <c r="F20" s="136"/>
      <c r="G20" s="136"/>
      <c r="H20" s="136"/>
      <c r="I20" s="136"/>
      <c r="J20" s="136"/>
      <c r="K20" s="136"/>
      <c r="L20" s="136"/>
      <c r="M20" s="136"/>
      <c r="N20" s="136"/>
      <c r="O20" s="136"/>
      <c r="P20" s="136"/>
      <c r="Q20" s="136"/>
      <c r="R20" s="136"/>
      <c r="S20" s="136"/>
      <c r="T20" s="136"/>
      <c r="U20" s="136"/>
      <c r="V20" s="76"/>
      <c r="W20" s="77">
        <v>40</v>
      </c>
      <c r="X20" s="82">
        <f>'PF64'!V49</f>
        <v>0</v>
      </c>
    </row>
    <row r="21" spans="2:24" ht="15" customHeight="1" x14ac:dyDescent="0.55000000000000004">
      <c r="B21" s="78"/>
      <c r="C21" s="81">
        <f>'PF64'!V19</f>
        <v>0</v>
      </c>
      <c r="D21" s="75">
        <v>10</v>
      </c>
      <c r="E21" s="76"/>
      <c r="F21" s="136"/>
      <c r="G21" s="136"/>
      <c r="H21" s="136"/>
      <c r="I21" s="136"/>
      <c r="J21" s="136"/>
      <c r="K21" s="136"/>
      <c r="L21" s="136"/>
      <c r="M21" s="136"/>
      <c r="N21" s="136"/>
      <c r="O21" s="136"/>
      <c r="P21" s="136"/>
      <c r="Q21" s="136"/>
      <c r="R21" s="136"/>
      <c r="S21" s="136"/>
      <c r="T21" s="136"/>
      <c r="U21" s="136"/>
      <c r="V21" s="76"/>
      <c r="W21" s="77">
        <v>39</v>
      </c>
      <c r="X21" s="82">
        <f>'PF64'!V48</f>
        <v>0</v>
      </c>
    </row>
    <row r="22" spans="2:24" ht="15" customHeight="1" x14ac:dyDescent="0.55000000000000004">
      <c r="B22" s="78"/>
      <c r="C22" s="81">
        <f>'PF64'!V20</f>
        <v>0</v>
      </c>
      <c r="D22" s="75">
        <v>11</v>
      </c>
      <c r="E22" s="76"/>
      <c r="F22" s="136"/>
      <c r="G22" s="136"/>
      <c r="H22" s="136"/>
      <c r="I22" s="136"/>
      <c r="J22" s="136"/>
      <c r="K22" s="136"/>
      <c r="L22" s="136"/>
      <c r="M22" s="136"/>
      <c r="N22" s="136"/>
      <c r="O22" s="136"/>
      <c r="P22" s="136"/>
      <c r="Q22" s="136"/>
      <c r="R22" s="136"/>
      <c r="S22" s="136"/>
      <c r="T22" s="136"/>
      <c r="U22" s="136"/>
      <c r="V22" s="76"/>
      <c r="W22" s="77">
        <v>38</v>
      </c>
      <c r="X22" s="82">
        <f>'PF64'!V47</f>
        <v>0</v>
      </c>
    </row>
    <row r="23" spans="2:24" ht="15" customHeight="1" x14ac:dyDescent="0.55000000000000004">
      <c r="B23" s="78"/>
      <c r="C23" s="81">
        <f>'PF64'!V21</f>
        <v>0</v>
      </c>
      <c r="D23" s="75">
        <v>12</v>
      </c>
      <c r="E23" s="76"/>
      <c r="F23" s="136"/>
      <c r="G23" s="136"/>
      <c r="H23" s="136"/>
      <c r="I23" s="136"/>
      <c r="J23" s="136"/>
      <c r="K23" s="136"/>
      <c r="L23" s="136"/>
      <c r="M23" s="136"/>
      <c r="N23" s="136"/>
      <c r="O23" s="136"/>
      <c r="P23" s="136"/>
      <c r="Q23" s="136"/>
      <c r="R23" s="136"/>
      <c r="S23" s="136"/>
      <c r="T23" s="136"/>
      <c r="U23" s="136"/>
      <c r="V23" s="76"/>
      <c r="W23" s="77">
        <v>37</v>
      </c>
      <c r="X23" s="82">
        <f>'PF64'!V46</f>
        <v>0</v>
      </c>
    </row>
    <row r="24" spans="2:24" ht="15" customHeight="1" x14ac:dyDescent="0.55000000000000004">
      <c r="B24" s="78"/>
      <c r="C24" s="81">
        <f>'PF64'!V22</f>
        <v>0</v>
      </c>
      <c r="D24" s="75">
        <v>13</v>
      </c>
      <c r="E24" s="76"/>
      <c r="F24" s="136"/>
      <c r="G24" s="136"/>
      <c r="H24" s="136"/>
      <c r="I24" s="136"/>
      <c r="J24" s="136"/>
      <c r="K24" s="136"/>
      <c r="L24" s="136"/>
      <c r="M24" s="136"/>
      <c r="N24" s="136"/>
      <c r="O24" s="136"/>
      <c r="P24" s="136"/>
      <c r="Q24" s="136"/>
      <c r="R24" s="136"/>
      <c r="S24" s="136"/>
      <c r="T24" s="136"/>
      <c r="U24" s="136"/>
      <c r="V24" s="76"/>
      <c r="W24" s="77">
        <v>36</v>
      </c>
      <c r="X24" s="82">
        <f>'PF64'!V45</f>
        <v>0</v>
      </c>
    </row>
    <row r="25" spans="2:24" ht="15" customHeight="1" x14ac:dyDescent="0.55000000000000004">
      <c r="B25" s="78"/>
      <c r="C25" s="81">
        <f>'PF64'!V23</f>
        <v>0</v>
      </c>
      <c r="D25" s="75">
        <v>14</v>
      </c>
      <c r="E25" s="76"/>
      <c r="F25" s="136"/>
      <c r="G25" s="136"/>
      <c r="H25" s="136"/>
      <c r="I25" s="136"/>
      <c r="J25" s="136"/>
      <c r="K25" s="136"/>
      <c r="L25" s="136"/>
      <c r="M25" s="136"/>
      <c r="N25" s="136"/>
      <c r="O25" s="136"/>
      <c r="P25" s="136"/>
      <c r="Q25" s="136"/>
      <c r="R25" s="136"/>
      <c r="S25" s="136"/>
      <c r="T25" s="136"/>
      <c r="U25" s="136"/>
      <c r="V25" s="76"/>
      <c r="W25" s="77">
        <v>35</v>
      </c>
      <c r="X25" s="82">
        <f>'PF64'!V44</f>
        <v>0</v>
      </c>
    </row>
    <row r="26" spans="2:24" ht="15" customHeight="1" x14ac:dyDescent="0.55000000000000004">
      <c r="B26" s="78"/>
      <c r="C26" s="81">
        <f>'PF64'!V24</f>
        <v>0</v>
      </c>
      <c r="D26" s="75">
        <v>15</v>
      </c>
      <c r="E26" s="76"/>
      <c r="F26" s="136"/>
      <c r="G26" s="136"/>
      <c r="H26" s="136"/>
      <c r="I26" s="136"/>
      <c r="J26" s="136"/>
      <c r="K26" s="136"/>
      <c r="L26" s="136"/>
      <c r="M26" s="136"/>
      <c r="N26" s="136"/>
      <c r="O26" s="136"/>
      <c r="P26" s="136"/>
      <c r="Q26" s="136"/>
      <c r="R26" s="136"/>
      <c r="S26" s="136"/>
      <c r="T26" s="136"/>
      <c r="U26" s="136"/>
      <c r="V26" s="76"/>
      <c r="W26" s="77">
        <v>34</v>
      </c>
      <c r="X26" s="82">
        <f>'PF64'!V43</f>
        <v>0</v>
      </c>
    </row>
    <row r="27" spans="2:24" ht="15" customHeight="1" x14ac:dyDescent="0.55000000000000004">
      <c r="B27" s="78"/>
      <c r="C27" s="83" t="str">
        <f>'PF64'!V25</f>
        <v>VDDD</v>
      </c>
      <c r="D27" s="75">
        <v>16</v>
      </c>
      <c r="E27" s="76"/>
      <c r="F27" s="136"/>
      <c r="G27" s="136"/>
      <c r="H27" s="136"/>
      <c r="I27" s="136"/>
      <c r="J27" s="136"/>
      <c r="K27" s="136"/>
      <c r="L27" s="136"/>
      <c r="M27" s="136"/>
      <c r="N27" s="136"/>
      <c r="O27" s="136"/>
      <c r="P27" s="136"/>
      <c r="Q27" s="136"/>
      <c r="R27" s="136"/>
      <c r="S27" s="136"/>
      <c r="T27" s="136"/>
      <c r="U27" s="136"/>
      <c r="V27" s="76"/>
      <c r="W27" s="77">
        <v>33</v>
      </c>
      <c r="X27" s="84" t="str">
        <f>'PF64'!V42</f>
        <v>VSSD</v>
      </c>
    </row>
    <row r="28" spans="2:24" ht="15" customHeight="1" x14ac:dyDescent="0.55000000000000004">
      <c r="D28" s="75"/>
      <c r="E28" s="76"/>
      <c r="F28" s="76"/>
      <c r="G28" s="76"/>
      <c r="H28" s="76"/>
      <c r="I28" s="76"/>
      <c r="J28" s="76"/>
      <c r="K28" s="76"/>
      <c r="L28" s="76"/>
      <c r="M28" s="76"/>
      <c r="N28" s="76"/>
      <c r="O28" s="76"/>
      <c r="P28" s="76"/>
      <c r="Q28" s="76"/>
      <c r="R28" s="76"/>
      <c r="S28" s="76"/>
      <c r="T28" s="76"/>
      <c r="U28" s="76"/>
      <c r="V28" s="76"/>
      <c r="W28" s="77"/>
    </row>
    <row r="29" spans="2:24" ht="15" customHeight="1" x14ac:dyDescent="0.55000000000000004">
      <c r="D29" s="74"/>
      <c r="E29" s="85"/>
      <c r="F29" s="85">
        <v>17</v>
      </c>
      <c r="G29" s="85">
        <v>18</v>
      </c>
      <c r="H29" s="85">
        <v>19</v>
      </c>
      <c r="I29" s="85">
        <v>20</v>
      </c>
      <c r="J29" s="85">
        <v>21</v>
      </c>
      <c r="K29" s="85">
        <v>22</v>
      </c>
      <c r="L29" s="85">
        <v>23</v>
      </c>
      <c r="M29" s="85">
        <v>24</v>
      </c>
      <c r="N29" s="85">
        <v>25</v>
      </c>
      <c r="O29" s="85">
        <v>26</v>
      </c>
      <c r="P29" s="85">
        <v>27</v>
      </c>
      <c r="Q29" s="85">
        <v>28</v>
      </c>
      <c r="R29" s="85">
        <v>29</v>
      </c>
      <c r="S29" s="85">
        <v>30</v>
      </c>
      <c r="T29" s="85">
        <v>31</v>
      </c>
      <c r="U29" s="85">
        <v>32</v>
      </c>
      <c r="V29" s="85"/>
      <c r="W29" s="72"/>
    </row>
    <row r="30" spans="2:24" ht="105" customHeight="1" x14ac:dyDescent="0.55000000000000004">
      <c r="F30" s="86" t="str">
        <f>'PF64'!V26</f>
        <v>VSSD</v>
      </c>
      <c r="G30" s="88">
        <f>'PF64'!V27</f>
        <v>0</v>
      </c>
      <c r="H30" s="88">
        <f>'PF64'!V28</f>
        <v>0</v>
      </c>
      <c r="I30" s="88">
        <f>'PF64'!V29</f>
        <v>0</v>
      </c>
      <c r="J30" s="88">
        <f>'PF64'!V30</f>
        <v>0</v>
      </c>
      <c r="K30" s="88">
        <f>'PF64'!V31</f>
        <v>0</v>
      </c>
      <c r="L30" s="88">
        <f>'PF64'!V32</f>
        <v>0</v>
      </c>
      <c r="M30" s="88">
        <f>'PF64'!V33</f>
        <v>0</v>
      </c>
      <c r="N30" s="88">
        <f>'PF64'!V34</f>
        <v>0</v>
      </c>
      <c r="O30" s="89" t="str">
        <f>'PF64'!V35</f>
        <v>VREFL</v>
      </c>
      <c r="P30" s="86" t="str">
        <f>'PF64'!V36</f>
        <v>VSSA</v>
      </c>
      <c r="Q30" s="87" t="str">
        <f>'PF64'!V37</f>
        <v>VDDA</v>
      </c>
      <c r="R30" s="89" t="str">
        <f>'PF64'!V38</f>
        <v>VREFH</v>
      </c>
      <c r="S30" s="88">
        <f>'PF64'!V39</f>
        <v>0</v>
      </c>
      <c r="T30" s="88">
        <f>'PF64'!V40</f>
        <v>0</v>
      </c>
      <c r="U30" s="87" t="str">
        <f>'PF64'!V41</f>
        <v>VDDIO_2</v>
      </c>
    </row>
    <row r="40" spans="2:25" ht="13" x14ac:dyDescent="0.55000000000000004">
      <c r="B40" s="150" t="s">
        <v>1216</v>
      </c>
      <c r="C40" s="150"/>
      <c r="D40" s="150"/>
      <c r="E40" s="150"/>
      <c r="F40" s="150"/>
      <c r="G40" s="150"/>
      <c r="H40" s="150"/>
      <c r="I40" s="150"/>
      <c r="J40" s="150"/>
      <c r="K40" s="150"/>
      <c r="L40" s="150"/>
      <c r="M40" s="150"/>
      <c r="N40" s="150"/>
      <c r="O40" s="150"/>
      <c r="P40" s="150"/>
      <c r="Q40" s="150"/>
      <c r="R40" s="150"/>
      <c r="S40" s="150"/>
      <c r="T40" s="150"/>
      <c r="U40" s="150"/>
      <c r="V40" s="150"/>
      <c r="W40" s="150"/>
      <c r="X40" s="150"/>
      <c r="Y40" s="150"/>
    </row>
    <row r="41" spans="2:25" ht="186.5" customHeight="1" x14ac:dyDescent="0.55000000000000004">
      <c r="B41" s="151" t="s">
        <v>1217</v>
      </c>
      <c r="C41" s="151"/>
      <c r="D41" s="151"/>
      <c r="E41" s="151"/>
      <c r="F41" s="151"/>
      <c r="G41" s="151"/>
      <c r="H41" s="151"/>
      <c r="I41" s="151"/>
      <c r="J41" s="151"/>
      <c r="K41" s="151"/>
      <c r="L41" s="151"/>
      <c r="M41" s="151"/>
      <c r="N41" s="151"/>
      <c r="O41" s="151"/>
      <c r="P41" s="151"/>
      <c r="Q41" s="151"/>
      <c r="R41" s="151"/>
      <c r="S41" s="151"/>
      <c r="T41" s="151"/>
      <c r="U41" s="151"/>
      <c r="V41" s="151"/>
      <c r="W41" s="151"/>
      <c r="X41" s="151"/>
      <c r="Y41" s="151"/>
    </row>
  </sheetData>
  <sheetProtection algorithmName="SHA-512" hashValue="VYuznKrksfWp9JXuVOD5e0fcNFHXGEpJUmGblIJZR2niXSZePvNJ5neQjtqqgtmJV+ioPMSlnl9p2G30475+fA==" saltValue="qnu6l4RUlUC7kvSkfis3nQ==" spinCount="100000" sheet="1" objects="1" scenarios="1" formatCells="0" formatColumns="0" formatRows="0" insertColumns="0" insertRows="0" insertHyperlinks="0" deleteColumns="0" deleteRows="0" selectLockedCells="1" sort="0" autoFilter="0" pivotTables="0"/>
  <mergeCells count="3">
    <mergeCell ref="F12:U27"/>
    <mergeCell ref="B40:Y40"/>
    <mergeCell ref="B41:Y41"/>
  </mergeCells>
  <phoneticPr fontId="3"/>
  <pageMargins left="0.7" right="0.7" top="0.75" bottom="0.75" header="0.3" footer="0.3"/>
  <pageSetup paperSize="9" orientation="portrait" r:id="rId1"/>
  <ignoredErrors>
    <ignoredError sqref="F9:U11 F28:U30 F12:U27 C12:E27 V12:X27" unlockedFormula="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675A-7274-4198-8E05-D64613D3D2E8}">
  <dimension ref="B2:D7"/>
  <sheetViews>
    <sheetView workbookViewId="0">
      <selection activeCell="C8" sqref="C8"/>
    </sheetView>
  </sheetViews>
  <sheetFormatPr defaultColWidth="8.83203125" defaultRowHeight="14" x14ac:dyDescent="0.3"/>
  <cols>
    <col min="1" max="1" width="4.6640625" style="27" customWidth="1"/>
    <col min="2" max="2" width="10.6640625" style="27" customWidth="1"/>
    <col min="3" max="3" width="12.6640625" style="27" customWidth="1"/>
    <col min="4" max="4" width="80.6640625" style="27" customWidth="1"/>
    <col min="5" max="16384" width="8.83203125" style="27"/>
  </cols>
  <sheetData>
    <row r="2" spans="2:4" x14ac:dyDescent="0.3">
      <c r="B2" s="26" t="s">
        <v>1208</v>
      </c>
    </row>
    <row r="4" spans="2:4" x14ac:dyDescent="0.3">
      <c r="B4" s="28" t="s">
        <v>1209</v>
      </c>
      <c r="C4" s="28" t="s">
        <v>1210</v>
      </c>
      <c r="D4" s="28" t="s">
        <v>1211</v>
      </c>
    </row>
    <row r="5" spans="2:4" x14ac:dyDescent="0.3">
      <c r="B5" s="29" t="s">
        <v>1212</v>
      </c>
      <c r="C5" s="30" t="s">
        <v>1213</v>
      </c>
      <c r="D5" s="31" t="s">
        <v>1214</v>
      </c>
    </row>
    <row r="6" spans="2:4" ht="56" x14ac:dyDescent="0.3">
      <c r="B6" s="32" t="s">
        <v>1215</v>
      </c>
      <c r="C6" s="30" t="s">
        <v>1225</v>
      </c>
      <c r="D6" s="100" t="s">
        <v>1223</v>
      </c>
    </row>
    <row r="7" spans="2:4" x14ac:dyDescent="0.3">
      <c r="B7" s="32" t="s">
        <v>1233</v>
      </c>
      <c r="C7" s="30" t="s">
        <v>1235</v>
      </c>
      <c r="D7" s="33" t="s">
        <v>1234</v>
      </c>
    </row>
  </sheetData>
  <sheetProtection algorithmName="SHA-512" hashValue="q86qTHWy4gmOQEI4i5+XBq0CDxRlvrUtBZiZbZNU8bL9opOAk1p2a8MaENpd2k+kCZ3pwgW0Z55diPWTuGf1Gg==" saltValue="X+uKclvbAPFfuUnlLJWPwA==" spinCount="100000" sheet="1" objects="1" scenarios="1"/>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PF176</vt:lpstr>
      <vt:lpstr>PCH176</vt:lpstr>
      <vt:lpstr>PA176</vt:lpstr>
      <vt:lpstr>PF144</vt:lpstr>
      <vt:lpstr>PCH144</vt:lpstr>
      <vt:lpstr>PA144</vt:lpstr>
      <vt:lpstr>PF100</vt:lpstr>
      <vt:lpstr>PCH100</vt:lpstr>
      <vt:lpstr>PA100</vt:lpstr>
      <vt:lpstr>PF80</vt:lpstr>
      <vt:lpstr>PCH80</vt:lpstr>
      <vt:lpstr>PA80</vt:lpstr>
      <vt:lpstr>PF64</vt:lpstr>
      <vt:lpstr>PCH64</vt:lpstr>
      <vt:lpstr>PA64</vt:lpstr>
      <vt:lpstr>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2023-09-01T04:46:21Z</dcterms:modified>
</cp:coreProperties>
</file>