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C07D3015-12E0-40F9-9F8A-FD72A064632A}" xr6:coauthVersionLast="36" xr6:coauthVersionMax="36" xr10:uidLastSave="{00000000-0000-0000-0000-000000000000}"/>
  <bookViews>
    <workbookView xWindow="0" yWindow="0" windowWidth="19200" windowHeight="6860" tabRatio="742" xr2:uid="{00000000-000D-0000-FFFF-FFFF00000000}"/>
  </bookViews>
  <sheets>
    <sheet name="PF327" sheetId="29" r:id="rId1"/>
    <sheet name="PCH327" sheetId="30" r:id="rId2"/>
    <sheet name="PA327" sheetId="28" r:id="rId3"/>
    <sheet name="History" sheetId="2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0" i="30" l="1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AO60" i="30"/>
  <c r="AN60" i="30"/>
  <c r="AM60" i="30"/>
  <c r="AL60" i="30"/>
  <c r="AK60" i="30"/>
  <c r="AJ60" i="30"/>
  <c r="AI60" i="30"/>
  <c r="AH60" i="30"/>
  <c r="AG60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AO59" i="30"/>
  <c r="AN59" i="30"/>
  <c r="AM59" i="30"/>
  <c r="AL59" i="30"/>
  <c r="AK59" i="30"/>
  <c r="AJ59" i="30"/>
  <c r="AI59" i="30"/>
  <c r="AH59" i="30"/>
  <c r="AG59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AO58" i="30"/>
  <c r="AN58" i="30"/>
  <c r="AM58" i="30"/>
  <c r="AL58" i="30"/>
  <c r="AK58" i="30"/>
  <c r="AJ58" i="30"/>
  <c r="AI58" i="30"/>
  <c r="AH58" i="30"/>
  <c r="AG58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D64" i="30"/>
  <c r="E64" i="30"/>
  <c r="F64" i="30"/>
  <c r="G64" i="30"/>
  <c r="D65" i="30"/>
  <c r="E65" i="30"/>
  <c r="F65" i="30"/>
  <c r="G65" i="30"/>
  <c r="D75" i="30"/>
  <c r="E75" i="30"/>
  <c r="D76" i="30"/>
  <c r="E76" i="30"/>
  <c r="D297" i="30" l="1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H227" i="30" l="1"/>
  <c r="D298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1" i="30"/>
  <c r="D235" i="30"/>
  <c r="D234" i="30"/>
  <c r="D233" i="30"/>
  <c r="D232" i="30"/>
  <c r="H226" i="30" l="1"/>
  <c r="H224" i="30"/>
  <c r="H223" i="30"/>
  <c r="G227" i="30"/>
  <c r="G226" i="30"/>
  <c r="G224" i="30"/>
  <c r="G223" i="30"/>
  <c r="F227" i="30"/>
  <c r="F226" i="30"/>
  <c r="F224" i="30"/>
  <c r="F223" i="30"/>
  <c r="E227" i="30"/>
  <c r="E226" i="30"/>
  <c r="E224" i="30"/>
  <c r="E223" i="30"/>
  <c r="D227" i="30"/>
  <c r="D226" i="30"/>
  <c r="H225" i="30"/>
  <c r="G225" i="30"/>
  <c r="F225" i="30"/>
  <c r="E225" i="30"/>
  <c r="D225" i="30"/>
  <c r="D224" i="30"/>
  <c r="D223" i="30"/>
  <c r="D217" i="30"/>
  <c r="E38" i="30"/>
  <c r="G194" i="30"/>
  <c r="D36" i="30" l="1"/>
  <c r="O39" i="30" l="1"/>
  <c r="N39" i="30"/>
  <c r="M39" i="30"/>
  <c r="L39" i="30"/>
  <c r="K39" i="30"/>
  <c r="J39" i="30"/>
  <c r="I39" i="30"/>
  <c r="H39" i="30"/>
  <c r="G39" i="30"/>
  <c r="F39" i="30"/>
  <c r="O38" i="30"/>
  <c r="N38" i="30"/>
  <c r="M38" i="30"/>
  <c r="L38" i="30"/>
  <c r="K38" i="30"/>
  <c r="J38" i="30"/>
  <c r="I38" i="30"/>
  <c r="H38" i="30"/>
  <c r="G38" i="30"/>
  <c r="F38" i="30"/>
  <c r="O37" i="30"/>
  <c r="N37" i="30"/>
  <c r="M37" i="30"/>
  <c r="L37" i="30"/>
  <c r="K37" i="30"/>
  <c r="J37" i="30"/>
  <c r="I37" i="30"/>
  <c r="H37" i="30"/>
  <c r="G37" i="30"/>
  <c r="F37" i="30"/>
  <c r="O36" i="30"/>
  <c r="N36" i="30"/>
  <c r="M36" i="30"/>
  <c r="L36" i="30"/>
  <c r="K36" i="30"/>
  <c r="J36" i="30"/>
  <c r="I36" i="30"/>
  <c r="H36" i="30"/>
  <c r="G36" i="30"/>
  <c r="F36" i="30"/>
  <c r="E39" i="30"/>
  <c r="E37" i="30"/>
  <c r="E36" i="30"/>
  <c r="O31" i="30"/>
  <c r="N31" i="30"/>
  <c r="M31" i="30"/>
  <c r="L31" i="30"/>
  <c r="K31" i="30"/>
  <c r="J31" i="30"/>
  <c r="I31" i="30"/>
  <c r="H31" i="30"/>
  <c r="G31" i="30"/>
  <c r="F31" i="30"/>
  <c r="O29" i="30"/>
  <c r="N29" i="30"/>
  <c r="M29" i="30"/>
  <c r="L29" i="30"/>
  <c r="K29" i="30"/>
  <c r="J29" i="30"/>
  <c r="I29" i="30"/>
  <c r="H29" i="30"/>
  <c r="G29" i="30"/>
  <c r="F29" i="30"/>
  <c r="O27" i="30"/>
  <c r="N27" i="30"/>
  <c r="M27" i="30"/>
  <c r="L27" i="30"/>
  <c r="K27" i="30"/>
  <c r="J27" i="30"/>
  <c r="I27" i="30"/>
  <c r="H27" i="30"/>
  <c r="G27" i="30"/>
  <c r="O33" i="30"/>
  <c r="N33" i="30"/>
  <c r="M33" i="30"/>
  <c r="L33" i="30"/>
  <c r="K33" i="30"/>
  <c r="J33" i="30"/>
  <c r="I33" i="30"/>
  <c r="H33" i="30"/>
  <c r="G33" i="30"/>
  <c r="F33" i="30"/>
  <c r="O35" i="30"/>
  <c r="N35" i="30"/>
  <c r="M35" i="30"/>
  <c r="L35" i="30"/>
  <c r="K35" i="30"/>
  <c r="J35" i="30"/>
  <c r="I35" i="30"/>
  <c r="H35" i="30"/>
  <c r="G35" i="30"/>
  <c r="F35" i="30"/>
  <c r="O34" i="30"/>
  <c r="N34" i="30"/>
  <c r="M34" i="30"/>
  <c r="L34" i="30"/>
  <c r="K34" i="30"/>
  <c r="J34" i="30"/>
  <c r="I34" i="30"/>
  <c r="H34" i="30"/>
  <c r="G34" i="30"/>
  <c r="F34" i="30"/>
  <c r="O32" i="30"/>
  <c r="N32" i="30"/>
  <c r="M32" i="30"/>
  <c r="L32" i="30"/>
  <c r="K32" i="30"/>
  <c r="J32" i="30"/>
  <c r="I32" i="30"/>
  <c r="H32" i="30"/>
  <c r="G32" i="30"/>
  <c r="F32" i="30"/>
  <c r="O30" i="30"/>
  <c r="N30" i="30"/>
  <c r="M30" i="30"/>
  <c r="L30" i="30"/>
  <c r="K30" i="30"/>
  <c r="J30" i="30"/>
  <c r="I30" i="30"/>
  <c r="H30" i="30"/>
  <c r="G30" i="30"/>
  <c r="F30" i="30"/>
  <c r="O28" i="30"/>
  <c r="N28" i="30"/>
  <c r="M28" i="30"/>
  <c r="L28" i="30"/>
  <c r="K28" i="30"/>
  <c r="J28" i="30"/>
  <c r="I28" i="30"/>
  <c r="H28" i="30"/>
  <c r="G28" i="30"/>
  <c r="F28" i="30"/>
  <c r="F27" i="30"/>
  <c r="D33" i="30"/>
  <c r="D31" i="30"/>
  <c r="D29" i="30"/>
  <c r="D27" i="30"/>
  <c r="O26" i="30"/>
  <c r="N26" i="30"/>
  <c r="M26" i="30"/>
  <c r="L26" i="30"/>
  <c r="K26" i="30"/>
  <c r="J26" i="30"/>
  <c r="I26" i="30"/>
  <c r="H26" i="30"/>
  <c r="G26" i="30"/>
  <c r="O25" i="30"/>
  <c r="N25" i="30"/>
  <c r="M25" i="30"/>
  <c r="L25" i="30"/>
  <c r="K25" i="30"/>
  <c r="J25" i="30"/>
  <c r="I25" i="30"/>
  <c r="H25" i="30"/>
  <c r="G25" i="30"/>
  <c r="F25" i="30"/>
  <c r="F26" i="30"/>
  <c r="F24" i="30"/>
  <c r="O24" i="30"/>
  <c r="N24" i="30"/>
  <c r="M24" i="30"/>
  <c r="L24" i="30"/>
  <c r="K24" i="30"/>
  <c r="J24" i="30"/>
  <c r="I24" i="30"/>
  <c r="H24" i="30"/>
  <c r="G24" i="30"/>
  <c r="E35" i="30"/>
  <c r="E34" i="30"/>
  <c r="E33" i="30"/>
  <c r="E32" i="30"/>
  <c r="E31" i="30"/>
  <c r="E30" i="30"/>
  <c r="E29" i="30"/>
  <c r="E27" i="30"/>
  <c r="E26" i="30"/>
  <c r="E25" i="30"/>
  <c r="E24" i="30"/>
  <c r="D25" i="30"/>
  <c r="D35" i="30"/>
  <c r="D34" i="30"/>
  <c r="D32" i="30"/>
  <c r="D30" i="30"/>
  <c r="D28" i="30"/>
  <c r="D26" i="30"/>
  <c r="D24" i="30"/>
  <c r="D39" i="30"/>
  <c r="D38" i="30"/>
  <c r="D37" i="30"/>
  <c r="O41" i="30"/>
  <c r="N41" i="30"/>
  <c r="M41" i="30"/>
  <c r="L41" i="30"/>
  <c r="K41" i="30"/>
  <c r="J41" i="30"/>
  <c r="I41" i="30"/>
  <c r="H41" i="30"/>
  <c r="G41" i="30"/>
  <c r="F41" i="30"/>
  <c r="E41" i="30"/>
  <c r="O40" i="30"/>
  <c r="N40" i="30"/>
  <c r="M40" i="30"/>
  <c r="L40" i="30"/>
  <c r="K40" i="30"/>
  <c r="J40" i="30"/>
  <c r="I40" i="30"/>
  <c r="H40" i="30"/>
  <c r="G40" i="30"/>
  <c r="F40" i="30"/>
  <c r="E40" i="30"/>
  <c r="D41" i="30"/>
  <c r="D40" i="30"/>
  <c r="D218" i="30"/>
  <c r="E218" i="30"/>
  <c r="E219" i="30"/>
  <c r="D219" i="30"/>
  <c r="O44" i="30" l="1"/>
  <c r="O46" i="30"/>
  <c r="O49" i="30" s="1"/>
  <c r="O45" i="30"/>
  <c r="O47" i="30"/>
  <c r="O50" i="30" s="1"/>
  <c r="E217" i="30"/>
  <c r="D216" i="30"/>
  <c r="E216" i="30"/>
  <c r="E215" i="30"/>
  <c r="D215" i="30"/>
  <c r="E214" i="30"/>
  <c r="D214" i="30"/>
  <c r="D213" i="30"/>
  <c r="E213" i="30"/>
  <c r="D212" i="30"/>
  <c r="E212" i="30"/>
  <c r="E211" i="30"/>
  <c r="D211" i="30"/>
  <c r="D210" i="30"/>
  <c r="E210" i="30"/>
  <c r="D209" i="30"/>
  <c r="E209" i="30"/>
  <c r="E207" i="30"/>
  <c r="D208" i="30"/>
  <c r="E208" i="30"/>
  <c r="D207" i="30"/>
  <c r="E206" i="30"/>
  <c r="D206" i="30"/>
  <c r="E205" i="30"/>
  <c r="D205" i="30"/>
  <c r="O53" i="30" l="1"/>
  <c r="O48" i="30"/>
  <c r="O54" i="30"/>
  <c r="E179" i="30"/>
  <c r="F194" i="30"/>
  <c r="E194" i="30"/>
  <c r="D194" i="30"/>
  <c r="G193" i="30"/>
  <c r="F193" i="30"/>
  <c r="E193" i="30"/>
  <c r="D193" i="30"/>
  <c r="G192" i="30"/>
  <c r="F192" i="30"/>
  <c r="E192" i="30"/>
  <c r="D192" i="30"/>
  <c r="G191" i="30"/>
  <c r="F191" i="30"/>
  <c r="E191" i="30"/>
  <c r="D191" i="30"/>
  <c r="G190" i="30"/>
  <c r="F190" i="30"/>
  <c r="E190" i="30"/>
  <c r="D190" i="30"/>
  <c r="G189" i="30"/>
  <c r="F189" i="30"/>
  <c r="E189" i="30"/>
  <c r="D189" i="30"/>
  <c r="G188" i="30"/>
  <c r="F188" i="30"/>
  <c r="E188" i="30"/>
  <c r="D188" i="30"/>
  <c r="G187" i="30"/>
  <c r="F187" i="30"/>
  <c r="E187" i="30"/>
  <c r="D187" i="30"/>
  <c r="G186" i="30"/>
  <c r="F186" i="30"/>
  <c r="E186" i="30"/>
  <c r="D186" i="30"/>
  <c r="G185" i="30"/>
  <c r="F185" i="30"/>
  <c r="E185" i="30"/>
  <c r="D185" i="30"/>
  <c r="G184" i="30"/>
  <c r="F184" i="30"/>
  <c r="E184" i="30"/>
  <c r="D184" i="30"/>
  <c r="G183" i="30"/>
  <c r="F183" i="30"/>
  <c r="E183" i="30"/>
  <c r="D183" i="30"/>
  <c r="G182" i="30"/>
  <c r="F182" i="30"/>
  <c r="E182" i="30"/>
  <c r="D182" i="30"/>
  <c r="G181" i="30"/>
  <c r="F181" i="30"/>
  <c r="E181" i="30"/>
  <c r="D181" i="30"/>
  <c r="G180" i="30"/>
  <c r="F180" i="30"/>
  <c r="E180" i="30"/>
  <c r="D180" i="30"/>
  <c r="G179" i="30"/>
  <c r="F179" i="30"/>
  <c r="D179" i="30"/>
  <c r="G177" i="30"/>
  <c r="F176" i="30"/>
  <c r="G178" i="30"/>
  <c r="F178" i="30"/>
  <c r="E178" i="30"/>
  <c r="D178" i="30"/>
  <c r="F177" i="30"/>
  <c r="E177" i="30"/>
  <c r="D177" i="30"/>
  <c r="G176" i="30"/>
  <c r="E176" i="30"/>
  <c r="D176" i="30"/>
  <c r="E175" i="30"/>
  <c r="G175" i="30"/>
  <c r="F175" i="30"/>
  <c r="D175" i="30"/>
  <c r="D174" i="30"/>
  <c r="G174" i="30"/>
  <c r="F174" i="30"/>
  <c r="E174" i="30"/>
  <c r="O52" i="30" l="1"/>
  <c r="O51" i="30"/>
  <c r="G173" i="30"/>
  <c r="F173" i="30"/>
  <c r="E173" i="30"/>
  <c r="D173" i="30"/>
  <c r="G172" i="30"/>
  <c r="F172" i="30"/>
  <c r="E172" i="30"/>
  <c r="D172" i="30"/>
  <c r="G171" i="30"/>
  <c r="F171" i="30"/>
  <c r="E171" i="30"/>
  <c r="D171" i="30"/>
  <c r="G170" i="30"/>
  <c r="G200" i="30" s="1"/>
  <c r="F170" i="30"/>
  <c r="F200" i="30" s="1"/>
  <c r="E170" i="30"/>
  <c r="E200" i="30" s="1"/>
  <c r="D170" i="30"/>
  <c r="D200" i="30" s="1"/>
  <c r="G169" i="30"/>
  <c r="G199" i="30" s="1"/>
  <c r="F169" i="30"/>
  <c r="F199" i="30" s="1"/>
  <c r="E169" i="30"/>
  <c r="D169" i="30"/>
  <c r="D199" i="30" s="1"/>
  <c r="G168" i="30"/>
  <c r="F168" i="30"/>
  <c r="E168" i="30"/>
  <c r="D168" i="30"/>
  <c r="G167" i="30"/>
  <c r="G197" i="30" s="1"/>
  <c r="F167" i="30"/>
  <c r="F197" i="30" s="1"/>
  <c r="E167" i="30"/>
  <c r="D167" i="30"/>
  <c r="E163" i="30"/>
  <c r="D163" i="30"/>
  <c r="E162" i="30"/>
  <c r="D162" i="30"/>
  <c r="E161" i="30"/>
  <c r="D161" i="30"/>
  <c r="E199" i="30" l="1"/>
  <c r="E198" i="30"/>
  <c r="E197" i="30"/>
  <c r="D197" i="30"/>
  <c r="G198" i="30"/>
  <c r="G201" i="30" s="1"/>
  <c r="F198" i="30"/>
  <c r="F201" i="30" s="1"/>
  <c r="D198" i="30"/>
  <c r="D151" i="30"/>
  <c r="D153" i="30"/>
  <c r="D152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201" i="30" l="1"/>
  <c r="E201" i="30"/>
  <c r="D156" i="30"/>
  <c r="D106" i="30" l="1"/>
  <c r="D118" i="30"/>
  <c r="D119" i="30"/>
  <c r="D105" i="30"/>
  <c r="D127" i="30"/>
  <c r="D126" i="30"/>
  <c r="D125" i="30"/>
  <c r="D124" i="30"/>
  <c r="D123" i="30"/>
  <c r="D122" i="30"/>
  <c r="D121" i="30"/>
  <c r="D120" i="30"/>
  <c r="D117" i="30"/>
  <c r="D116" i="30"/>
  <c r="D115" i="30"/>
  <c r="D114" i="30"/>
  <c r="D113" i="30"/>
  <c r="D112" i="30"/>
  <c r="D111" i="30"/>
  <c r="D110" i="30"/>
  <c r="D109" i="30"/>
  <c r="D108" i="30"/>
  <c r="D107" i="30"/>
  <c r="D104" i="30"/>
  <c r="D103" i="30"/>
  <c r="D102" i="30"/>
  <c r="O65" i="30"/>
  <c r="N65" i="30"/>
  <c r="M65" i="30"/>
  <c r="L65" i="30"/>
  <c r="K65" i="30"/>
  <c r="J65" i="30"/>
  <c r="I65" i="30"/>
  <c r="H65" i="30"/>
  <c r="O64" i="30"/>
  <c r="N64" i="30"/>
  <c r="M64" i="30"/>
  <c r="L64" i="30"/>
  <c r="K64" i="30"/>
  <c r="J64" i="30"/>
  <c r="I64" i="30"/>
  <c r="H64" i="30"/>
  <c r="E28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J45" i="30" l="1"/>
  <c r="G45" i="30"/>
  <c r="I45" i="30"/>
  <c r="K45" i="30"/>
  <c r="E45" i="30"/>
  <c r="M45" i="30"/>
  <c r="H45" i="30"/>
  <c r="D45" i="30"/>
  <c r="L45" i="30"/>
  <c r="F45" i="30"/>
  <c r="N45" i="30"/>
  <c r="E19" i="30"/>
  <c r="D19" i="30"/>
  <c r="E18" i="30"/>
  <c r="D18" i="30"/>
  <c r="E17" i="30"/>
  <c r="D17" i="30"/>
  <c r="E13" i="30"/>
  <c r="D13" i="30"/>
  <c r="E12" i="30"/>
  <c r="D12" i="30"/>
  <c r="E9" i="30"/>
  <c r="D9" i="30"/>
  <c r="E8" i="30"/>
  <c r="D8" i="30"/>
  <c r="G28" i="28" l="1"/>
  <c r="E26" i="28"/>
  <c r="E20" i="28"/>
  <c r="AQ48" i="28"/>
  <c r="AQ46" i="28"/>
  <c r="AQ44" i="28"/>
  <c r="AQ42" i="28"/>
  <c r="AQ40" i="28"/>
  <c r="AQ38" i="28"/>
  <c r="AQ36" i="28"/>
  <c r="AQ34" i="28"/>
  <c r="AQ32" i="28"/>
  <c r="AQ30" i="28"/>
  <c r="AQ28" i="28"/>
  <c r="AQ26" i="28"/>
  <c r="AQ24" i="28"/>
  <c r="AQ22" i="28"/>
  <c r="AQ20" i="28"/>
  <c r="AQ18" i="28"/>
  <c r="AQ14" i="28"/>
  <c r="AQ12" i="28"/>
  <c r="AQ10" i="28"/>
  <c r="AO48" i="28"/>
  <c r="AO46" i="28"/>
  <c r="AO44" i="28"/>
  <c r="AO42" i="28"/>
  <c r="AO40" i="28"/>
  <c r="AO38" i="28"/>
  <c r="AO36" i="28"/>
  <c r="AO34" i="28"/>
  <c r="AO32" i="28"/>
  <c r="AO30" i="28"/>
  <c r="AO28" i="28"/>
  <c r="AO26" i="28"/>
  <c r="AO24" i="28"/>
  <c r="AO22" i="28"/>
  <c r="AO20" i="28"/>
  <c r="AO18" i="28"/>
  <c r="AO16" i="28"/>
  <c r="AO14" i="28"/>
  <c r="AO12" i="28"/>
  <c r="AO10" i="28"/>
  <c r="AM48" i="28"/>
  <c r="AM46" i="28"/>
  <c r="AM44" i="28"/>
  <c r="AM42" i="28"/>
  <c r="AM40" i="28"/>
  <c r="AM38" i="28"/>
  <c r="AM36" i="28"/>
  <c r="AM34" i="28"/>
  <c r="AM32" i="28"/>
  <c r="AM30" i="28"/>
  <c r="AM28" i="28"/>
  <c r="AM26" i="28"/>
  <c r="AM24" i="28"/>
  <c r="AM22" i="28"/>
  <c r="AM20" i="28"/>
  <c r="AM18" i="28"/>
  <c r="AM16" i="28"/>
  <c r="AM14" i="28"/>
  <c r="AM12" i="28"/>
  <c r="AM10" i="28"/>
  <c r="AK48" i="28"/>
  <c r="AK46" i="28"/>
  <c r="AK44" i="28"/>
  <c r="AK42" i="28"/>
  <c r="AK40" i="28"/>
  <c r="AK38" i="28"/>
  <c r="AK36" i="28"/>
  <c r="AK34" i="28"/>
  <c r="AK32" i="28"/>
  <c r="AK30" i="28"/>
  <c r="AK28" i="28"/>
  <c r="AK26" i="28"/>
  <c r="AK24" i="28"/>
  <c r="AK22" i="28"/>
  <c r="AK20" i="28"/>
  <c r="AK18" i="28"/>
  <c r="AK16" i="28"/>
  <c r="AK14" i="28"/>
  <c r="AK12" i="28"/>
  <c r="AK10" i="28"/>
  <c r="AI48" i="28"/>
  <c r="AI46" i="28"/>
  <c r="AI44" i="28"/>
  <c r="AI42" i="28"/>
  <c r="AI16" i="28"/>
  <c r="AI14" i="28"/>
  <c r="AI12" i="28"/>
  <c r="AI10" i="28"/>
  <c r="AG48" i="28"/>
  <c r="AG46" i="28"/>
  <c r="AG44" i="28"/>
  <c r="AG42" i="28"/>
  <c r="AG38" i="28"/>
  <c r="AG36" i="28"/>
  <c r="AG34" i="28"/>
  <c r="AG32" i="28"/>
  <c r="AG30" i="28"/>
  <c r="AG28" i="28"/>
  <c r="AG26" i="28"/>
  <c r="AG24" i="28"/>
  <c r="AG22" i="28"/>
  <c r="AG20" i="28"/>
  <c r="AG16" i="28"/>
  <c r="AG14" i="28"/>
  <c r="AG12" i="28"/>
  <c r="AG10" i="28"/>
  <c r="AE48" i="28"/>
  <c r="AE46" i="28"/>
  <c r="AE44" i="28"/>
  <c r="AE42" i="28"/>
  <c r="AE38" i="28"/>
  <c r="AE20" i="28"/>
  <c r="AE16" i="28"/>
  <c r="AE14" i="28"/>
  <c r="AE12" i="28"/>
  <c r="AE10" i="28"/>
  <c r="AC44" i="28"/>
  <c r="AC42" i="28"/>
  <c r="AC48" i="28"/>
  <c r="AC46" i="28"/>
  <c r="AC38" i="28"/>
  <c r="AC34" i="28"/>
  <c r="AC32" i="28"/>
  <c r="AC30" i="28"/>
  <c r="AC28" i="28"/>
  <c r="AC26" i="28"/>
  <c r="AC24" i="28"/>
  <c r="AC20" i="28"/>
  <c r="AC16" i="28"/>
  <c r="AC14" i="28"/>
  <c r="AC12" i="28"/>
  <c r="AC10" i="28"/>
  <c r="AA48" i="28"/>
  <c r="AA46" i="28"/>
  <c r="AA44" i="28"/>
  <c r="AA42" i="28"/>
  <c r="AA38" i="28"/>
  <c r="AA34" i="28"/>
  <c r="AA32" i="28"/>
  <c r="AA30" i="28"/>
  <c r="AA28" i="28"/>
  <c r="AA26" i="28"/>
  <c r="AA24" i="28"/>
  <c r="AA20" i="28"/>
  <c r="AA16" i="28"/>
  <c r="AA14" i="28"/>
  <c r="AA12" i="28"/>
  <c r="AA10" i="28"/>
  <c r="I47" i="30" l="1"/>
  <c r="I50" i="30" s="1"/>
  <c r="H47" i="30"/>
  <c r="H50" i="30" s="1"/>
  <c r="E46" i="30"/>
  <c r="E49" i="30" s="1"/>
  <c r="M46" i="30"/>
  <c r="M49" i="30" s="1"/>
  <c r="D44" i="30"/>
  <c r="D48" i="30" s="1"/>
  <c r="L44" i="30"/>
  <c r="L48" i="30" s="1"/>
  <c r="E47" i="30"/>
  <c r="E50" i="30" s="1"/>
  <c r="M47" i="30"/>
  <c r="M50" i="30" s="1"/>
  <c r="H46" i="30"/>
  <c r="H49" i="30" s="1"/>
  <c r="K47" i="30"/>
  <c r="K50" i="30" s="1"/>
  <c r="J47" i="30"/>
  <c r="J50" i="30" s="1"/>
  <c r="D46" i="30"/>
  <c r="D49" i="30" s="1"/>
  <c r="L46" i="30"/>
  <c r="L49" i="30" s="1"/>
  <c r="E44" i="30"/>
  <c r="E48" i="30" s="1"/>
  <c r="M44" i="30"/>
  <c r="M48" i="30" s="1"/>
  <c r="J46" i="30"/>
  <c r="J49" i="30" s="1"/>
  <c r="F47" i="30"/>
  <c r="F50" i="30" s="1"/>
  <c r="N47" i="30"/>
  <c r="N50" i="30" s="1"/>
  <c r="F46" i="30"/>
  <c r="F49" i="30" s="1"/>
  <c r="N46" i="30"/>
  <c r="N49" i="30" s="1"/>
  <c r="F44" i="30"/>
  <c r="F48" i="30" s="1"/>
  <c r="N44" i="30"/>
  <c r="N48" i="30" s="1"/>
  <c r="G46" i="30"/>
  <c r="G49" i="30" s="1"/>
  <c r="G44" i="30"/>
  <c r="G48" i="30" s="1"/>
  <c r="G47" i="30"/>
  <c r="G50" i="30" s="1"/>
  <c r="D131" i="30"/>
  <c r="H44" i="30"/>
  <c r="H48" i="30" s="1"/>
  <c r="I46" i="30"/>
  <c r="I49" i="30" s="1"/>
  <c r="J44" i="30"/>
  <c r="J48" i="30" s="1"/>
  <c r="I44" i="30"/>
  <c r="I48" i="30" s="1"/>
  <c r="K46" i="30"/>
  <c r="K49" i="30" s="1"/>
  <c r="K44" i="30"/>
  <c r="K48" i="30" s="1"/>
  <c r="D47" i="30"/>
  <c r="D50" i="30" s="1"/>
  <c r="L47" i="30"/>
  <c r="L50" i="30" s="1"/>
  <c r="D130" i="30"/>
  <c r="Y48" i="28"/>
  <c r="Y46" i="28"/>
  <c r="Y44" i="28"/>
  <c r="Y42" i="28"/>
  <c r="Y38" i="28"/>
  <c r="Y34" i="28"/>
  <c r="Y32" i="28"/>
  <c r="Y30" i="28"/>
  <c r="Y28" i="28"/>
  <c r="Y26" i="28"/>
  <c r="Y24" i="28"/>
  <c r="Y20" i="28"/>
  <c r="Y16" i="28"/>
  <c r="Y14" i="28"/>
  <c r="Y12" i="28"/>
  <c r="Y10" i="28"/>
  <c r="W48" i="28"/>
  <c r="W46" i="28"/>
  <c r="W44" i="28"/>
  <c r="W42" i="28"/>
  <c r="W38" i="28"/>
  <c r="W34" i="28"/>
  <c r="W32" i="28"/>
  <c r="W30" i="28"/>
  <c r="W28" i="28"/>
  <c r="W26" i="28"/>
  <c r="W24" i="28"/>
  <c r="W20" i="28"/>
  <c r="W16" i="28"/>
  <c r="W14" i="28"/>
  <c r="W12" i="28"/>
  <c r="W10" i="28"/>
  <c r="U48" i="28"/>
  <c r="U46" i="28"/>
  <c r="U44" i="28"/>
  <c r="U42" i="28"/>
  <c r="U38" i="28"/>
  <c r="U34" i="28"/>
  <c r="U32" i="28"/>
  <c r="U30" i="28"/>
  <c r="U28" i="28"/>
  <c r="U26" i="28"/>
  <c r="U24" i="28"/>
  <c r="U20" i="28"/>
  <c r="U16" i="28"/>
  <c r="U14" i="28"/>
  <c r="U12" i="28"/>
  <c r="U10" i="28"/>
  <c r="S48" i="28"/>
  <c r="S46" i="28"/>
  <c r="S44" i="28"/>
  <c r="S42" i="28"/>
  <c r="S38" i="28"/>
  <c r="S34" i="28"/>
  <c r="S32" i="28"/>
  <c r="S30" i="28"/>
  <c r="S28" i="28"/>
  <c r="S26" i="28"/>
  <c r="S20" i="28"/>
  <c r="S16" i="28"/>
  <c r="S14" i="28"/>
  <c r="S12" i="28"/>
  <c r="S10" i="28"/>
  <c r="Q48" i="28"/>
  <c r="Q46" i="28"/>
  <c r="Q44" i="28"/>
  <c r="Q42" i="28"/>
  <c r="Q38" i="28"/>
  <c r="Q20" i="28"/>
  <c r="Q16" i="28"/>
  <c r="Q14" i="28"/>
  <c r="Q12" i="28"/>
  <c r="Q10" i="28"/>
  <c r="J53" i="30" l="1"/>
  <c r="K53" i="30"/>
  <c r="L53" i="30"/>
  <c r="I53" i="30"/>
  <c r="F53" i="30"/>
  <c r="G53" i="30"/>
  <c r="N53" i="30"/>
  <c r="D53" i="30"/>
  <c r="E52" i="30"/>
  <c r="M51" i="30"/>
  <c r="M52" i="30"/>
  <c r="G52" i="30"/>
  <c r="G51" i="30"/>
  <c r="N52" i="30"/>
  <c r="N51" i="30"/>
  <c r="D51" i="30"/>
  <c r="D52" i="30"/>
  <c r="I52" i="30"/>
  <c r="I51" i="30"/>
  <c r="M53" i="30"/>
  <c r="K51" i="30"/>
  <c r="K52" i="30"/>
  <c r="L51" i="30"/>
  <c r="L52" i="30"/>
  <c r="J52" i="30"/>
  <c r="J51" i="30"/>
  <c r="H52" i="30"/>
  <c r="H51" i="30"/>
  <c r="F52" i="30"/>
  <c r="F51" i="30"/>
  <c r="H53" i="30"/>
  <c r="E53" i="30"/>
  <c r="E51" i="30"/>
  <c r="D54" i="30"/>
  <c r="N54" i="30"/>
  <c r="D157" i="30"/>
  <c r="J54" i="30"/>
  <c r="G54" i="30"/>
  <c r="L54" i="30"/>
  <c r="M54" i="30"/>
  <c r="F54" i="30"/>
  <c r="E54" i="30"/>
  <c r="K54" i="30"/>
  <c r="H54" i="30"/>
  <c r="I54" i="30"/>
  <c r="D132" i="30"/>
  <c r="O38" i="28"/>
  <c r="O34" i="28"/>
  <c r="O36" i="28"/>
  <c r="O32" i="28"/>
  <c r="O30" i="28"/>
  <c r="O28" i="28"/>
  <c r="O26" i="28"/>
  <c r="O24" i="28"/>
  <c r="O22" i="28"/>
  <c r="O20" i="28"/>
  <c r="O48" i="28"/>
  <c r="O46" i="28"/>
  <c r="O44" i="28"/>
  <c r="O42" i="28"/>
  <c r="O16" i="28"/>
  <c r="O14" i="28"/>
  <c r="O12" i="28"/>
  <c r="O10" i="28"/>
  <c r="M48" i="28"/>
  <c r="M46" i="28"/>
  <c r="M44" i="28"/>
  <c r="M42" i="28"/>
  <c r="M16" i="28"/>
  <c r="M14" i="28"/>
  <c r="M12" i="28"/>
  <c r="M10" i="28"/>
  <c r="K48" i="28"/>
  <c r="K46" i="28"/>
  <c r="K44" i="28"/>
  <c r="K42" i="28"/>
  <c r="K40" i="28"/>
  <c r="K38" i="28"/>
  <c r="K36" i="28"/>
  <c r="K34" i="28"/>
  <c r="K32" i="28"/>
  <c r="K30" i="28"/>
  <c r="K28" i="28"/>
  <c r="K26" i="28"/>
  <c r="K24" i="28"/>
  <c r="K22" i="28" l="1"/>
  <c r="K20" i="28"/>
  <c r="K18" i="28"/>
  <c r="K16" i="28"/>
  <c r="K14" i="28"/>
  <c r="K12" i="28"/>
  <c r="K10" i="28"/>
  <c r="I48" i="28"/>
  <c r="I46" i="28"/>
  <c r="I44" i="28"/>
  <c r="I42" i="28"/>
  <c r="I40" i="28"/>
  <c r="I38" i="28"/>
  <c r="I36" i="28"/>
  <c r="I34" i="28"/>
  <c r="I32" i="28"/>
  <c r="I30" i="28"/>
  <c r="I28" i="28"/>
  <c r="I26" i="28"/>
  <c r="I24" i="28"/>
  <c r="I22" i="28"/>
  <c r="I20" i="28"/>
  <c r="I18" i="28"/>
  <c r="I16" i="28"/>
  <c r="I14" i="28"/>
  <c r="I12" i="28"/>
  <c r="I10" i="28"/>
  <c r="G48" i="28"/>
  <c r="G46" i="28"/>
  <c r="G44" i="28"/>
  <c r="G42" i="28"/>
  <c r="G40" i="28"/>
  <c r="G38" i="28"/>
  <c r="G36" i="28"/>
  <c r="G34" i="28"/>
  <c r="G32" i="28"/>
  <c r="G30" i="28"/>
  <c r="G26" i="28"/>
  <c r="G24" i="28"/>
  <c r="G22" i="28"/>
  <c r="G20" i="28"/>
  <c r="G18" i="28"/>
  <c r="G16" i="28"/>
  <c r="G14" i="28"/>
  <c r="G12" i="28"/>
  <c r="E46" i="28" l="1"/>
  <c r="E44" i="28"/>
  <c r="E42" i="28"/>
  <c r="E40" i="28"/>
  <c r="E38" i="28"/>
  <c r="E36" i="28"/>
  <c r="E32" i="28"/>
  <c r="E30" i="28"/>
  <c r="E28" i="28"/>
  <c r="E24" i="28"/>
  <c r="E22" i="28"/>
  <c r="E18" i="28"/>
  <c r="E16" i="28"/>
  <c r="E14" i="28"/>
  <c r="E12" i="28"/>
  <c r="G10" i="28"/>
  <c r="E48" i="28"/>
  <c r="E34" i="28"/>
  <c r="E10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Y8" authorId="0" shapeId="0" xr:uid="{4C31A95D-BD0D-4442-AE88-12EE7747052B}">
      <text>
        <r>
          <rPr>
            <sz val="9"/>
            <color indexed="81"/>
            <rFont val="Arial"/>
            <family val="2"/>
          </rPr>
          <t xml:space="preserve">- The selected pin cell is yellow. 
- Duplicate pin names are red. </t>
        </r>
      </text>
    </comment>
    <comment ref="Z8" authorId="0" shapeId="0" xr:uid="{3A01CDC0-8C6C-4C78-A1D1-BB5F59EB6546}">
      <text>
        <r>
          <rPr>
            <sz val="9"/>
            <color indexed="81"/>
            <rFont val="Arial"/>
            <family val="2"/>
          </rPr>
          <t xml:space="preserve">- The selected pin cell is yellow. </t>
        </r>
      </text>
    </comment>
  </commentList>
</comments>
</file>

<file path=xl/sharedStrings.xml><?xml version="1.0" encoding="utf-8"?>
<sst xmlns="http://schemas.openxmlformats.org/spreadsheetml/2006/main" count="9541" uniqueCount="1832">
  <si>
    <t>HCon#9</t>
  </si>
  <si>
    <t>HCon#10</t>
  </si>
  <si>
    <t>HCon#11</t>
  </si>
  <si>
    <t>HCon#16</t>
  </si>
  <si>
    <t>HCon#17</t>
  </si>
  <si>
    <t>HCon#18</t>
  </si>
  <si>
    <t>HCon#19</t>
  </si>
  <si>
    <t>HCon#20</t>
  </si>
  <si>
    <t>HCon#21</t>
  </si>
  <si>
    <t>HCon#26</t>
  </si>
  <si>
    <t>HCon#27</t>
  </si>
  <si>
    <t>ACT #1</t>
  </si>
  <si>
    <t>ACT #2</t>
  </si>
  <si>
    <t>ACT #3</t>
  </si>
  <si>
    <t>ACT #4</t>
  </si>
  <si>
    <t>ACT #5</t>
  </si>
  <si>
    <t>ACT #6</t>
  </si>
  <si>
    <t>ACT #7</t>
  </si>
  <si>
    <t>ACT #8</t>
  </si>
  <si>
    <t>ACT #9</t>
  </si>
  <si>
    <t>ACT #10</t>
  </si>
  <si>
    <t>ACT #11</t>
  </si>
  <si>
    <t>P0.0</t>
  </si>
  <si>
    <t>LIN1_RX</t>
  </si>
  <si>
    <t>P0.1</t>
  </si>
  <si>
    <t>LIN1_TX</t>
  </si>
  <si>
    <t>P0.2</t>
  </si>
  <si>
    <t>LIN1_EN</t>
  </si>
  <si>
    <t>CAN0_1_TX</t>
  </si>
  <si>
    <t>P0.3</t>
  </si>
  <si>
    <t>CAN0_1_RX</t>
  </si>
  <si>
    <t>P1.0</t>
  </si>
  <si>
    <t>P1.1</t>
  </si>
  <si>
    <t>TRIG_IN[0]</t>
  </si>
  <si>
    <t>TRIG_IN[1]</t>
  </si>
  <si>
    <t>LIN0_RX</t>
  </si>
  <si>
    <t>CAN0_0_TX</t>
  </si>
  <si>
    <t>TRIG_IN[2]</t>
  </si>
  <si>
    <t>LIN0_TX</t>
  </si>
  <si>
    <t>CAN0_0_RX</t>
  </si>
  <si>
    <t>TRIG_IN[3]</t>
  </si>
  <si>
    <t>LIN0_EN</t>
  </si>
  <si>
    <t>TRIG_IN[4]</t>
  </si>
  <si>
    <t>P2.3</t>
  </si>
  <si>
    <t>TRIG_IN[5]</t>
  </si>
  <si>
    <t>P2.4</t>
  </si>
  <si>
    <t>TRIG_IN[6]</t>
  </si>
  <si>
    <t>P2.5</t>
  </si>
  <si>
    <t>TRIG_IN[7]</t>
  </si>
  <si>
    <t>P3.0</t>
  </si>
  <si>
    <t>P3.1</t>
  </si>
  <si>
    <t>P3.2</t>
  </si>
  <si>
    <t>P3.3</t>
  </si>
  <si>
    <t>P3.4</t>
  </si>
  <si>
    <t>P4.0</t>
  </si>
  <si>
    <t>EXT_MUX[0]_0</t>
  </si>
  <si>
    <t>TRIG_IN[10]</t>
  </si>
  <si>
    <t>P4.1</t>
  </si>
  <si>
    <t>TRIG_IN[11]</t>
  </si>
  <si>
    <t>P4.2</t>
  </si>
  <si>
    <t>EXT_MUX[0]_2</t>
  </si>
  <si>
    <t>TRIG_IN[12]</t>
  </si>
  <si>
    <t>P4.3</t>
  </si>
  <si>
    <t>TRIG_IN[13]</t>
  </si>
  <si>
    <t>P4.4</t>
  </si>
  <si>
    <t>P5.0</t>
  </si>
  <si>
    <t>P5.1</t>
  </si>
  <si>
    <t>P5.2</t>
  </si>
  <si>
    <t>P5.3</t>
  </si>
  <si>
    <t>P5.4</t>
  </si>
  <si>
    <t>P5.5</t>
  </si>
  <si>
    <t>P6.0</t>
  </si>
  <si>
    <t>P6.1</t>
  </si>
  <si>
    <t>P6.2</t>
  </si>
  <si>
    <t>P6.3</t>
  </si>
  <si>
    <t>P6.4</t>
  </si>
  <si>
    <t>P6.5</t>
  </si>
  <si>
    <t>P6.6</t>
  </si>
  <si>
    <t>TRIG_IN[8]</t>
  </si>
  <si>
    <t>P6.7</t>
  </si>
  <si>
    <t>TRIG_IN[9]</t>
  </si>
  <si>
    <t>P7.0</t>
  </si>
  <si>
    <t>P7.1</t>
  </si>
  <si>
    <t>P7.2</t>
  </si>
  <si>
    <t>P7.3</t>
  </si>
  <si>
    <t>P7.4</t>
  </si>
  <si>
    <t>P7.5</t>
  </si>
  <si>
    <t>P7.6</t>
  </si>
  <si>
    <t>TRIG_IN[16]</t>
  </si>
  <si>
    <t>P7.7</t>
  </si>
  <si>
    <t>TRIG_IN[17]</t>
  </si>
  <si>
    <t>P8.0</t>
  </si>
  <si>
    <t>P8.1</t>
  </si>
  <si>
    <t>TRIG_IN[14]</t>
  </si>
  <si>
    <t>P8.2</t>
  </si>
  <si>
    <t>TRIG_IN[15]</t>
  </si>
  <si>
    <t>P8.3</t>
  </si>
  <si>
    <t>P9.0</t>
  </si>
  <si>
    <t>P9.1</t>
  </si>
  <si>
    <t>P9.2</t>
  </si>
  <si>
    <t>P9.3</t>
  </si>
  <si>
    <t>TRIG_IN[18]</t>
  </si>
  <si>
    <t>P11.0</t>
  </si>
  <si>
    <t>P11.1</t>
  </si>
  <si>
    <t>P11.2</t>
  </si>
  <si>
    <t>P12.0</t>
  </si>
  <si>
    <t>TRIG_IN[20]</t>
  </si>
  <si>
    <t>P12.1</t>
  </si>
  <si>
    <t>TRIG_IN[21]</t>
  </si>
  <si>
    <t>P12.2</t>
  </si>
  <si>
    <t>EXT_MUX[1]_EN</t>
  </si>
  <si>
    <t>P12.3</t>
  </si>
  <si>
    <t>EXT_MUX[1]_0</t>
  </si>
  <si>
    <t>P12.4</t>
  </si>
  <si>
    <t>EXT_MUX[1]_1</t>
  </si>
  <si>
    <t>P12.5</t>
  </si>
  <si>
    <t>EXT_MUX[1]_2</t>
  </si>
  <si>
    <t>P12.6</t>
  </si>
  <si>
    <t>P12.7</t>
  </si>
  <si>
    <t>P13.0</t>
  </si>
  <si>
    <t>P13.1</t>
  </si>
  <si>
    <t>P13.2</t>
  </si>
  <si>
    <t>P13.3</t>
  </si>
  <si>
    <t>P13.4</t>
  </si>
  <si>
    <t>P13.5</t>
  </si>
  <si>
    <t>P13.6</t>
  </si>
  <si>
    <t>TRIG_IN[22]</t>
  </si>
  <si>
    <t>P13.7</t>
  </si>
  <si>
    <t>TRIG_IN[23]</t>
  </si>
  <si>
    <t>P14.0</t>
  </si>
  <si>
    <t>CAN1_0_TX</t>
  </si>
  <si>
    <t>P14.1</t>
  </si>
  <si>
    <t>CAN1_0_RX</t>
  </si>
  <si>
    <t>P14.2</t>
  </si>
  <si>
    <t>P14.3</t>
  </si>
  <si>
    <t>P14.4</t>
  </si>
  <si>
    <t>P14.5</t>
  </si>
  <si>
    <t>P14.6</t>
  </si>
  <si>
    <t>P14.7</t>
  </si>
  <si>
    <t>TRIG_IN[25]</t>
  </si>
  <si>
    <t>P15.2</t>
  </si>
  <si>
    <t>P15.3</t>
  </si>
  <si>
    <t>P16.0</t>
  </si>
  <si>
    <t>P16.1</t>
  </si>
  <si>
    <t>P16.2</t>
  </si>
  <si>
    <t>P16.3</t>
  </si>
  <si>
    <t>P17.0</t>
  </si>
  <si>
    <t>CAN1_1_TX</t>
  </si>
  <si>
    <t>CAN1_1_RX</t>
  </si>
  <si>
    <t>TRIG_IN[26]</t>
  </si>
  <si>
    <t>TRIG_IN[27]</t>
  </si>
  <si>
    <t>P18.0</t>
  </si>
  <si>
    <t>P18.1</t>
  </si>
  <si>
    <t>P18.2</t>
  </si>
  <si>
    <t>P18.3</t>
  </si>
  <si>
    <t>P18.4</t>
  </si>
  <si>
    <t>P18.5</t>
  </si>
  <si>
    <t>P18.6</t>
  </si>
  <si>
    <t>P18.7</t>
  </si>
  <si>
    <t>P19.0</t>
  </si>
  <si>
    <t>P19.1</t>
  </si>
  <si>
    <t>P19.2</t>
  </si>
  <si>
    <t>P19.3</t>
  </si>
  <si>
    <t>TRIG_IN[29]</t>
  </si>
  <si>
    <t>P19.4</t>
  </si>
  <si>
    <t>P20.0</t>
  </si>
  <si>
    <t>P20.1</t>
  </si>
  <si>
    <t>P20.2</t>
  </si>
  <si>
    <t>P20.3</t>
  </si>
  <si>
    <t>P20.4</t>
  </si>
  <si>
    <t>P20.5</t>
  </si>
  <si>
    <t>P20.6</t>
  </si>
  <si>
    <t>P20.7</t>
  </si>
  <si>
    <t>P21.0</t>
  </si>
  <si>
    <t>P21.1</t>
  </si>
  <si>
    <t>P21.2</t>
  </si>
  <si>
    <t>EXT_CLK</t>
  </si>
  <si>
    <t>P21.3</t>
  </si>
  <si>
    <t>P23.0</t>
  </si>
  <si>
    <t>P23.1</t>
  </si>
  <si>
    <t>P23.2</t>
  </si>
  <si>
    <t>P23.3</t>
  </si>
  <si>
    <t>TRIG_IN[30]</t>
  </si>
  <si>
    <t>P23.4</t>
  </si>
  <si>
    <t>TRIG_IN[31]</t>
  </si>
  <si>
    <t>VDDD</t>
    <phoneticPr fontId="3"/>
  </si>
  <si>
    <t>VCCD</t>
    <phoneticPr fontId="3"/>
  </si>
  <si>
    <t>VREFL</t>
    <phoneticPr fontId="3"/>
  </si>
  <si>
    <t>VREFH</t>
    <phoneticPr fontId="3"/>
  </si>
  <si>
    <t>XRES_L</t>
    <phoneticPr fontId="3"/>
  </si>
  <si>
    <t>Selected Pin Attribute</t>
    <phoneticPr fontId="4"/>
  </si>
  <si>
    <t>Function</t>
    <phoneticPr fontId="4"/>
  </si>
  <si>
    <t>Analog</t>
  </si>
  <si>
    <t>HCon#29</t>
  </si>
  <si>
    <t>HCon#30</t>
  </si>
  <si>
    <t>Pin</t>
  </si>
  <si>
    <t>GPIO_ENH</t>
  </si>
  <si>
    <t>GPIO_STD</t>
  </si>
  <si>
    <t>NA</t>
  </si>
  <si>
    <t>SWJ_TRSTN</t>
  </si>
  <si>
    <t>ADC[0]_0</t>
  </si>
  <si>
    <t>ADC[0]_1</t>
  </si>
  <si>
    <t>ADC[0]_2</t>
  </si>
  <si>
    <t>ADC[0]_3</t>
  </si>
  <si>
    <t>ADC[0]_4</t>
  </si>
  <si>
    <t>ADC[0]_5</t>
  </si>
  <si>
    <t>ADC[0]_6</t>
  </si>
  <si>
    <t>ADC[0]_7</t>
  </si>
  <si>
    <t>ADC[0]_8</t>
  </si>
  <si>
    <t>ADC[0]_9</t>
  </si>
  <si>
    <t>ADC[0]_10</t>
  </si>
  <si>
    <t>ADC[0]_11</t>
  </si>
  <si>
    <t>ADC[0]_12</t>
  </si>
  <si>
    <t>ADC[0]_13</t>
  </si>
  <si>
    <t>ADC[0]_14</t>
  </si>
  <si>
    <t>ADC[0]_15</t>
  </si>
  <si>
    <t>ADC[0]_16</t>
  </si>
  <si>
    <t>ADC[0]_17</t>
  </si>
  <si>
    <t>ADC[0]_18</t>
  </si>
  <si>
    <t>ADC[0]_19</t>
  </si>
  <si>
    <t>ADC[0]_20</t>
  </si>
  <si>
    <t>ADC[0]_21</t>
  </si>
  <si>
    <t>ADC[0]_22</t>
  </si>
  <si>
    <t>ADC[0]_23</t>
  </si>
  <si>
    <t>ADC[1]_0</t>
  </si>
  <si>
    <t>ADC[1]_1</t>
  </si>
  <si>
    <t>ADC[1]_2</t>
  </si>
  <si>
    <t>ADC[1]_3</t>
  </si>
  <si>
    <t>ADC[1]_4</t>
  </si>
  <si>
    <t>ADC[1]_5</t>
  </si>
  <si>
    <t>ADC[1]_6</t>
  </si>
  <si>
    <t>ADC[1]_7</t>
  </si>
  <si>
    <t>ADC[1]_8</t>
  </si>
  <si>
    <t>ADC[1]_9</t>
  </si>
  <si>
    <t>ADC[1]_10</t>
  </si>
  <si>
    <t>ADC[1]_11</t>
  </si>
  <si>
    <t>ADC[1]_12</t>
  </si>
  <si>
    <t>ADC[1]_13</t>
  </si>
  <si>
    <t>ADC[1]_14</t>
  </si>
  <si>
    <t>ADC[1]_15</t>
  </si>
  <si>
    <t>ADC[1]_16</t>
  </si>
  <si>
    <t>ADC[1]_17</t>
  </si>
  <si>
    <t>ADC[1]_18</t>
  </si>
  <si>
    <t>ADC[1]_19</t>
  </si>
  <si>
    <t>ADC[1]_20</t>
  </si>
  <si>
    <t>ADC[1]_21</t>
  </si>
  <si>
    <t>ADC[1]_22</t>
  </si>
  <si>
    <t>ADC[1]_23</t>
  </si>
  <si>
    <t>HCon#8</t>
    <phoneticPr fontId="3"/>
  </si>
  <si>
    <t>ACT #0</t>
    <phoneticPr fontId="3"/>
  </si>
  <si>
    <t>WCO_IN</t>
    <phoneticPr fontId="3"/>
  </si>
  <si>
    <t>WCO_OUT</t>
    <phoneticPr fontId="3"/>
  </si>
  <si>
    <t>ECO_IN</t>
    <phoneticPr fontId="3"/>
  </si>
  <si>
    <t>ECO_OUT</t>
    <phoneticPr fontId="3"/>
  </si>
  <si>
    <t>NA</t>
    <phoneticPr fontId="3"/>
  </si>
  <si>
    <t>Note</t>
    <phoneticPr fontId="4"/>
  </si>
  <si>
    <t>CAN1</t>
    <phoneticPr fontId="3"/>
  </si>
  <si>
    <t>Board Connection</t>
    <phoneticPr fontId="3"/>
  </si>
  <si>
    <t>GPIO</t>
    <phoneticPr fontId="3"/>
  </si>
  <si>
    <t>LIN</t>
    <phoneticPr fontId="3"/>
  </si>
  <si>
    <t>CAN0</t>
    <phoneticPr fontId="3"/>
  </si>
  <si>
    <t>SCB</t>
    <phoneticPr fontId="3"/>
  </si>
  <si>
    <t>SCB0</t>
    <phoneticPr fontId="3"/>
  </si>
  <si>
    <t>SCB1</t>
    <phoneticPr fontId="3"/>
  </si>
  <si>
    <t>SCB2</t>
    <phoneticPr fontId="3"/>
  </si>
  <si>
    <t>SCB3</t>
    <phoneticPr fontId="3"/>
  </si>
  <si>
    <t>SCB7</t>
    <phoneticPr fontId="3"/>
  </si>
  <si>
    <t>SCB6</t>
    <phoneticPr fontId="3"/>
  </si>
  <si>
    <t>SCB5</t>
    <phoneticPr fontId="3"/>
  </si>
  <si>
    <t>SCB4</t>
    <phoneticPr fontId="3"/>
  </si>
  <si>
    <t>TX</t>
    <phoneticPr fontId="3"/>
  </si>
  <si>
    <t>RX</t>
    <phoneticPr fontId="3"/>
  </si>
  <si>
    <t>LIN0</t>
    <phoneticPr fontId="3"/>
  </si>
  <si>
    <t>LIN1</t>
  </si>
  <si>
    <t>EN</t>
    <phoneticPr fontId="3"/>
  </si>
  <si>
    <t>Number of pins used</t>
    <phoneticPr fontId="3"/>
  </si>
  <si>
    <t>CAN0_1</t>
    <phoneticPr fontId="3"/>
  </si>
  <si>
    <t>CAN0_0</t>
    <phoneticPr fontId="3"/>
  </si>
  <si>
    <t>CAN1_0</t>
    <phoneticPr fontId="3"/>
  </si>
  <si>
    <t>CAN1_1</t>
    <phoneticPr fontId="3"/>
  </si>
  <si>
    <t>ADC</t>
    <phoneticPr fontId="3"/>
  </si>
  <si>
    <t>ADC[0]</t>
    <phoneticPr fontId="3"/>
  </si>
  <si>
    <t>ADC[1]</t>
    <phoneticPr fontId="3"/>
  </si>
  <si>
    <t>PWM</t>
    <phoneticPr fontId="3"/>
  </si>
  <si>
    <t>PWM_N</t>
    <phoneticPr fontId="3"/>
  </si>
  <si>
    <t>Number of pins used
for UART</t>
    <phoneticPr fontId="3"/>
  </si>
  <si>
    <t>Number of pins used
for SPI</t>
    <phoneticPr fontId="3"/>
  </si>
  <si>
    <t>Number of pins used
for I2C</t>
    <phoneticPr fontId="3"/>
  </si>
  <si>
    <t>Number of pins used
for PWM output</t>
    <phoneticPr fontId="3"/>
  </si>
  <si>
    <t>Number of pins used
for trigger output</t>
    <phoneticPr fontId="3"/>
  </si>
  <si>
    <t>CNT0</t>
    <phoneticPr fontId="3"/>
  </si>
  <si>
    <t>CNT1</t>
  </si>
  <si>
    <t>CNT2</t>
  </si>
  <si>
    <t>CNT3</t>
  </si>
  <si>
    <t>CNT4</t>
  </si>
  <si>
    <t>CNT5</t>
  </si>
  <si>
    <t>CNT6</t>
  </si>
  <si>
    <t>CNT7</t>
  </si>
  <si>
    <t>CNT8</t>
  </si>
  <si>
    <t>CNT9</t>
  </si>
  <si>
    <t>CNT10</t>
  </si>
  <si>
    <t>CNT11</t>
  </si>
  <si>
    <t>CNT12</t>
  </si>
  <si>
    <t>CNT13</t>
  </si>
  <si>
    <t>CNT14</t>
  </si>
  <si>
    <t>CNT15</t>
  </si>
  <si>
    <t>CNT16</t>
  </si>
  <si>
    <t>CNT17</t>
  </si>
  <si>
    <t>CNT18</t>
  </si>
  <si>
    <t>CNT19</t>
  </si>
  <si>
    <t>CNT20</t>
  </si>
  <si>
    <t>CNT21</t>
  </si>
  <si>
    <t>CNT22</t>
  </si>
  <si>
    <t>CNT23</t>
  </si>
  <si>
    <t>CNT24</t>
  </si>
  <si>
    <t>CNT25</t>
  </si>
  <si>
    <t>CNT26</t>
  </si>
  <si>
    <t>CNT27</t>
  </si>
  <si>
    <t>CNT28</t>
  </si>
  <si>
    <t>CNT29</t>
  </si>
  <si>
    <t>CNT30</t>
  </si>
  <si>
    <t>CNT31</t>
  </si>
  <si>
    <t>CNT32</t>
  </si>
  <si>
    <t>CNT33</t>
  </si>
  <si>
    <t>CNT34</t>
  </si>
  <si>
    <t>CNT35</t>
  </si>
  <si>
    <t>CNT36</t>
  </si>
  <si>
    <t>CNT37</t>
  </si>
  <si>
    <t>Analog Inputs_0</t>
    <phoneticPr fontId="3"/>
  </si>
  <si>
    <t>Analog Inputs_1</t>
  </si>
  <si>
    <t>Analog Inputs_2</t>
  </si>
  <si>
    <t>Analog Inputs_3</t>
  </si>
  <si>
    <t>Analog Inputs_4</t>
  </si>
  <si>
    <t>Analog Inputs_5</t>
  </si>
  <si>
    <t>Analog Inputs_6</t>
  </si>
  <si>
    <t>Analog Inputs_7</t>
  </si>
  <si>
    <t>Analog Inputs_8</t>
  </si>
  <si>
    <t>Analog Inputs_9</t>
  </si>
  <si>
    <t>Analog Inputs_10</t>
  </si>
  <si>
    <t>Analog Inputs_11</t>
  </si>
  <si>
    <t>Analog Inputs_12</t>
  </si>
  <si>
    <t>Analog Inputs_13</t>
  </si>
  <si>
    <t>Analog Inputs_14</t>
  </si>
  <si>
    <t>Analog Inputs_15</t>
  </si>
  <si>
    <t>Analog Inputs_16</t>
  </si>
  <si>
    <t>Analog Inputs_17</t>
  </si>
  <si>
    <t>Analog Inputs_18</t>
  </si>
  <si>
    <t>Analog Inputs_19</t>
  </si>
  <si>
    <t>Analog Inputs_20</t>
  </si>
  <si>
    <t>Analog Inputs_21</t>
  </si>
  <si>
    <t>Analog Inputs_22</t>
  </si>
  <si>
    <t>Analog Inputs_23</t>
  </si>
  <si>
    <t>(SPI)</t>
    <phoneticPr fontId="3"/>
  </si>
  <si>
    <t>Active Mapping</t>
    <phoneticPr fontId="3"/>
  </si>
  <si>
    <t>Power
Source</t>
    <phoneticPr fontId="3"/>
  </si>
  <si>
    <t>-</t>
    <phoneticPr fontId="3"/>
  </si>
  <si>
    <t>Type</t>
    <phoneticPr fontId="3"/>
  </si>
  <si>
    <t>I/O Port</t>
    <phoneticPr fontId="3"/>
  </si>
  <si>
    <t>HCon#22</t>
  </si>
  <si>
    <t>HCon#23</t>
  </si>
  <si>
    <t>HCon#24</t>
  </si>
  <si>
    <t>HCon#25</t>
  </si>
  <si>
    <t>ACT #12</t>
  </si>
  <si>
    <t>ACT #13</t>
  </si>
  <si>
    <t>ACT #14</t>
  </si>
  <si>
    <t>ACT #15</t>
  </si>
  <si>
    <t>P1.4</t>
  </si>
  <si>
    <t>P1.5</t>
  </si>
  <si>
    <t>P2.6</t>
  </si>
  <si>
    <t>P4.5</t>
  </si>
  <si>
    <t>TRIG_IN[32]</t>
  </si>
  <si>
    <t>P4.6</t>
  </si>
  <si>
    <t>TRIG_IN[33]</t>
  </si>
  <si>
    <t>PWM0_M_0</t>
  </si>
  <si>
    <t>TRIG_IN[38]</t>
  </si>
  <si>
    <t>TRIG_IN[39]</t>
  </si>
  <si>
    <t>PWM0_M_1</t>
  </si>
  <si>
    <t>PWM0_M_1_N</t>
  </si>
  <si>
    <t>P16.4</t>
  </si>
  <si>
    <t>P16.5</t>
  </si>
  <si>
    <t>P16.6</t>
  </si>
  <si>
    <t>P16.7</t>
  </si>
  <si>
    <t>PWM0_M_2</t>
  </si>
  <si>
    <t>PWM0_M_2_N</t>
  </si>
  <si>
    <t>P24.0</t>
  </si>
  <si>
    <t>P24.1</t>
  </si>
  <si>
    <t>P25.0</t>
  </si>
  <si>
    <t>P25.1</t>
  </si>
  <si>
    <t>P25.2</t>
  </si>
  <si>
    <t>P25.3</t>
  </si>
  <si>
    <t>P25.4</t>
  </si>
  <si>
    <t>P25.5</t>
  </si>
  <si>
    <t>P26.0</t>
  </si>
  <si>
    <t>P26.1</t>
  </si>
  <si>
    <t>P26.2</t>
  </si>
  <si>
    <t>P26.3</t>
  </si>
  <si>
    <t>P26.4</t>
  </si>
  <si>
    <t>P27.0</t>
  </si>
  <si>
    <t>P27.1</t>
  </si>
  <si>
    <t>P28.0</t>
  </si>
  <si>
    <t>P28.1</t>
  </si>
  <si>
    <t>P28.2</t>
  </si>
  <si>
    <t>P28.3</t>
  </si>
  <si>
    <t>P28.4</t>
  </si>
  <si>
    <t>P28.5</t>
  </si>
  <si>
    <t>P29.0</t>
  </si>
  <si>
    <t>P29.1</t>
  </si>
  <si>
    <t>P30.0</t>
  </si>
  <si>
    <t>TRIG_IN[34]</t>
  </si>
  <si>
    <t>P30.1</t>
  </si>
  <si>
    <t>TRIG_IN[35]</t>
  </si>
  <si>
    <t>TRIG_IN[36]</t>
  </si>
  <si>
    <t>TRIG_IN[37]</t>
  </si>
  <si>
    <t>TRIG_IN[40]</t>
  </si>
  <si>
    <t>TRIG_IN[41]</t>
  </si>
  <si>
    <t>TRIG_IN[42]</t>
  </si>
  <si>
    <t>TRIG_IN[43]</t>
  </si>
  <si>
    <t>TRIG_IN[44]</t>
  </si>
  <si>
    <t>TRIG_IN[45]</t>
  </si>
  <si>
    <t>TRIG_IN[46]</t>
  </si>
  <si>
    <t>TRIG_IN[47]</t>
  </si>
  <si>
    <t>B18</t>
  </si>
  <si>
    <t>B17</t>
  </si>
  <si>
    <t>A17</t>
  </si>
  <si>
    <t>C17</t>
  </si>
  <si>
    <t>B16</t>
  </si>
  <si>
    <t>A16</t>
  </si>
  <si>
    <t>A15</t>
  </si>
  <si>
    <t>B15</t>
  </si>
  <si>
    <t>C16</t>
  </si>
  <si>
    <t>C15</t>
  </si>
  <si>
    <t>D15</t>
  </si>
  <si>
    <t>A14</t>
  </si>
  <si>
    <t>B14</t>
  </si>
  <si>
    <t>C14</t>
  </si>
  <si>
    <t>D14</t>
  </si>
  <si>
    <t>B13</t>
  </si>
  <si>
    <t>C13</t>
  </si>
  <si>
    <t>A13</t>
  </si>
  <si>
    <t>A12</t>
  </si>
  <si>
    <t>B12</t>
  </si>
  <si>
    <t>C12</t>
  </si>
  <si>
    <t>B11</t>
  </si>
  <si>
    <t>C11</t>
  </si>
  <si>
    <t>D11</t>
  </si>
  <si>
    <t>A9</t>
  </si>
  <si>
    <t>A8</t>
  </si>
  <si>
    <t>B8</t>
  </si>
  <si>
    <t>C8</t>
  </si>
  <si>
    <t>D8</t>
  </si>
  <si>
    <t>A7</t>
  </si>
  <si>
    <t>B7</t>
  </si>
  <si>
    <t>A5</t>
  </si>
  <si>
    <t>A6</t>
  </si>
  <si>
    <t>B5</t>
  </si>
  <si>
    <t>B6</t>
  </si>
  <si>
    <t>C5</t>
  </si>
  <si>
    <t>C6</t>
  </si>
  <si>
    <t>A4</t>
  </si>
  <si>
    <t>D6</t>
  </si>
  <si>
    <t>B4</t>
  </si>
  <si>
    <t>C4</t>
  </si>
  <si>
    <t>D5</t>
  </si>
  <si>
    <t>A3</t>
  </si>
  <si>
    <t>B3</t>
  </si>
  <si>
    <t>A2</t>
  </si>
  <si>
    <t>B1</t>
  </si>
  <si>
    <t>B2</t>
  </si>
  <si>
    <t>C3</t>
  </si>
  <si>
    <t>C1</t>
  </si>
  <si>
    <t>C2</t>
  </si>
  <si>
    <t>D1</t>
  </si>
  <si>
    <t>F1</t>
  </si>
  <si>
    <t>E1</t>
  </si>
  <si>
    <t>F2</t>
  </si>
  <si>
    <t>E2</t>
  </si>
  <si>
    <t>G1</t>
  </si>
  <si>
    <t>G2</t>
  </si>
  <si>
    <t>G3</t>
  </si>
  <si>
    <t>F3</t>
  </si>
  <si>
    <t>F4</t>
  </si>
  <si>
    <t>H1</t>
  </si>
  <si>
    <t>H2</t>
  </si>
  <si>
    <t>G4</t>
  </si>
  <si>
    <t>H3</t>
  </si>
  <si>
    <t>J1</t>
  </si>
  <si>
    <t>J2</t>
  </si>
  <si>
    <t>K1</t>
  </si>
  <si>
    <t>K2</t>
  </si>
  <si>
    <t>J3</t>
  </si>
  <si>
    <t>M1</t>
  </si>
  <si>
    <t>N2</t>
  </si>
  <si>
    <t>N3</t>
  </si>
  <si>
    <t>R1</t>
  </si>
  <si>
    <t>N4</t>
  </si>
  <si>
    <t>R2</t>
  </si>
  <si>
    <t>P1</t>
  </si>
  <si>
    <t>R3</t>
  </si>
  <si>
    <t>P2</t>
  </si>
  <si>
    <t>T1</t>
  </si>
  <si>
    <t>P3</t>
  </si>
  <si>
    <t>P4</t>
  </si>
  <si>
    <t>R4</t>
  </si>
  <si>
    <t>T2</t>
  </si>
  <si>
    <t>T3</t>
  </si>
  <si>
    <t>U1</t>
  </si>
  <si>
    <t>U2</t>
  </si>
  <si>
    <t>U3</t>
  </si>
  <si>
    <t>V1</t>
  </si>
  <si>
    <t>V2</t>
  </si>
  <si>
    <t>W1</t>
  </si>
  <si>
    <t>Y2</t>
  </si>
  <si>
    <t>W2</t>
  </si>
  <si>
    <t>V3</t>
  </si>
  <si>
    <t>Y3</t>
  </si>
  <si>
    <t>W3</t>
  </si>
  <si>
    <t>V4</t>
  </si>
  <si>
    <t>Y4</t>
  </si>
  <si>
    <t>U4</t>
  </si>
  <si>
    <t>W4</t>
  </si>
  <si>
    <t>T4</t>
  </si>
  <si>
    <t>Y5</t>
  </si>
  <si>
    <t>U5</t>
  </si>
  <si>
    <t>W5</t>
  </si>
  <si>
    <t>V5</t>
  </si>
  <si>
    <t>V6</t>
  </si>
  <si>
    <t>Y6</t>
  </si>
  <si>
    <t>U6</t>
  </si>
  <si>
    <t>W6</t>
  </si>
  <si>
    <t>Y7</t>
  </si>
  <si>
    <t>V7</t>
  </si>
  <si>
    <t>W7</t>
  </si>
  <si>
    <t>U7</t>
  </si>
  <si>
    <t>V8</t>
  </si>
  <si>
    <t>U8</t>
  </si>
  <si>
    <t>V13</t>
  </si>
  <si>
    <t>U13</t>
  </si>
  <si>
    <t>Y12</t>
  </si>
  <si>
    <t>Y14</t>
  </si>
  <si>
    <t>W14</t>
  </si>
  <si>
    <t>U14</t>
  </si>
  <si>
    <t>V15</t>
  </si>
  <si>
    <t>U15</t>
  </si>
  <si>
    <t>Y16</t>
  </si>
  <si>
    <t>W16</t>
  </si>
  <si>
    <t>U18</t>
  </si>
  <si>
    <t>U17</t>
  </si>
  <si>
    <t>Y18</t>
  </si>
  <si>
    <t>P19</t>
  </si>
  <si>
    <t>R18</t>
  </si>
  <si>
    <t>R17</t>
  </si>
  <si>
    <t>N18</t>
  </si>
  <si>
    <t>L18</t>
  </si>
  <si>
    <t>N17</t>
  </si>
  <si>
    <t>M19</t>
  </si>
  <si>
    <t>M20</t>
  </si>
  <si>
    <t>K19</t>
  </si>
  <si>
    <t>L17</t>
  </si>
  <si>
    <t>H19</t>
  </si>
  <si>
    <t>J17</t>
  </si>
  <si>
    <t>H18</t>
  </si>
  <si>
    <t>H20</t>
  </si>
  <si>
    <t>F20</t>
  </si>
  <si>
    <t>F18</t>
  </si>
  <si>
    <t>G19</t>
  </si>
  <si>
    <t>H17</t>
  </si>
  <si>
    <t>E19</t>
  </si>
  <si>
    <t>F17</t>
  </si>
  <si>
    <t>E18</t>
  </si>
  <si>
    <t>E17</t>
  </si>
  <si>
    <t>HSIO_STD</t>
  </si>
  <si>
    <t>K3</t>
  </si>
  <si>
    <t>L1</t>
  </si>
  <si>
    <t>J4</t>
  </si>
  <si>
    <t>L2</t>
  </si>
  <si>
    <t>L3</t>
  </si>
  <si>
    <t>M2</t>
  </si>
  <si>
    <t>K4</t>
  </si>
  <si>
    <t>M3</t>
  </si>
  <si>
    <t>L4</t>
  </si>
  <si>
    <t>M4</t>
  </si>
  <si>
    <t>Y8</t>
  </si>
  <si>
    <t>W8</t>
  </si>
  <si>
    <t>V9</t>
  </si>
  <si>
    <t>Y9</t>
  </si>
  <si>
    <t>U9</t>
  </si>
  <si>
    <t>W9</t>
  </si>
  <si>
    <t>Y10</t>
  </si>
  <si>
    <t>V10</t>
  </si>
  <si>
    <t>W10</t>
  </si>
  <si>
    <t>U10</t>
  </si>
  <si>
    <t>V11</t>
  </si>
  <si>
    <t>U11</t>
  </si>
  <si>
    <t>W12</t>
  </si>
  <si>
    <t>D19</t>
  </si>
  <si>
    <t>D18</t>
  </si>
  <si>
    <t>C20</t>
  </si>
  <si>
    <t>D17</t>
  </si>
  <si>
    <t>C19</t>
  </si>
  <si>
    <t>D16</t>
  </si>
  <si>
    <t>B20</t>
  </si>
  <si>
    <t>C18</t>
  </si>
  <si>
    <t>B19</t>
  </si>
  <si>
    <t>A19</t>
  </si>
  <si>
    <t>A11</t>
  </si>
  <si>
    <t>A10</t>
  </si>
  <si>
    <t>B10</t>
  </si>
  <si>
    <t>C10</t>
  </si>
  <si>
    <t>D10</t>
  </si>
  <si>
    <t>B9</t>
  </si>
  <si>
    <t>C9</t>
  </si>
  <si>
    <t>C7</t>
  </si>
  <si>
    <t>D7</t>
  </si>
  <si>
    <t>D2</t>
  </si>
  <si>
    <t>D3</t>
  </si>
  <si>
    <t>E3</t>
  </si>
  <si>
    <t>D4</t>
  </si>
  <si>
    <t>E4</t>
  </si>
  <si>
    <t>W18</t>
  </si>
  <si>
    <t>V20</t>
  </si>
  <si>
    <t>V19</t>
  </si>
  <si>
    <t>T20</t>
  </si>
  <si>
    <t>T19</t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</si>
  <si>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</si>
  <si>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</si>
  <si>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</si>
  <si>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</si>
  <si>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</si>
  <si>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</si>
  <si>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</si>
  <si>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</si>
  <si>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</si>
  <si>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</si>
  <si>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</si>
  <si>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</si>
  <si>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</si>
  <si>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P</t>
    <phoneticPr fontId="3"/>
  </si>
  <si>
    <t>R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</si>
  <si>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</si>
  <si>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</si>
  <si>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</si>
  <si>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</si>
  <si>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Y</t>
    <phoneticPr fontId="3"/>
  </si>
  <si>
    <t>A1</t>
    <phoneticPr fontId="3"/>
  </si>
  <si>
    <t>Y1</t>
    <phoneticPr fontId="3"/>
  </si>
  <si>
    <t>F6</t>
    <phoneticPr fontId="3"/>
  </si>
  <si>
    <t>H6</t>
    <phoneticPr fontId="3"/>
  </si>
  <si>
    <t>J6</t>
    <phoneticPr fontId="3"/>
  </si>
  <si>
    <t>K6</t>
    <phoneticPr fontId="3"/>
  </si>
  <si>
    <t>L6</t>
    <phoneticPr fontId="3"/>
  </si>
  <si>
    <t>M6</t>
    <phoneticPr fontId="3"/>
  </si>
  <si>
    <t>N6</t>
    <phoneticPr fontId="3"/>
  </si>
  <si>
    <t>R6</t>
    <phoneticPr fontId="3"/>
  </si>
  <si>
    <t>F8</t>
    <phoneticPr fontId="3"/>
  </si>
  <si>
    <t>J8</t>
    <phoneticPr fontId="3"/>
  </si>
  <si>
    <t>K8</t>
    <phoneticPr fontId="3"/>
  </si>
  <si>
    <t>L8</t>
    <phoneticPr fontId="3"/>
  </si>
  <si>
    <t>M8</t>
    <phoneticPr fontId="3"/>
  </si>
  <si>
    <t>N8</t>
    <phoneticPr fontId="3"/>
  </si>
  <si>
    <t>R8</t>
    <phoneticPr fontId="3"/>
  </si>
  <si>
    <t>H9</t>
    <phoneticPr fontId="3"/>
  </si>
  <si>
    <t>J9</t>
    <phoneticPr fontId="3"/>
  </si>
  <si>
    <t>K9</t>
    <phoneticPr fontId="3"/>
  </si>
  <si>
    <t>L9</t>
    <phoneticPr fontId="3"/>
  </si>
  <si>
    <t>M9</t>
    <phoneticPr fontId="3"/>
  </si>
  <si>
    <t>N9</t>
    <phoneticPr fontId="3"/>
  </si>
  <si>
    <t>R9</t>
    <phoneticPr fontId="3"/>
  </si>
  <si>
    <t>F10</t>
    <phoneticPr fontId="3"/>
  </si>
  <si>
    <t>H10</t>
    <phoneticPr fontId="3"/>
  </si>
  <si>
    <t>J10</t>
    <phoneticPr fontId="3"/>
  </si>
  <si>
    <t>K10</t>
    <phoneticPr fontId="3"/>
  </si>
  <si>
    <t>L10</t>
    <phoneticPr fontId="3"/>
  </si>
  <si>
    <t>M10</t>
    <phoneticPr fontId="3"/>
  </si>
  <si>
    <t>N10</t>
    <phoneticPr fontId="3"/>
  </si>
  <si>
    <t>R10</t>
    <phoneticPr fontId="3"/>
  </si>
  <si>
    <t>F11</t>
    <phoneticPr fontId="3"/>
  </si>
  <si>
    <t>H11</t>
    <phoneticPr fontId="3"/>
  </si>
  <si>
    <t>J11</t>
    <phoneticPr fontId="3"/>
  </si>
  <si>
    <t>K11</t>
    <phoneticPr fontId="3"/>
  </si>
  <si>
    <t>L11</t>
    <phoneticPr fontId="3"/>
  </si>
  <si>
    <t>M11</t>
    <phoneticPr fontId="3"/>
  </si>
  <si>
    <t>N11</t>
    <phoneticPr fontId="3"/>
  </si>
  <si>
    <t>R11</t>
    <phoneticPr fontId="3"/>
  </si>
  <si>
    <t>F12</t>
    <phoneticPr fontId="3"/>
  </si>
  <si>
    <t>H12</t>
    <phoneticPr fontId="3"/>
  </si>
  <si>
    <t>J12</t>
    <phoneticPr fontId="3"/>
  </si>
  <si>
    <t>K12</t>
    <phoneticPr fontId="3"/>
  </si>
  <si>
    <t>L12</t>
    <phoneticPr fontId="3"/>
  </si>
  <si>
    <t>M12</t>
    <phoneticPr fontId="3"/>
  </si>
  <si>
    <t>N12</t>
    <phoneticPr fontId="3"/>
  </si>
  <si>
    <t>R12</t>
    <phoneticPr fontId="3"/>
  </si>
  <si>
    <t>F13</t>
    <phoneticPr fontId="3"/>
  </si>
  <si>
    <t>H13</t>
    <phoneticPr fontId="3"/>
  </si>
  <si>
    <t>J13</t>
    <phoneticPr fontId="3"/>
  </si>
  <si>
    <t>K13</t>
    <phoneticPr fontId="3"/>
  </si>
  <si>
    <t>L13</t>
    <phoneticPr fontId="3"/>
  </si>
  <si>
    <t>M13</t>
    <phoneticPr fontId="3"/>
  </si>
  <si>
    <t>R13</t>
    <phoneticPr fontId="3"/>
  </si>
  <si>
    <t>N13</t>
    <phoneticPr fontId="3"/>
  </si>
  <si>
    <t>F15</t>
    <phoneticPr fontId="3"/>
  </si>
  <si>
    <t>H15</t>
    <phoneticPr fontId="3"/>
  </si>
  <si>
    <t>J15</t>
    <phoneticPr fontId="3"/>
  </si>
  <si>
    <t>K15</t>
    <phoneticPr fontId="3"/>
  </si>
  <si>
    <t>L15</t>
    <phoneticPr fontId="3"/>
  </si>
  <si>
    <t>M15</t>
    <phoneticPr fontId="3"/>
  </si>
  <si>
    <t>N15</t>
    <phoneticPr fontId="3"/>
  </si>
  <si>
    <t>R15</t>
    <phoneticPr fontId="3"/>
  </si>
  <si>
    <t>K18</t>
    <phoneticPr fontId="3"/>
  </si>
  <si>
    <t>A20</t>
    <phoneticPr fontId="3"/>
  </si>
  <si>
    <t>J20</t>
    <phoneticPr fontId="3"/>
  </si>
  <si>
    <t>L20</t>
    <phoneticPr fontId="3"/>
  </si>
  <si>
    <t>Y20</t>
    <phoneticPr fontId="3"/>
  </si>
  <si>
    <t>Name</t>
    <phoneticPr fontId="3"/>
  </si>
  <si>
    <t>F9</t>
    <phoneticPr fontId="3"/>
  </si>
  <si>
    <t>SCB8</t>
  </si>
  <si>
    <t>SCB9</t>
  </si>
  <si>
    <t>SCB10</t>
  </si>
  <si>
    <t>CLK (0)</t>
    <phoneticPr fontId="3"/>
  </si>
  <si>
    <t>CLK (1)</t>
    <phoneticPr fontId="3"/>
  </si>
  <si>
    <t>Ethernet MAC</t>
    <phoneticPr fontId="3"/>
  </si>
  <si>
    <t>ETH0</t>
    <phoneticPr fontId="3"/>
  </si>
  <si>
    <t>R14</t>
    <phoneticPr fontId="3"/>
  </si>
  <si>
    <t>A18</t>
    <phoneticPr fontId="3"/>
  </si>
  <si>
    <t>P18</t>
    <phoneticPr fontId="3"/>
  </si>
  <si>
    <t>V18</t>
    <phoneticPr fontId="3"/>
  </si>
  <si>
    <t>Connection_1</t>
    <phoneticPr fontId="4"/>
  </si>
  <si>
    <t>Connection_2</t>
    <phoneticPr fontId="3"/>
  </si>
  <si>
    <t>SMARTIO</t>
    <phoneticPr fontId="4"/>
  </si>
  <si>
    <t>Memo</t>
    <phoneticPr fontId="4"/>
  </si>
  <si>
    <t>[Notices]</t>
    <phoneticPr fontId="3"/>
  </si>
  <si>
    <t xml:space="preserve">      - For any function marked with an identifier (n), the AC timing is only guaranteed within the respective group "n".</t>
    <phoneticPr fontId="3"/>
  </si>
  <si>
    <t>*1: Check the followings.</t>
    <phoneticPr fontId="3"/>
  </si>
  <si>
    <t>ID</t>
    <phoneticPr fontId="3"/>
  </si>
  <si>
    <t>SPI</t>
    <phoneticPr fontId="3"/>
  </si>
  <si>
    <t>UART</t>
    <phoneticPr fontId="3"/>
  </si>
  <si>
    <t>I2C</t>
    <phoneticPr fontId="3"/>
  </si>
  <si>
    <t>Number of counts other than 0</t>
    <phoneticPr fontId="3"/>
  </si>
  <si>
    <t>SMIF</t>
    <phoneticPr fontId="3"/>
  </si>
  <si>
    <t>RWDS (0)</t>
    <phoneticPr fontId="3"/>
  </si>
  <si>
    <t>DATA0 (0)</t>
    <phoneticPr fontId="3"/>
  </si>
  <si>
    <t>DATA1 (0)</t>
    <phoneticPr fontId="3"/>
  </si>
  <si>
    <t>DATA2 (0)</t>
    <phoneticPr fontId="3"/>
  </si>
  <si>
    <t>DATA3 (0)</t>
    <phoneticPr fontId="3"/>
  </si>
  <si>
    <t>DATA4 (0)</t>
    <phoneticPr fontId="3"/>
  </si>
  <si>
    <t>DATA5 (0)</t>
    <phoneticPr fontId="3"/>
  </si>
  <si>
    <t>DATA6 (0)</t>
    <phoneticPr fontId="3"/>
  </si>
  <si>
    <t>DATA7 (0)</t>
    <phoneticPr fontId="3"/>
  </si>
  <si>
    <t>RWDS (1)</t>
    <phoneticPr fontId="3"/>
  </si>
  <si>
    <t>DATA0 (1)</t>
    <phoneticPr fontId="3"/>
  </si>
  <si>
    <t>DATA1 (1)</t>
    <phoneticPr fontId="3"/>
  </si>
  <si>
    <t>DATA2 (1)</t>
    <phoneticPr fontId="3"/>
  </si>
  <si>
    <t>DATA3 (1)</t>
    <phoneticPr fontId="3"/>
  </si>
  <si>
    <t>DATA4 (1)</t>
    <phoneticPr fontId="3"/>
  </si>
  <si>
    <t>DATA5 (1)</t>
    <phoneticPr fontId="3"/>
  </si>
  <si>
    <t>DATA6 (1)</t>
    <phoneticPr fontId="3"/>
  </si>
  <si>
    <t>DATA7 (1)</t>
    <phoneticPr fontId="3"/>
  </si>
  <si>
    <t>SPIHB0</t>
    <phoneticPr fontId="3"/>
  </si>
  <si>
    <t>Revision History</t>
    <phoneticPr fontId="3"/>
  </si>
  <si>
    <t>Revision</t>
    <phoneticPr fontId="3"/>
  </si>
  <si>
    <t>Issue Date</t>
    <phoneticPr fontId="3"/>
  </si>
  <si>
    <t>Description of Change</t>
    <phoneticPr fontId="3"/>
  </si>
  <si>
    <t>**</t>
    <phoneticPr fontId="3"/>
  </si>
  <si>
    <t>Initial Release</t>
    <phoneticPr fontId="3"/>
  </si>
  <si>
    <t>Pin Assignment_327-BGA</t>
    <phoneticPr fontId="3"/>
  </si>
  <si>
    <t>VSS</t>
    <phoneticPr fontId="3"/>
  </si>
  <si>
    <t xml:space="preserve">P9.5 </t>
    <phoneticPr fontId="3"/>
  </si>
  <si>
    <t>P9.3</t>
    <phoneticPr fontId="3"/>
  </si>
  <si>
    <t xml:space="preserve"> P8.2 </t>
    <phoneticPr fontId="3"/>
  </si>
  <si>
    <t>P29.0</t>
    <phoneticPr fontId="3"/>
  </si>
  <si>
    <t xml:space="preserve"> P7.4 </t>
    <phoneticPr fontId="3"/>
  </si>
  <si>
    <t xml:space="preserve">P7.0 </t>
    <phoneticPr fontId="3"/>
  </si>
  <si>
    <t xml:space="preserve">P6.4 </t>
    <phoneticPr fontId="3"/>
  </si>
  <si>
    <t xml:space="preserve">P6.1 </t>
    <phoneticPr fontId="3"/>
  </si>
  <si>
    <t xml:space="preserve">P5.6 </t>
    <phoneticPr fontId="3"/>
  </si>
  <si>
    <t xml:space="preserve">P5.3 </t>
    <phoneticPr fontId="3"/>
  </si>
  <si>
    <t xml:space="preserve">P4.7 </t>
    <phoneticPr fontId="3"/>
  </si>
  <si>
    <t xml:space="preserve">P4.3 </t>
    <phoneticPr fontId="3"/>
  </si>
  <si>
    <t xml:space="preserve">P3.4 </t>
    <phoneticPr fontId="3"/>
  </si>
  <si>
    <t xml:space="preserve">P3.0 </t>
    <phoneticPr fontId="3"/>
  </si>
  <si>
    <t xml:space="preserve">P0.4 </t>
    <phoneticPr fontId="3"/>
  </si>
  <si>
    <t xml:space="preserve">P23.0 </t>
    <phoneticPr fontId="3"/>
  </si>
  <si>
    <t xml:space="preserve">P23.1 </t>
    <phoneticPr fontId="3"/>
  </si>
  <si>
    <t xml:space="preserve">P12.1 </t>
    <phoneticPr fontId="3"/>
  </si>
  <si>
    <t xml:space="preserve">P11.3 </t>
    <phoneticPr fontId="3"/>
  </si>
  <si>
    <t xml:space="preserve">P11.0 </t>
    <phoneticPr fontId="3"/>
  </si>
  <si>
    <t xml:space="preserve">P9.2 </t>
    <phoneticPr fontId="3"/>
  </si>
  <si>
    <t xml:space="preserve">P8.3 </t>
    <phoneticPr fontId="3"/>
  </si>
  <si>
    <t xml:space="preserve">P29.1 </t>
    <phoneticPr fontId="3"/>
  </si>
  <si>
    <t>P7.5</t>
    <phoneticPr fontId="3"/>
  </si>
  <si>
    <t xml:space="preserve"> P7.1 </t>
    <phoneticPr fontId="3"/>
  </si>
  <si>
    <t xml:space="preserve">P6.5 </t>
    <phoneticPr fontId="3"/>
  </si>
  <si>
    <t xml:space="preserve">P6.0 </t>
    <phoneticPr fontId="3"/>
  </si>
  <si>
    <t xml:space="preserve">P5.5 </t>
    <phoneticPr fontId="3"/>
  </si>
  <si>
    <t xml:space="preserve">P5.2 </t>
    <phoneticPr fontId="3"/>
  </si>
  <si>
    <t xml:space="preserve">P4.6 </t>
    <phoneticPr fontId="3"/>
  </si>
  <si>
    <t xml:space="preserve">P4.2 </t>
    <phoneticPr fontId="3"/>
  </si>
  <si>
    <t xml:space="preserve">P3.3 </t>
    <phoneticPr fontId="3"/>
  </si>
  <si>
    <t>P2.4</t>
    <phoneticPr fontId="3"/>
  </si>
  <si>
    <t xml:space="preserve"> P2.6</t>
    <phoneticPr fontId="3"/>
  </si>
  <si>
    <t xml:space="preserve"> P2.5</t>
  </si>
  <si>
    <t>P11.2</t>
    <phoneticPr fontId="3"/>
  </si>
  <si>
    <t>P12.0</t>
    <phoneticPr fontId="3"/>
  </si>
  <si>
    <t>P11.6</t>
    <phoneticPr fontId="3"/>
  </si>
  <si>
    <t>P11.7</t>
    <phoneticPr fontId="3"/>
  </si>
  <si>
    <t>P23.2</t>
    <phoneticPr fontId="3"/>
  </si>
  <si>
    <t xml:space="preserve"> P23.3</t>
    <phoneticPr fontId="3"/>
  </si>
  <si>
    <t xml:space="preserve"> P23.4 </t>
    <phoneticPr fontId="3"/>
  </si>
  <si>
    <t xml:space="preserve">P12.2 </t>
    <phoneticPr fontId="3"/>
  </si>
  <si>
    <t xml:space="preserve">P11.1 </t>
    <phoneticPr fontId="3"/>
  </si>
  <si>
    <t xml:space="preserve">P9.1 </t>
    <phoneticPr fontId="3"/>
  </si>
  <si>
    <t xml:space="preserve">P9.0 </t>
    <phoneticPr fontId="3"/>
  </si>
  <si>
    <t xml:space="preserve">P8.0 </t>
    <phoneticPr fontId="3"/>
  </si>
  <si>
    <t xml:space="preserve">P7.6 </t>
    <phoneticPr fontId="3"/>
  </si>
  <si>
    <t xml:space="preserve">P7.2 </t>
    <phoneticPr fontId="3"/>
  </si>
  <si>
    <t>P6.6</t>
    <phoneticPr fontId="3"/>
  </si>
  <si>
    <t xml:space="preserve">P5.1 </t>
    <phoneticPr fontId="3"/>
  </si>
  <si>
    <t>P4.5</t>
    <phoneticPr fontId="3"/>
  </si>
  <si>
    <t xml:space="preserve"> P4.1 </t>
    <phoneticPr fontId="3"/>
  </si>
  <si>
    <t xml:space="preserve">P3.2 </t>
    <phoneticPr fontId="3"/>
  </si>
  <si>
    <t>P25.0</t>
    <phoneticPr fontId="3"/>
  </si>
  <si>
    <t xml:space="preserve"> P25.1 </t>
    <phoneticPr fontId="3"/>
  </si>
  <si>
    <t xml:space="preserve">P25.2 </t>
    <phoneticPr fontId="3"/>
  </si>
  <si>
    <t xml:space="preserve">P0.2 </t>
    <phoneticPr fontId="3"/>
  </si>
  <si>
    <t xml:space="preserve">P0.1 </t>
    <phoneticPr fontId="3"/>
  </si>
  <si>
    <t xml:space="preserve">P25.3 </t>
    <phoneticPr fontId="3"/>
  </si>
  <si>
    <t xml:space="preserve">P25.4 </t>
    <phoneticPr fontId="3"/>
  </si>
  <si>
    <t xml:space="preserve">P25.5 </t>
    <phoneticPr fontId="3"/>
  </si>
  <si>
    <t xml:space="preserve">P24.0 </t>
    <phoneticPr fontId="3"/>
  </si>
  <si>
    <t xml:space="preserve">P24.1 </t>
    <phoneticPr fontId="3"/>
  </si>
  <si>
    <t xml:space="preserve">P12.5 </t>
    <phoneticPr fontId="3"/>
  </si>
  <si>
    <t xml:space="preserve">P26.0 </t>
    <phoneticPr fontId="3"/>
  </si>
  <si>
    <t>P26.1</t>
    <phoneticPr fontId="3"/>
  </si>
  <si>
    <t xml:space="preserve"> P12.7 </t>
    <phoneticPr fontId="3"/>
  </si>
  <si>
    <t xml:space="preserve">P26.2 </t>
    <phoneticPr fontId="3"/>
  </si>
  <si>
    <t xml:space="preserve">P26.3 </t>
    <phoneticPr fontId="3"/>
  </si>
  <si>
    <t>P26.4</t>
    <phoneticPr fontId="3"/>
  </si>
  <si>
    <t xml:space="preserve"> P13.1</t>
  </si>
  <si>
    <t>P28.0</t>
    <phoneticPr fontId="3"/>
  </si>
  <si>
    <t xml:space="preserve"> P28.1 </t>
    <phoneticPr fontId="3"/>
  </si>
  <si>
    <t>P28.2</t>
    <phoneticPr fontId="3"/>
  </si>
  <si>
    <t xml:space="preserve"> P13.0</t>
  </si>
  <si>
    <t xml:space="preserve">P28.3 </t>
    <phoneticPr fontId="3"/>
  </si>
  <si>
    <t xml:space="preserve">P28.4 </t>
    <phoneticPr fontId="3"/>
  </si>
  <si>
    <t>P28.5</t>
    <phoneticPr fontId="3"/>
  </si>
  <si>
    <t xml:space="preserve"> P13.2</t>
  </si>
  <si>
    <t xml:space="preserve">P27.0 </t>
    <phoneticPr fontId="3"/>
  </si>
  <si>
    <t xml:space="preserve">P27.1 </t>
    <phoneticPr fontId="3"/>
  </si>
  <si>
    <t xml:space="preserve">P13.3 </t>
    <phoneticPr fontId="3"/>
  </si>
  <si>
    <t xml:space="preserve"> P13.5 </t>
    <phoneticPr fontId="3"/>
  </si>
  <si>
    <t>P13.6</t>
    <phoneticPr fontId="3"/>
  </si>
  <si>
    <t xml:space="preserve"> P13.7</t>
  </si>
  <si>
    <t>P14.0</t>
    <phoneticPr fontId="3"/>
  </si>
  <si>
    <t xml:space="preserve"> P14.1 </t>
    <phoneticPr fontId="3"/>
  </si>
  <si>
    <t>P14.2</t>
    <phoneticPr fontId="3"/>
  </si>
  <si>
    <t xml:space="preserve"> P14.3</t>
  </si>
  <si>
    <t xml:space="preserve">P14.4 </t>
    <phoneticPr fontId="3"/>
  </si>
  <si>
    <t xml:space="preserve">P14.5 </t>
    <phoneticPr fontId="3"/>
  </si>
  <si>
    <t>P14.6</t>
    <phoneticPr fontId="3"/>
  </si>
  <si>
    <t xml:space="preserve"> P14.7</t>
  </si>
  <si>
    <t>P30.0</t>
    <phoneticPr fontId="3"/>
  </si>
  <si>
    <t xml:space="preserve"> P30.1</t>
    <phoneticPr fontId="3"/>
  </si>
  <si>
    <t xml:space="preserve"> P15.2</t>
    <phoneticPr fontId="3"/>
  </si>
  <si>
    <t xml:space="preserve"> P15.3</t>
  </si>
  <si>
    <t>P0.0</t>
    <phoneticPr fontId="3"/>
  </si>
  <si>
    <t xml:space="preserve"> P1.5</t>
  </si>
  <si>
    <t xml:space="preserve">P1.4 </t>
    <phoneticPr fontId="3"/>
  </si>
  <si>
    <t>P1.1</t>
    <phoneticPr fontId="3"/>
  </si>
  <si>
    <t>VSSA_FPD1</t>
    <phoneticPr fontId="3"/>
  </si>
  <si>
    <t>FPD1_TDP</t>
  </si>
  <si>
    <t>FPD1_TCP</t>
  </si>
  <si>
    <t>VDDHA_FPD1</t>
    <phoneticPr fontId="3"/>
  </si>
  <si>
    <t>FPD1_TBP</t>
  </si>
  <si>
    <t>FPD1_TAN</t>
  </si>
  <si>
    <t>FPD0_TAP</t>
  </si>
  <si>
    <t>VSSA_FPD0</t>
    <phoneticPr fontId="3"/>
  </si>
  <si>
    <t>FPD0_TBN</t>
  </si>
  <si>
    <t xml:space="preserve">P15.4 </t>
    <phoneticPr fontId="3"/>
  </si>
  <si>
    <t>P15.5</t>
    <phoneticPr fontId="3"/>
  </si>
  <si>
    <t xml:space="preserve"> P15.6 </t>
    <phoneticPr fontId="3"/>
  </si>
  <si>
    <t xml:space="preserve">P16.2 </t>
    <phoneticPr fontId="3"/>
  </si>
  <si>
    <t xml:space="preserve">P18.2 </t>
    <phoneticPr fontId="3"/>
  </si>
  <si>
    <t>P18.6</t>
    <phoneticPr fontId="3"/>
  </si>
  <si>
    <t xml:space="preserve"> P19.2 </t>
    <phoneticPr fontId="3"/>
  </si>
  <si>
    <t xml:space="preserve">P19.6 </t>
    <phoneticPr fontId="3"/>
  </si>
  <si>
    <t>P20.2</t>
    <phoneticPr fontId="3"/>
  </si>
  <si>
    <t xml:space="preserve"> P20.6 </t>
    <phoneticPr fontId="3"/>
  </si>
  <si>
    <t xml:space="preserve">P21.2 </t>
    <phoneticPr fontId="3"/>
  </si>
  <si>
    <t>P15.7</t>
    <phoneticPr fontId="3"/>
  </si>
  <si>
    <t xml:space="preserve"> P16.0 </t>
    <phoneticPr fontId="3"/>
  </si>
  <si>
    <t>P16.3</t>
    <phoneticPr fontId="3"/>
  </si>
  <si>
    <t xml:space="preserve"> P17.0</t>
    <phoneticPr fontId="3"/>
  </si>
  <si>
    <t xml:space="preserve"> P18.3 </t>
    <phoneticPr fontId="3"/>
  </si>
  <si>
    <t xml:space="preserve">P18.7 </t>
    <phoneticPr fontId="3"/>
  </si>
  <si>
    <t xml:space="preserve">P19.3 </t>
    <phoneticPr fontId="3"/>
  </si>
  <si>
    <t xml:space="preserve">P19.7 </t>
    <phoneticPr fontId="3"/>
  </si>
  <si>
    <t xml:space="preserve">P20.3 </t>
    <phoneticPr fontId="3"/>
  </si>
  <si>
    <t xml:space="preserve">P20.7 </t>
    <phoneticPr fontId="3"/>
  </si>
  <si>
    <t xml:space="preserve">P21.3 </t>
    <phoneticPr fontId="3"/>
  </si>
  <si>
    <t>VSSA_MIPI</t>
    <phoneticPr fontId="3"/>
  </si>
  <si>
    <t>VDDA_MIPI</t>
    <phoneticPr fontId="3"/>
  </si>
  <si>
    <t>FPD0_TCN</t>
  </si>
  <si>
    <t>P16.1</t>
    <phoneticPr fontId="3"/>
  </si>
  <si>
    <t xml:space="preserve"> P16.4 </t>
    <phoneticPr fontId="3"/>
  </si>
  <si>
    <t>P16.6</t>
    <phoneticPr fontId="3"/>
  </si>
  <si>
    <t xml:space="preserve"> P18.0</t>
    <phoneticPr fontId="3"/>
  </si>
  <si>
    <t xml:space="preserve"> P18.4 </t>
    <phoneticPr fontId="3"/>
  </si>
  <si>
    <t xml:space="preserve">P19.0 </t>
    <phoneticPr fontId="3"/>
  </si>
  <si>
    <t xml:space="preserve">P19.4 </t>
    <phoneticPr fontId="3"/>
  </si>
  <si>
    <t xml:space="preserve">P20.0 </t>
    <phoneticPr fontId="3"/>
  </si>
  <si>
    <t xml:space="preserve">P20.4 </t>
    <phoneticPr fontId="3"/>
  </si>
  <si>
    <t>P21.0</t>
    <phoneticPr fontId="3"/>
  </si>
  <si>
    <t>MIPI_DN3</t>
  </si>
  <si>
    <t>FPD0_TDP</t>
  </si>
  <si>
    <t xml:space="preserve">P16.5 </t>
    <phoneticPr fontId="3"/>
  </si>
  <si>
    <t xml:space="preserve">P16.7 </t>
    <phoneticPr fontId="3"/>
  </si>
  <si>
    <t xml:space="preserve">P18.1 </t>
    <phoneticPr fontId="3"/>
  </si>
  <si>
    <t>P18.5</t>
    <phoneticPr fontId="3"/>
  </si>
  <si>
    <t xml:space="preserve"> P19.1 </t>
    <phoneticPr fontId="3"/>
  </si>
  <si>
    <t>P19.5</t>
    <phoneticPr fontId="3"/>
  </si>
  <si>
    <t xml:space="preserve"> P20.1 </t>
    <phoneticPr fontId="3"/>
  </si>
  <si>
    <t>P20.5</t>
    <phoneticPr fontId="3"/>
  </si>
  <si>
    <t xml:space="preserve"> P21.1 </t>
    <phoneticPr fontId="3"/>
  </si>
  <si>
    <t>FPD0_TDN</t>
  </si>
  <si>
    <t>VDDIO_SMC</t>
    <phoneticPr fontId="3"/>
  </si>
  <si>
    <t>VDDIO_GPIO_2</t>
    <phoneticPr fontId="3"/>
  </si>
  <si>
    <t>VDDA_ADC</t>
    <phoneticPr fontId="3"/>
  </si>
  <si>
    <t>VDDIO_GPIO_1</t>
    <phoneticPr fontId="3"/>
  </si>
  <si>
    <t>VDDIO_GPIO_0</t>
    <phoneticPr fontId="3"/>
  </si>
  <si>
    <t>VDDA_FPD1</t>
    <phoneticPr fontId="3"/>
  </si>
  <si>
    <t>VDDPLL_FPD1</t>
    <phoneticPr fontId="3"/>
  </si>
  <si>
    <t>VDDPLL_FPD0</t>
    <phoneticPr fontId="3"/>
  </si>
  <si>
    <t>VDDIO_SMIF</t>
    <phoneticPr fontId="3"/>
  </si>
  <si>
    <t>VDDIO_SMIF_HV</t>
    <phoneticPr fontId="3"/>
  </si>
  <si>
    <t>VDDIO_HSIO</t>
    <phoneticPr fontId="3"/>
  </si>
  <si>
    <t>VDDA_FPD0</t>
    <phoneticPr fontId="3"/>
  </si>
  <si>
    <t>P0.4</t>
  </si>
  <si>
    <t>P0.5</t>
  </si>
  <si>
    <t>P4.7</t>
  </si>
  <si>
    <t>P5.6</t>
  </si>
  <si>
    <t>P5.7</t>
  </si>
  <si>
    <t>D9</t>
  </si>
  <si>
    <t>P9.4</t>
  </si>
  <si>
    <t>P9.5</t>
  </si>
  <si>
    <t>P9.6</t>
  </si>
  <si>
    <t>P9.7</t>
  </si>
  <si>
    <t>P11.3</t>
  </si>
  <si>
    <t>P11.4</t>
  </si>
  <si>
    <t>P11.5</t>
  </si>
  <si>
    <t>P11.6</t>
  </si>
  <si>
    <t>P11.7</t>
  </si>
  <si>
    <t>P15.4</t>
  </si>
  <si>
    <t>P15.5</t>
  </si>
  <si>
    <t>P15.6</t>
  </si>
  <si>
    <t>P15.7</t>
  </si>
  <si>
    <t>P19.5</t>
  </si>
  <si>
    <t>P19.6</t>
  </si>
  <si>
    <t>P19.7</t>
  </si>
  <si>
    <t>MIPI_DP2</t>
  </si>
  <si>
    <t>MIPI_DN2</t>
  </si>
  <si>
    <t>MIPI_DN0</t>
  </si>
  <si>
    <t>MIPI_DP0</t>
  </si>
  <si>
    <t>MIPI_CKP</t>
  </si>
  <si>
    <t>MIPI_CKN</t>
  </si>
  <si>
    <t>MIPI_REXT</t>
  </si>
  <si>
    <t>MIPI_DP1</t>
  </si>
  <si>
    <t>MIPI_DN1</t>
  </si>
  <si>
    <t>MIPI_DP3</t>
  </si>
  <si>
    <t>FPD0_TCP</t>
  </si>
  <si>
    <t>FPD0_TCLKN</t>
  </si>
  <si>
    <t>FPD0_TCLKP</t>
  </si>
  <si>
    <t>FPD0_TBP</t>
  </si>
  <si>
    <t>FPD0_TAN</t>
  </si>
  <si>
    <t>FPD1_TAP</t>
  </si>
  <si>
    <t>P20</t>
  </si>
  <si>
    <t>FPD1_TBN</t>
  </si>
  <si>
    <t>FPD1_TCLKP</t>
  </si>
  <si>
    <t>FPD1_TCLKN</t>
  </si>
  <si>
    <t>FPD1_TCN</t>
  </si>
  <si>
    <t>K20</t>
  </si>
  <si>
    <t>FPD1_TDN</t>
  </si>
  <si>
    <t>DAC_AOUTS_R</t>
  </si>
  <si>
    <t>DAC_COM_R</t>
  </si>
  <si>
    <t>J18</t>
  </si>
  <si>
    <t>DAC_COM_L</t>
  </si>
  <si>
    <t>DAC_AOUTS_L</t>
  </si>
  <si>
    <t>PMIC_EN</t>
  </si>
  <si>
    <t>PMIC_STATUS</t>
  </si>
  <si>
    <t>Pin Function_327-BGA</t>
    <phoneticPr fontId="3"/>
  </si>
  <si>
    <t>R7</t>
    <phoneticPr fontId="3"/>
  </si>
  <si>
    <t>F7</t>
    <phoneticPr fontId="3"/>
  </si>
  <si>
    <t>G6</t>
    <phoneticPr fontId="3"/>
  </si>
  <si>
    <t>G15</t>
    <phoneticPr fontId="3"/>
  </si>
  <si>
    <t>P6</t>
    <phoneticPr fontId="3"/>
  </si>
  <si>
    <t>P15</t>
    <phoneticPr fontId="3"/>
  </si>
  <si>
    <t>VDDA_DAC</t>
    <phoneticPr fontId="3"/>
  </si>
  <si>
    <t>V14</t>
    <phoneticPr fontId="3"/>
  </si>
  <si>
    <t>VDDHA_FPD0</t>
    <phoneticPr fontId="3"/>
  </si>
  <si>
    <t>R19</t>
    <phoneticPr fontId="3"/>
  </si>
  <si>
    <t>R20</t>
    <phoneticPr fontId="3"/>
  </si>
  <si>
    <t>P17</t>
    <phoneticPr fontId="3"/>
  </si>
  <si>
    <t>M17</t>
    <phoneticPr fontId="3"/>
  </si>
  <si>
    <t>M18</t>
    <phoneticPr fontId="3"/>
  </si>
  <si>
    <t>N19</t>
    <phoneticPr fontId="3"/>
  </si>
  <si>
    <t>N20</t>
    <phoneticPr fontId="3"/>
  </si>
  <si>
    <t>N1</t>
    <phoneticPr fontId="3"/>
  </si>
  <si>
    <t>H4</t>
    <phoneticPr fontId="3"/>
  </si>
  <si>
    <t>W11</t>
    <phoneticPr fontId="3"/>
  </si>
  <si>
    <t>Y11</t>
    <phoneticPr fontId="3"/>
  </si>
  <si>
    <t>VSSA_ADC</t>
    <phoneticPr fontId="3"/>
  </si>
  <si>
    <t>D12</t>
    <phoneticPr fontId="3"/>
  </si>
  <si>
    <t>U12</t>
    <phoneticPr fontId="3"/>
  </si>
  <si>
    <t>V12</t>
    <phoneticPr fontId="3"/>
  </si>
  <si>
    <t>D13</t>
    <phoneticPr fontId="3"/>
  </si>
  <si>
    <t>W13</t>
    <phoneticPr fontId="3"/>
  </si>
  <si>
    <t>Y13</t>
    <phoneticPr fontId="3"/>
  </si>
  <si>
    <t>F14</t>
    <phoneticPr fontId="3"/>
  </si>
  <si>
    <t>W15</t>
    <phoneticPr fontId="3"/>
  </si>
  <si>
    <t>Y15</t>
    <phoneticPr fontId="3"/>
  </si>
  <si>
    <t>U16</t>
    <phoneticPr fontId="3"/>
  </si>
  <si>
    <t>V16</t>
    <phoneticPr fontId="3"/>
  </si>
  <si>
    <t>VSSA_DAC</t>
    <phoneticPr fontId="3"/>
  </si>
  <si>
    <t>G17</t>
    <phoneticPr fontId="3"/>
  </si>
  <si>
    <t>K17</t>
    <phoneticPr fontId="3"/>
  </si>
  <si>
    <t>T17</t>
    <phoneticPr fontId="3"/>
  </si>
  <si>
    <t>V17</t>
    <phoneticPr fontId="3"/>
  </si>
  <si>
    <t>W17</t>
    <phoneticPr fontId="3"/>
  </si>
  <si>
    <t>Y17</t>
    <phoneticPr fontId="3"/>
  </si>
  <si>
    <t>G18</t>
    <phoneticPr fontId="3"/>
  </si>
  <si>
    <t>T18</t>
    <phoneticPr fontId="3"/>
  </si>
  <si>
    <t>F19</t>
    <phoneticPr fontId="3"/>
  </si>
  <si>
    <t>J19</t>
    <phoneticPr fontId="3"/>
  </si>
  <si>
    <t>L19</t>
    <phoneticPr fontId="3"/>
  </si>
  <si>
    <t>U19</t>
    <phoneticPr fontId="3"/>
  </si>
  <si>
    <t>W19</t>
    <phoneticPr fontId="3"/>
  </si>
  <si>
    <t>Y19</t>
    <phoneticPr fontId="3"/>
  </si>
  <si>
    <t>E20</t>
    <phoneticPr fontId="3"/>
  </si>
  <si>
    <t>G20</t>
    <phoneticPr fontId="3"/>
  </si>
  <si>
    <t>U20</t>
    <phoneticPr fontId="3"/>
  </si>
  <si>
    <t>W20</t>
    <phoneticPr fontId="3"/>
  </si>
  <si>
    <t>PWM0_20_N</t>
  </si>
  <si>
    <t>TDM_TX_MCK[2](0)</t>
  </si>
  <si>
    <t>TDM_RX_MCK[2](0)</t>
  </si>
  <si>
    <t>SCB10_CLK</t>
  </si>
  <si>
    <t>SCB10_RX</t>
  </si>
  <si>
    <t>SCB10_SDA</t>
  </si>
  <si>
    <t>PWM0_20</t>
  </si>
  <si>
    <t>TC0_20_TR</t>
  </si>
  <si>
    <t>TDM_TX_SCK[2](0)</t>
  </si>
  <si>
    <t>TDM_RX_SCK[2](0)</t>
  </si>
  <si>
    <t>SCB10_MOSI</t>
  </si>
  <si>
    <t>SCB10_TX</t>
  </si>
  <si>
    <t>SCB10_SCL</t>
  </si>
  <si>
    <t>PWM0_21_N</t>
  </si>
  <si>
    <t>TDM_TX_FSYNC[2](0)</t>
  </si>
  <si>
    <t>CXPI1_TX</t>
  </si>
  <si>
    <t>SCB10_MISO</t>
  </si>
  <si>
    <t>SCB10_RTS</t>
  </si>
  <si>
    <t>PWM0_21</t>
  </si>
  <si>
    <t>TC0_21_TR</t>
  </si>
  <si>
    <t>TDM_TX_SD[2](0)</t>
  </si>
  <si>
    <t>TDM_RX_SD[2](0)</t>
  </si>
  <si>
    <t>CXPI1_RX</t>
  </si>
  <si>
    <t>SCB10_SEL0</t>
  </si>
  <si>
    <t>SCB10_CTS</t>
  </si>
  <si>
    <t>PWM0_22_N</t>
  </si>
  <si>
    <t>SCB11_CLK</t>
  </si>
  <si>
    <t>SCB11_RX</t>
  </si>
  <si>
    <t>SCB11_SDA</t>
  </si>
  <si>
    <t>PWM0_22</t>
  </si>
  <si>
    <t>TC0_22_TR</t>
  </si>
  <si>
    <t>SCB11_MOSI</t>
  </si>
  <si>
    <t>SCB11_TX</t>
  </si>
  <si>
    <t>SCB11_SCL</t>
  </si>
  <si>
    <t>PWM0_24</t>
  </si>
  <si>
    <t>TC0_24_TR</t>
  </si>
  <si>
    <t>CXPI0_EN</t>
  </si>
  <si>
    <t>CAL_SUP_NZ</t>
  </si>
  <si>
    <t>PWM0_25_N</t>
  </si>
  <si>
    <t>CXPI0_RX</t>
  </si>
  <si>
    <t>DAC_MCK</t>
  </si>
  <si>
    <t>PWM0_25</t>
  </si>
  <si>
    <t>TC0_25_TR</t>
  </si>
  <si>
    <t>CXPI0_TX</t>
  </si>
  <si>
    <t>PWM0_26_N</t>
  </si>
  <si>
    <t>PWM0_26</t>
  </si>
  <si>
    <t>TC0_26_TR</t>
  </si>
  <si>
    <t>PWM0_27_N</t>
  </si>
  <si>
    <t>PWM0_27</t>
  </si>
  <si>
    <t>TC0_27_TR</t>
  </si>
  <si>
    <t>CXPI1_EN</t>
  </si>
  <si>
    <t>SCB10_SEL1</t>
  </si>
  <si>
    <t>FAULT_OUT_0</t>
  </si>
  <si>
    <t>PWM0_28_N</t>
  </si>
  <si>
    <t>FAULT_OUT_1</t>
  </si>
  <si>
    <t>PWM0_28</t>
  </si>
  <si>
    <t>TC0_28_TR</t>
  </si>
  <si>
    <t>SG_TONE[0](1)</t>
  </si>
  <si>
    <t>PWM_LINE1_N[0](0)</t>
  </si>
  <si>
    <t>FAULT_OUT_2</t>
  </si>
  <si>
    <t>PWM0_29_N</t>
  </si>
  <si>
    <t>SG_AMPL[1](1)</t>
  </si>
  <si>
    <t>PWM_LINE2_P[0](0)</t>
  </si>
  <si>
    <t>FAULT_OUT_3</t>
  </si>
  <si>
    <t>PWM0_29</t>
  </si>
  <si>
    <t>TC0_29_TR</t>
  </si>
  <si>
    <t>SG_TONE[1](1)</t>
  </si>
  <si>
    <t>PWM_LINE2_N[0](0)</t>
  </si>
  <si>
    <t>PWM0_30_N</t>
  </si>
  <si>
    <t>TDM_TX_MCK[3](0)</t>
  </si>
  <si>
    <t>TDM_RX_MCK[3](0)</t>
  </si>
  <si>
    <t>SG_AMPL[2](1)</t>
  </si>
  <si>
    <t>PWM_LINE1_P[1](0)</t>
  </si>
  <si>
    <t>PWM0_30</t>
  </si>
  <si>
    <t>TC0_30_TR</t>
  </si>
  <si>
    <t>TDM_TX_SCK[3](0)</t>
  </si>
  <si>
    <t>TDM_RX_SCK[3](0)</t>
  </si>
  <si>
    <t>SG_TONE[2](1)</t>
  </si>
  <si>
    <t>PWM_LINE1_N[1](0)</t>
  </si>
  <si>
    <t>PWM0_31_N</t>
  </si>
  <si>
    <t>TDM_TX_FSYNC[3](0)</t>
  </si>
  <si>
    <t>TDM_RX_FSYNC[3](0)</t>
  </si>
  <si>
    <t>SG_AMPL[3](1)</t>
  </si>
  <si>
    <t>PWM_LINE2_P[1](0)</t>
  </si>
  <si>
    <t>PWM0_31</t>
  </si>
  <si>
    <t>TC0_31_TR</t>
  </si>
  <si>
    <t>TDM_TX_SD[3](0)</t>
  </si>
  <si>
    <t>TDM_RX_SD[3](0)</t>
  </si>
  <si>
    <t>SG_TONE[3](1)</t>
  </si>
  <si>
    <t>PWM_LINE2_N[1](0)</t>
  </si>
  <si>
    <t>PWM0_H_12</t>
  </si>
  <si>
    <t>TDM_TX_MCK[2](1)</t>
  </si>
  <si>
    <t>TDM_RX_MCK[2](1)</t>
  </si>
  <si>
    <t>PWM0_H_13</t>
  </si>
  <si>
    <t>TDM_TX_SCK[2](1)</t>
  </si>
  <si>
    <t>TDM_RX_SCK[2](1)</t>
  </si>
  <si>
    <t>PWM0_H_14</t>
  </si>
  <si>
    <t>TDM_TX_FSYNC[2](1)</t>
  </si>
  <si>
    <t>TDM_RX_FSYNC[2](1)</t>
  </si>
  <si>
    <t>SG_AMPL[0](0)</t>
  </si>
  <si>
    <t>PWM0_H_15</t>
  </si>
  <si>
    <t>TDM_TX_SD[2](1)</t>
  </si>
  <si>
    <t>TDM_RX_SD[2](1)</t>
  </si>
  <si>
    <t>SG_TONE[0](0)</t>
  </si>
  <si>
    <t>PWM0_H_16</t>
  </si>
  <si>
    <t>PWM0_H_17</t>
  </si>
  <si>
    <t>TDM_TX_MCK[3](1)</t>
  </si>
  <si>
    <t>TDM_RX_MCK[3](1)</t>
  </si>
  <si>
    <t>SCB8_CLK</t>
  </si>
  <si>
    <t>SCB8_RX</t>
  </si>
  <si>
    <t>TDM_TX_SCK[3](1)</t>
  </si>
  <si>
    <t>TDM_RX_SCK[3](1)</t>
  </si>
  <si>
    <t>SCB8_MOSI</t>
  </si>
  <si>
    <t>SCB8_TX</t>
  </si>
  <si>
    <t>SCB8_SDA</t>
    <phoneticPr fontId="3"/>
  </si>
  <si>
    <t>SCB8_SCL</t>
    <phoneticPr fontId="3"/>
  </si>
  <si>
    <t>TDM_TX_FSYNC[3](1)</t>
  </si>
  <si>
    <t>TDM_RX_FSYNC[3](1)</t>
  </si>
  <si>
    <t>SCB8_MISO</t>
  </si>
  <si>
    <t>SCB8_RTS</t>
  </si>
  <si>
    <t>PWM0_23</t>
  </si>
  <si>
    <t>TDM_TX_SD[3](1)</t>
  </si>
  <si>
    <t>TDM_RX_SD[3](1)</t>
  </si>
  <si>
    <t>SCB8_SEL0</t>
  </si>
  <si>
    <t>SCB8_CTS</t>
  </si>
  <si>
    <t>PWM0_23_N</t>
  </si>
  <si>
    <t>SCB8_SEL1</t>
  </si>
  <si>
    <t>PWM0_24_N</t>
  </si>
  <si>
    <t>TC0_23_TR</t>
  </si>
  <si>
    <t>PWM0_33_N</t>
  </si>
  <si>
    <t>TC0_32_TR</t>
  </si>
  <si>
    <t>TC0_33_TR</t>
  </si>
  <si>
    <t>PWM_LINE1_P[0](1)</t>
  </si>
  <si>
    <t>PWM_LINE1_N[0](1)</t>
  </si>
  <si>
    <t>PWM_LINE2_P[0](1)</t>
  </si>
  <si>
    <t>PWM_LINE2_N[0](1)</t>
  </si>
  <si>
    <t>PWM_LINE1_P[1](1)</t>
  </si>
  <si>
    <t>PWM_LINE1_N[1](1)</t>
  </si>
  <si>
    <t>PWM_LINE2_P[1](1)</t>
  </si>
  <si>
    <t>SCB9_MISO</t>
  </si>
  <si>
    <t>SCB9_RTS</t>
  </si>
  <si>
    <t>SCB9_SEL0</t>
  </si>
  <si>
    <t>SCB9_CTS</t>
  </si>
  <si>
    <t>PWM0_32</t>
  </si>
  <si>
    <t>SCB9_SEL1</t>
  </si>
  <si>
    <t>PWM0_33</t>
  </si>
  <si>
    <t>PWM0_32_N</t>
  </si>
  <si>
    <t>TDM_TX_MCK[2](2)</t>
  </si>
  <si>
    <t>TDM_RX_MCK[2](2)</t>
  </si>
  <si>
    <t>SG_AMPL[1](0)</t>
  </si>
  <si>
    <t>SCB7_CLK</t>
  </si>
  <si>
    <t>SCB7_RX</t>
  </si>
  <si>
    <t>PWM0_35</t>
  </si>
  <si>
    <t>PWM0_M_0_N</t>
  </si>
  <si>
    <t>TC0_35_TR</t>
  </si>
  <si>
    <t>TDM_TX_SCK[2](2)</t>
  </si>
  <si>
    <t>TDM_RX_SCK[2](2)</t>
  </si>
  <si>
    <t>SG_TONE[1](0)</t>
  </si>
  <si>
    <t>SCB7_MOSI</t>
  </si>
  <si>
    <t>SCB7_TX</t>
  </si>
  <si>
    <t>PWM0_35_N</t>
  </si>
  <si>
    <t>TDM_TX_FSYNC[2](2)</t>
  </si>
  <si>
    <t>TDM_RX_FSYNC[2](2)</t>
  </si>
  <si>
    <t>SG_AMPL[2](0)</t>
  </si>
  <si>
    <t>SCB7_MISO</t>
  </si>
  <si>
    <t>SCB7_RTS</t>
  </si>
  <si>
    <t>PWM0_36</t>
  </si>
  <si>
    <t>TC0_36_TR</t>
  </si>
  <si>
    <t>TDM_TX_SD[2](2)</t>
  </si>
  <si>
    <t>TDM_RX_SD[2](2)</t>
  </si>
  <si>
    <t>SG_TONE[2](0)</t>
  </si>
  <si>
    <t>SCB7_SEL0</t>
  </si>
  <si>
    <t>SCB7_CTS</t>
  </si>
  <si>
    <t>PWM0_36_N</t>
  </si>
  <si>
    <t>TDM_RX_MCK[3](2)</t>
  </si>
  <si>
    <t>SG_AMPL[3](0)</t>
  </si>
  <si>
    <t>SCB7_SEL1</t>
  </si>
  <si>
    <t>SCB0_RX</t>
  </si>
  <si>
    <t>PWM0_37</t>
  </si>
  <si>
    <t>TC0_37_TR</t>
  </si>
  <si>
    <t>TDM_RX_SCK[3](2)</t>
  </si>
  <si>
    <t>SG_TONE[3](0)</t>
  </si>
  <si>
    <t>SCB0_TX</t>
  </si>
  <si>
    <t>PWM0_M_3</t>
  </si>
  <si>
    <t>PWM0_37_N</t>
  </si>
  <si>
    <t>TDM_RX_FSYNC[3](2)</t>
  </si>
  <si>
    <t>SG_AMPL[4](0)</t>
  </si>
  <si>
    <t>PWM0_M_3_N</t>
  </si>
  <si>
    <t>TDM_RX_SD[3](2)</t>
  </si>
  <si>
    <t>SG_TONE[4](0)</t>
  </si>
  <si>
    <t>SCB7_SDA</t>
    <phoneticPr fontId="3"/>
  </si>
  <si>
    <t>SCB7_SCL</t>
    <phoneticPr fontId="3"/>
  </si>
  <si>
    <t>PWM0_M_4</t>
  </si>
  <si>
    <t>TC0_H_2_TR</t>
  </si>
  <si>
    <t>SCB0_RTS</t>
  </si>
  <si>
    <t>PWM0_M_4_N</t>
  </si>
  <si>
    <t>SCB0_CTS</t>
  </si>
  <si>
    <t>PWM0_M_5</t>
  </si>
  <si>
    <t>TC0_H_3_TR</t>
  </si>
  <si>
    <t>PWM0_M_5_N</t>
  </si>
  <si>
    <t>PWM0_M_6</t>
  </si>
  <si>
    <t>TC0_H_4_TR</t>
  </si>
  <si>
    <t>TDM_TX_MCK[3](2)</t>
  </si>
  <si>
    <t>TDM_RX_MCK[3](3)</t>
  </si>
  <si>
    <t>PWM0_M_6_N</t>
  </si>
  <si>
    <t>TDM_TX_SCK[3](2)</t>
  </si>
  <si>
    <t>TDM_RX_SCK[3](3)</t>
  </si>
  <si>
    <t>PWM0_M_7</t>
  </si>
  <si>
    <t>TC0_H_5_TR</t>
  </si>
  <si>
    <t>TDM_TX_FSYNC[3](2)</t>
  </si>
  <si>
    <t>TDM_RX_FSYNC[3](3)</t>
  </si>
  <si>
    <t>PWM0_M_7_N</t>
  </si>
  <si>
    <t>TDM_TX_SD[3](2)</t>
  </si>
  <si>
    <t>TDM_RX_SD[3](3)</t>
  </si>
  <si>
    <t>PWM0_M_8</t>
  </si>
  <si>
    <t>TC0_H_6_TR</t>
  </si>
  <si>
    <t>PWM0_M_8_N</t>
  </si>
  <si>
    <t>PWM0_M_9</t>
  </si>
  <si>
    <t>TC0_H_7_TR</t>
  </si>
  <si>
    <t>PWM0_M_9_N</t>
  </si>
  <si>
    <t>PWM0_M_10</t>
  </si>
  <si>
    <t>TC0_H_8_TR</t>
  </si>
  <si>
    <t>SG_AMPL[4](1)</t>
  </si>
  <si>
    <t>SG_TONE[4](1)</t>
  </si>
  <si>
    <t>PWM0_M_11</t>
  </si>
  <si>
    <t>PWM0_34_N</t>
  </si>
  <si>
    <t>ETH_MDC</t>
  </si>
  <si>
    <t>TC0_34_TR</t>
  </si>
  <si>
    <t>ETH_MDIO</t>
  </si>
  <si>
    <t>ETH_TXD_0</t>
  </si>
  <si>
    <t>ETH_TXD_1</t>
    <phoneticPr fontId="3"/>
  </si>
  <si>
    <t>TTL_DSP1_CONTROL[3]</t>
    <phoneticPr fontId="3"/>
  </si>
  <si>
    <t>TTL_DSP0_CONTROL[3]</t>
    <phoneticPr fontId="3"/>
  </si>
  <si>
    <t>ETH_TX_CLK</t>
  </si>
  <si>
    <t>ETH_REF_CLK</t>
  </si>
  <si>
    <t>ETH_TXD_2</t>
  </si>
  <si>
    <t>TTL_DSP1_CONTROL[4]</t>
    <phoneticPr fontId="3"/>
  </si>
  <si>
    <t>TTL_DSP0_CONTROL[4]</t>
    <phoneticPr fontId="3"/>
  </si>
  <si>
    <t>ETH_TXD_3</t>
  </si>
  <si>
    <t>ETH_TX_CTL</t>
  </si>
  <si>
    <t>ETH_TX_ER</t>
  </si>
  <si>
    <t>ETH_RX_CLK</t>
  </si>
  <si>
    <t>ETH_RXD_0</t>
  </si>
  <si>
    <t>ETH_RXD_1</t>
  </si>
  <si>
    <t>TTL_DSP1_CONTROL[5]</t>
    <phoneticPr fontId="3"/>
  </si>
  <si>
    <t>TTL_DSP0_CONTROL[5]</t>
    <phoneticPr fontId="3"/>
  </si>
  <si>
    <t>TTL_DSP1_CONTROL[6]</t>
    <phoneticPr fontId="3"/>
  </si>
  <si>
    <t>TTL_DSP0_CONTROL[6]</t>
    <phoneticPr fontId="3"/>
  </si>
  <si>
    <t>ETH_RXD_2</t>
  </si>
  <si>
    <t>ETH_RXD_3</t>
  </si>
  <si>
    <t>ETH_RX_CTL</t>
  </si>
  <si>
    <t>TTL_DSP1_CONTROL[7]</t>
    <phoneticPr fontId="3"/>
  </si>
  <si>
    <t>TTL_DSP0_CONTROL[7]</t>
    <phoneticPr fontId="3"/>
  </si>
  <si>
    <t>TTL_DSP1_CONTROL[8]</t>
  </si>
  <si>
    <t>TTL_DSP0_CONTROL[8]</t>
  </si>
  <si>
    <t>TTL_DSP1_CONTROL[9]</t>
  </si>
  <si>
    <t>TTL_DSP0_CONTROL[9]</t>
  </si>
  <si>
    <t>TTL_DSP1_CONTROL[11]</t>
    <phoneticPr fontId="3"/>
  </si>
  <si>
    <t>TTL_DSP0_CONTROL[11]</t>
    <phoneticPr fontId="3"/>
  </si>
  <si>
    <t>PWM0_34</t>
  </si>
  <si>
    <t>SCB1_CLK(1)</t>
  </si>
  <si>
    <t>SCB1_RX</t>
  </si>
  <si>
    <t>SCB1_SDA</t>
    <phoneticPr fontId="3"/>
  </si>
  <si>
    <t>PWM0_H_9</t>
  </si>
  <si>
    <t>SCB1_TX</t>
  </si>
  <si>
    <t>SCB1_MOSI(1)</t>
    <phoneticPr fontId="3"/>
  </si>
  <si>
    <t>SCB1_SCL</t>
    <phoneticPr fontId="3"/>
  </si>
  <si>
    <t>PWM0_H_10</t>
  </si>
  <si>
    <t>PWM0_H_9_N</t>
  </si>
  <si>
    <t>SCB1_RTS</t>
  </si>
  <si>
    <t>SCB1_MISO(1)</t>
    <phoneticPr fontId="3"/>
  </si>
  <si>
    <t>PWM0_H_11</t>
  </si>
  <si>
    <t>TC0_H_9_TR</t>
  </si>
  <si>
    <t>PWM_LINE1_P[0](3)</t>
  </si>
  <si>
    <t>SCB1_SEL0(1)</t>
  </si>
  <si>
    <t>SCB1_CTS</t>
  </si>
  <si>
    <t>TRACE_CLOCK(0)</t>
    <phoneticPr fontId="3"/>
  </si>
  <si>
    <t>TDM_TX_MCK[0](1)</t>
  </si>
  <si>
    <t>TDM_RX_MCK[0](2)</t>
  </si>
  <si>
    <t>SG_MCK[0]</t>
  </si>
  <si>
    <t>PWM_LINE1_N[0](3)</t>
  </si>
  <si>
    <t>SCB1_SEL1(1)</t>
  </si>
  <si>
    <t>TDM_RX_MCK[1](2)</t>
    <phoneticPr fontId="3"/>
  </si>
  <si>
    <t>TDM_TX_SCK[0](1)</t>
  </si>
  <si>
    <t>TDM_RX_SCK[0](2)</t>
  </si>
  <si>
    <t>TTL_DSP1_DATA_A0[0]</t>
  </si>
  <si>
    <t>SG_MCK[1]</t>
  </si>
  <si>
    <t>PWM_LINE2_P[0](3)</t>
  </si>
  <si>
    <t>TRACE_DATA_0(0)</t>
    <phoneticPr fontId="3"/>
  </si>
  <si>
    <t>TDM_RX_SCK[1](2)</t>
    <phoneticPr fontId="3"/>
  </si>
  <si>
    <t>TTL_DSP1_DATA_A1[0]</t>
  </si>
  <si>
    <t>TRACE_DATA_1(0)</t>
    <phoneticPr fontId="3"/>
  </si>
  <si>
    <t>TDM_RX_FSYNC[1](2)</t>
    <phoneticPr fontId="3"/>
  </si>
  <si>
    <t>PWM0_21_N</t>
    <phoneticPr fontId="3"/>
  </si>
  <si>
    <t>TC0_20_TR</t>
    <phoneticPr fontId="3"/>
  </si>
  <si>
    <t>TDM_TX_FSYNC[0](1)</t>
    <phoneticPr fontId="3"/>
  </si>
  <si>
    <t>TDM_RX_FSYNC[0](2)</t>
    <phoneticPr fontId="3"/>
  </si>
  <si>
    <t>TTL_DSP1_DATA_A1[0]</t>
    <phoneticPr fontId="3"/>
  </si>
  <si>
    <t>SG_MCK[2]</t>
    <phoneticPr fontId="3"/>
  </si>
  <si>
    <t>PWM_LINE2_N[0](3)</t>
    <phoneticPr fontId="3"/>
  </si>
  <si>
    <t>TRIG_IN[24]</t>
    <phoneticPr fontId="3"/>
  </si>
  <si>
    <t>P16.0</t>
    <phoneticPr fontId="3"/>
  </si>
  <si>
    <t>PWM0_22</t>
    <phoneticPr fontId="3"/>
  </si>
  <si>
    <t>TDM_TX_SD[0](1)</t>
  </si>
  <si>
    <t>TDM_RX_SD[0](2)</t>
  </si>
  <si>
    <t>SG_MCK[3]</t>
  </si>
  <si>
    <t>PWM_LINE1_P[1](3)</t>
  </si>
  <si>
    <t>TRACE_DATA_2(0)</t>
    <phoneticPr fontId="3"/>
  </si>
  <si>
    <t>TDM_RX_SD[1](2)</t>
    <phoneticPr fontId="3"/>
  </si>
  <si>
    <t>TDM_TX_MCK[1](1)</t>
  </si>
  <si>
    <t>TDM_RX_MCK[0](3)</t>
  </si>
  <si>
    <t>SG_MCK[4]</t>
  </si>
  <si>
    <t>PWM_LINE1_N[1](3)</t>
  </si>
  <si>
    <t>TRACE_DATA_3(0)</t>
    <phoneticPr fontId="3"/>
  </si>
  <si>
    <t>TDM_RX_MCK[1](3)</t>
    <phoneticPr fontId="3"/>
  </si>
  <si>
    <t>TDM_TX_SCK[1](1)</t>
  </si>
  <si>
    <t>TDM_RX_SCK[0](3)</t>
  </si>
  <si>
    <t>PWM_MCK[0]</t>
  </si>
  <si>
    <t>TRACE_DATA_4(0)</t>
    <phoneticPr fontId="3"/>
  </si>
  <si>
    <t>TDM_RX_SCK[1](3)</t>
    <phoneticPr fontId="3"/>
  </si>
  <si>
    <t>TDM_TX_FSYNC[1](1)</t>
  </si>
  <si>
    <t>TDM_RX_FSYNC[0](3)</t>
  </si>
  <si>
    <t>TRACE_DATA_5(0)</t>
    <phoneticPr fontId="3"/>
  </si>
  <si>
    <t>TDM_RX_FSYNC[1](3)</t>
    <phoneticPr fontId="3"/>
  </si>
  <si>
    <t>TDM_TX_SD[1](1)</t>
  </si>
  <si>
    <t>TDM_RX_SD[0](3)</t>
  </si>
  <si>
    <t>PWM_LINE2_P[1](3)</t>
  </si>
  <si>
    <t>SCB1_SEL1(0)</t>
  </si>
  <si>
    <t>TRACE_DATA_6(0)</t>
    <phoneticPr fontId="3"/>
  </si>
  <si>
    <t>TDM_RX_SD[1](3)</t>
    <phoneticPr fontId="3"/>
  </si>
  <si>
    <t>PWM_LINE2_N[1](3)</t>
  </si>
  <si>
    <t>SCB1_SEL0(0)</t>
  </si>
  <si>
    <t>TRACE_DATA_7(0)</t>
    <phoneticPr fontId="3"/>
  </si>
  <si>
    <t>SCB1_CLK(0)</t>
  </si>
  <si>
    <t>TRIG_DBG[0]</t>
  </si>
  <si>
    <t>TRIG_DBG[1]</t>
  </si>
  <si>
    <t>TTL_DSP1_DATA_A0[1]</t>
  </si>
  <si>
    <t>SCB3_CLK</t>
  </si>
  <si>
    <t>SCB3_RX</t>
  </si>
  <si>
    <t>SCB1_MOSI(0)</t>
    <phoneticPr fontId="3"/>
  </si>
  <si>
    <t>TRACE_CLOCK(1)</t>
    <phoneticPr fontId="3"/>
  </si>
  <si>
    <t>SCB3_SDA</t>
    <phoneticPr fontId="3"/>
  </si>
  <si>
    <t>TTL_DSP1_DATA_A1[1]</t>
  </si>
  <si>
    <t>SCB3_MOSI</t>
  </si>
  <si>
    <t>SCB3_TX</t>
  </si>
  <si>
    <t>TRACE_DATA_0(1)</t>
    <phoneticPr fontId="3"/>
  </si>
  <si>
    <t>SCB3_SCL</t>
    <phoneticPr fontId="3"/>
  </si>
  <si>
    <t>TTL_DSP1_DATA_A0[2]</t>
  </si>
  <si>
    <t>SCB3_MISO</t>
  </si>
  <si>
    <t>SCB3_RTS</t>
  </si>
  <si>
    <t>TRACE_DATA_1(1)</t>
    <phoneticPr fontId="3"/>
  </si>
  <si>
    <t>TTL_DSP1_DATA_A1[2]</t>
  </si>
  <si>
    <t>SCB3_SEL0</t>
  </si>
  <si>
    <t>SCB3_CTS</t>
  </si>
  <si>
    <t>TRACE_DATA_2(1)</t>
    <phoneticPr fontId="3"/>
  </si>
  <si>
    <t>TTL_DSP1_DATA_A0[3]</t>
  </si>
  <si>
    <t>SCB4_CLK</t>
  </si>
  <si>
    <t>SCB4_RX</t>
  </si>
  <si>
    <t>TRACE_DATA_3(1)</t>
    <phoneticPr fontId="3"/>
  </si>
  <si>
    <t>SCB4_SDA</t>
    <phoneticPr fontId="3"/>
  </si>
  <si>
    <t>TTL_DSP1_DATA_A1[3]</t>
  </si>
  <si>
    <t>SCB4_MOSI</t>
  </si>
  <si>
    <t>SCB4_TX</t>
  </si>
  <si>
    <t>SCB4_SCL</t>
    <phoneticPr fontId="3"/>
  </si>
  <si>
    <t>TTL_DSP1_DATA_A0[4]</t>
  </si>
  <si>
    <t>SCB4_MISO</t>
  </si>
  <si>
    <t>SCB4_RTS</t>
  </si>
  <si>
    <t>TTL_DSP1_DATA_A1[4]</t>
  </si>
  <si>
    <t>SCB4_SEL0</t>
  </si>
  <si>
    <t>SCB4_CTS</t>
  </si>
  <si>
    <t>TTL_DSP1_DATA_A0[5]</t>
  </si>
  <si>
    <t>SCB3_SEL1</t>
  </si>
  <si>
    <t>TTL_DSP1_DATA_A1[5]</t>
  </si>
  <si>
    <t>SCB4_SEL1</t>
  </si>
  <si>
    <t>TTL_DSP1_DATA_A0[6]</t>
  </si>
  <si>
    <t>SCB5_CLK</t>
  </si>
  <si>
    <t>SCB5_RX</t>
  </si>
  <si>
    <t>SCB5_SDA</t>
    <phoneticPr fontId="3"/>
  </si>
  <si>
    <t>TTL_DSP1_DATA_A1[6]</t>
  </si>
  <si>
    <t>SCB5_MOSI</t>
  </si>
  <si>
    <t>SCB5_TX</t>
  </si>
  <si>
    <t>TTL_DSP1_DATA_A0[7]</t>
  </si>
  <si>
    <t>SCB5_MISO</t>
  </si>
  <si>
    <t>SCB5_RTS</t>
  </si>
  <si>
    <t>TTL_DSP1_DATA_A1[7]</t>
  </si>
  <si>
    <t>SCB5_SEL0</t>
  </si>
  <si>
    <t>SCB5_CTS</t>
  </si>
  <si>
    <t>TTL_DSP1_DATA_A0[8]</t>
  </si>
  <si>
    <t>SCB5_SEL1</t>
  </si>
  <si>
    <t>TTL_DSP1_DATA_A1[8]</t>
  </si>
  <si>
    <t>SCB5_SCL</t>
    <phoneticPr fontId="3"/>
  </si>
  <si>
    <t>TTL_DSP1_DATA_A0[9]</t>
  </si>
  <si>
    <t>TTL_DSP1_DATA_A1[9]</t>
  </si>
  <si>
    <t>TDM_TX_MCK[0](0)</t>
  </si>
  <si>
    <t>TDM_RX_MCK[0](0)</t>
  </si>
  <si>
    <t>TDM_RX_MCK[1](0)</t>
    <phoneticPr fontId="3"/>
  </si>
  <si>
    <t>TTL_DSP1_DATA_A0[10]</t>
    <phoneticPr fontId="3"/>
  </si>
  <si>
    <t>TDM_TX_SCK[0](0)</t>
  </si>
  <si>
    <t>TDM_RX_SCK[0](0)</t>
  </si>
  <si>
    <t>TTL_DSP1_DATA_A1[10]</t>
  </si>
  <si>
    <t>TDM_RX_SCK[1](0)</t>
    <phoneticPr fontId="3"/>
  </si>
  <si>
    <t>TDM_TX_FSYNC[0](0)</t>
  </si>
  <si>
    <t>TDM_RX_FSYNC[0](0)</t>
  </si>
  <si>
    <t>TDM_RX_FSYNC[1](0)</t>
    <phoneticPr fontId="3"/>
  </si>
  <si>
    <t>TTL_DSP1_DATA_A0[11]</t>
    <phoneticPr fontId="3"/>
  </si>
  <si>
    <t>TDM_TX_SD[0](0)</t>
  </si>
  <si>
    <t>TDM_RX_SD[0](0)</t>
  </si>
  <si>
    <t>SCB2_SEL1</t>
  </si>
  <si>
    <t>TDM_RX_SD[1](0)</t>
    <phoneticPr fontId="3"/>
  </si>
  <si>
    <t>TTL_DSP1_DATA_A1[11]</t>
    <phoneticPr fontId="3"/>
  </si>
  <si>
    <t>TDM_TX_MCK[1](0)</t>
  </si>
  <si>
    <t>TDM_RX_MCK[0](1)</t>
  </si>
  <si>
    <t>SCB2_SEL0</t>
  </si>
  <si>
    <t>SCB2_CTS</t>
  </si>
  <si>
    <t>TDM_RX_MCK[1](1)</t>
    <phoneticPr fontId="3"/>
  </si>
  <si>
    <t>TTL_DSP1_CONTROL[0]</t>
    <phoneticPr fontId="3"/>
  </si>
  <si>
    <t>TDM_TX_SCK[1](0)</t>
  </si>
  <si>
    <t>TDM_RX_SCK[0](1)</t>
  </si>
  <si>
    <t>SCB2_MISO</t>
  </si>
  <si>
    <t>SCB2_RTS</t>
  </si>
  <si>
    <t>TDM_RX_SCK[1](1)</t>
    <phoneticPr fontId="3"/>
  </si>
  <si>
    <t>TTL_DSP1_CONTROL[1]</t>
    <phoneticPr fontId="3"/>
  </si>
  <si>
    <t>TDM_TX_FSYNC[1](0)</t>
  </si>
  <si>
    <t>TDM_RX_FSYNC[0](1)</t>
  </si>
  <si>
    <t>TDM_RX_FSYNC[1](1)</t>
  </si>
  <si>
    <t>TTL_DSP1_CONTROL[2]</t>
  </si>
  <si>
    <t>SCB2_CLK</t>
  </si>
  <si>
    <t>SCB2_RX</t>
  </si>
  <si>
    <t>SCB2_SDA</t>
    <phoneticPr fontId="3"/>
  </si>
  <si>
    <t>TDM_TX_SD[1](0)</t>
  </si>
  <si>
    <t>TDM_RX_SD[0](1)</t>
  </si>
  <si>
    <t>TDM_RX_SD[1](1)</t>
  </si>
  <si>
    <t>SCB2_MOSI</t>
  </si>
  <si>
    <t>SCB2_TX</t>
  </si>
  <si>
    <t>SCB2_SCL</t>
    <phoneticPr fontId="3"/>
  </si>
  <si>
    <t>SPIHB[0]_RWDS[0]</t>
    <phoneticPr fontId="3"/>
  </si>
  <si>
    <t>SPIHB[0]_CLK_INV[0]</t>
    <phoneticPr fontId="3"/>
  </si>
  <si>
    <t>SPIHB[0]_CLK[0]</t>
    <phoneticPr fontId="3"/>
  </si>
  <si>
    <t>SPIHB[0]_RWDS[1]</t>
    <phoneticPr fontId="3"/>
  </si>
  <si>
    <t>SPIHB[0]_CLK_INV[1]</t>
    <phoneticPr fontId="3"/>
  </si>
  <si>
    <t>SPIHB[0]_CLK[1]</t>
    <phoneticPr fontId="3"/>
  </si>
  <si>
    <t>CLK_FM_PUMP</t>
  </si>
  <si>
    <t>SCB9_CLK</t>
  </si>
  <si>
    <t>SCB9_RX</t>
  </si>
  <si>
    <t>SCB9_SDA</t>
  </si>
  <si>
    <t>EXT_MUX[0]_EN</t>
  </si>
  <si>
    <t>SCB9_MOSI</t>
  </si>
  <si>
    <t>SCB9_TX</t>
  </si>
  <si>
    <t>SCB9_SCL</t>
  </si>
  <si>
    <t>ETH_RX_ER</t>
  </si>
  <si>
    <t>IO_CLK_HF[5]</t>
  </si>
  <si>
    <t>ETH_TSU_TIMER_CMP_VAL</t>
  </si>
  <si>
    <t>TTL_DSP1_CONTROL[10]</t>
    <phoneticPr fontId="3"/>
  </si>
  <si>
    <t>TTL_DSP0_CONTROL[10]</t>
    <phoneticPr fontId="3"/>
  </si>
  <si>
    <t>DS #5</t>
    <phoneticPr fontId="3"/>
  </si>
  <si>
    <t>DS #6</t>
    <phoneticPr fontId="3"/>
  </si>
  <si>
    <t>HIBERNATE_WAKEUP[4]</t>
  </si>
  <si>
    <t>SCB0_SDA</t>
  </si>
  <si>
    <t>SCB0_SCL</t>
  </si>
  <si>
    <t>HIBERNATE_WAKEUP[5]</t>
  </si>
  <si>
    <t>RTC_CAL</t>
  </si>
  <si>
    <t>HIBERNATE_WAKEUP[2]</t>
  </si>
  <si>
    <t>HIBERNATE_WAKEUP[9]</t>
  </si>
  <si>
    <t>SWJ_SWO_TDO</t>
  </si>
  <si>
    <t>SWJ_SWCLK_TCLK</t>
  </si>
  <si>
    <t>HIBERNATE_WAKEUP[0]</t>
  </si>
  <si>
    <t>SWJ_SWDIO_TMS</t>
  </si>
  <si>
    <t>SWJ_SWDOE_TDI</t>
  </si>
  <si>
    <t>HIBERNATE_WAKEUP[1]</t>
  </si>
  <si>
    <t>HIBERNATE_WAKEUP[6]</t>
  </si>
  <si>
    <t>HIBERNATE_WAKEUP[7]</t>
  </si>
  <si>
    <t>HIBERNATE_WAKEUP[8]</t>
  </si>
  <si>
    <t>HIBERNATE_WAKEUP[3]</t>
  </si>
  <si>
    <t>SCB0_SDA</t>
    <phoneticPr fontId="3"/>
  </si>
  <si>
    <t>SCB0_SCL</t>
    <phoneticPr fontId="3"/>
  </si>
  <si>
    <t>SCB0_MISO</t>
  </si>
  <si>
    <t>SCB0_SEL0</t>
  </si>
  <si>
    <t>SCB0_CLK</t>
  </si>
  <si>
    <t>SCB0_MOSI</t>
  </si>
  <si>
    <t>SCB0_SEL1</t>
  </si>
  <si>
    <t>SCB0_SEL2</t>
  </si>
  <si>
    <t>SCB0_SEL3</t>
  </si>
  <si>
    <t>NC</t>
    <phoneticPr fontId="3"/>
  </si>
  <si>
    <t>P0.5</t>
    <phoneticPr fontId="3"/>
  </si>
  <si>
    <t>P3.1</t>
    <phoneticPr fontId="3"/>
  </si>
  <si>
    <t>P4.0</t>
    <phoneticPr fontId="3"/>
  </si>
  <si>
    <t>P4.4</t>
    <phoneticPr fontId="3"/>
  </si>
  <si>
    <t>P5.0</t>
    <phoneticPr fontId="3"/>
  </si>
  <si>
    <t>P5.4</t>
    <phoneticPr fontId="3"/>
  </si>
  <si>
    <t>P5.7</t>
    <phoneticPr fontId="3"/>
  </si>
  <si>
    <t>P6.2</t>
    <phoneticPr fontId="3"/>
  </si>
  <si>
    <t>P6.3</t>
    <phoneticPr fontId="3"/>
  </si>
  <si>
    <t>P6.7</t>
    <phoneticPr fontId="3"/>
  </si>
  <si>
    <t>P7.3</t>
    <phoneticPr fontId="3"/>
  </si>
  <si>
    <t>P7.7</t>
    <phoneticPr fontId="3"/>
  </si>
  <si>
    <t>P8.1</t>
    <phoneticPr fontId="3"/>
  </si>
  <si>
    <t>P9.4</t>
    <phoneticPr fontId="3"/>
  </si>
  <si>
    <t>P9.6</t>
    <phoneticPr fontId="3"/>
  </si>
  <si>
    <t>P9.7</t>
    <phoneticPr fontId="3"/>
  </si>
  <si>
    <t>P11.4</t>
    <phoneticPr fontId="3"/>
  </si>
  <si>
    <t>P11.5</t>
    <phoneticPr fontId="3"/>
  </si>
  <si>
    <t>CAN0_0_TX</t>
    <phoneticPr fontId="3"/>
  </si>
  <si>
    <t>EXT_MUX[0]_1</t>
    <phoneticPr fontId="3"/>
  </si>
  <si>
    <t>TRIG_IN[19]</t>
    <phoneticPr fontId="3"/>
  </si>
  <si>
    <t>PWM_MCK[1]</t>
    <phoneticPr fontId="3"/>
  </si>
  <si>
    <t>(Sound generator)
(PCMPWM)</t>
    <phoneticPr fontId="3"/>
  </si>
  <si>
    <t>TTL_DSP1_CLOCK</t>
    <phoneticPr fontId="3"/>
  </si>
  <si>
    <t>PWM_LINE1_N[0](2)</t>
    <phoneticPr fontId="3"/>
  </si>
  <si>
    <t>(SPI)
(CAN)</t>
    <phoneticPr fontId="3"/>
  </si>
  <si>
    <t xml:space="preserve">(UART)
</t>
    <phoneticPr fontId="3"/>
  </si>
  <si>
    <t>CAL_SUP_NZ</t>
    <phoneticPr fontId="3"/>
  </si>
  <si>
    <t>FAULT_OUT_0</t>
    <phoneticPr fontId="3"/>
  </si>
  <si>
    <t>(TRIG_IN)
(I2C)
(SMIF)
(Others)</t>
    <phoneticPr fontId="3"/>
  </si>
  <si>
    <t>RTC_CAL</t>
    <phoneticPr fontId="3"/>
  </si>
  <si>
    <t>Pin Usage Status_327-BGA for peripheral</t>
    <phoneticPr fontId="3"/>
  </si>
  <si>
    <t>LPECO_IN</t>
    <phoneticPr fontId="3"/>
  </si>
  <si>
    <t>LPECO_OUT</t>
    <phoneticPr fontId="3"/>
  </si>
  <si>
    <t>P2.3</t>
    <phoneticPr fontId="3"/>
  </si>
  <si>
    <t>GPIO_SMC</t>
  </si>
  <si>
    <t>HSIO_STDLN</t>
  </si>
  <si>
    <t>HSIO_ENH</t>
  </si>
  <si>
    <t>HSIO_ENH_PDIFF</t>
  </si>
  <si>
    <t>VDDIO_GPIO_0</t>
  </si>
  <si>
    <t>VDDIO_GPIO_0</t>
    <phoneticPr fontId="3"/>
  </si>
  <si>
    <t>VDDD</t>
    <phoneticPr fontId="3"/>
  </si>
  <si>
    <t>VDDIO_GPIO_1</t>
    <phoneticPr fontId="3"/>
  </si>
  <si>
    <t>VDDIO_GPIO_2</t>
    <phoneticPr fontId="3"/>
  </si>
  <si>
    <t>VDDIO_SMC</t>
    <phoneticPr fontId="3"/>
  </si>
  <si>
    <t>VDDIO_HSIO</t>
    <phoneticPr fontId="3"/>
  </si>
  <si>
    <t>VDDIO_SMIF</t>
    <phoneticPr fontId="3"/>
  </si>
  <si>
    <t>External reset input</t>
    <phoneticPr fontId="3"/>
  </si>
  <si>
    <t>Main digital ground</t>
    <phoneticPr fontId="3"/>
  </si>
  <si>
    <t>Main supply for SRSS</t>
  </si>
  <si>
    <t>Supply for GPIO0 (2.7 V - 5.5 V)</t>
  </si>
  <si>
    <t>Supply for GPIO1 (2.7 V - 5.5 V)</t>
  </si>
  <si>
    <t>Supply for GPIO2 (2.7 V - 5.5 V)</t>
    <phoneticPr fontId="3"/>
  </si>
  <si>
    <t>Supply for HSIO domain (3.0 V - 3.6 V)</t>
    <phoneticPr fontId="3"/>
  </si>
  <si>
    <t>Supply for GPIO_SMC (2.7 V - 5.5 V)</t>
    <phoneticPr fontId="3"/>
  </si>
  <si>
    <t>1.8V supply for 200 MHz HSIO</t>
    <phoneticPr fontId="3"/>
  </si>
  <si>
    <t>3.3V supply for 200 MHz HSIO</t>
    <phoneticPr fontId="3"/>
  </si>
  <si>
    <t>Main regulated supply. Driven by LDO regulator</t>
    <phoneticPr fontId="3"/>
  </si>
  <si>
    <t>Dedicated supplies for FPD0 (1.09 V - 1.21 V)</t>
    <phoneticPr fontId="3"/>
  </si>
  <si>
    <t>Dedicated supplies for FPD1 (1.09 V - 1.21 V)</t>
    <phoneticPr fontId="3"/>
  </si>
  <si>
    <t>Main analog supply (for PASS/SAR, 2.7 V - 5.5 V)</t>
    <phoneticPr fontId="3"/>
  </si>
  <si>
    <t>Supply for DAC (3.0 V - 3.6 V)</t>
    <phoneticPr fontId="3"/>
  </si>
  <si>
    <t>Dedicated supplies for MIPI (1.09 V - 1.21 V)</t>
    <phoneticPr fontId="3"/>
  </si>
  <si>
    <t>Dedicated supplies for FPD0 (3.0 V - 3.6 V)</t>
    <phoneticPr fontId="3"/>
  </si>
  <si>
    <t>Dedicated supplies for FPD1 (3.0 V - 3.6 V)</t>
    <phoneticPr fontId="3"/>
  </si>
  <si>
    <t>High reference voltage for SAR</t>
    <phoneticPr fontId="3"/>
  </si>
  <si>
    <t>Low reference voltage for SAR</t>
    <phoneticPr fontId="3"/>
  </si>
  <si>
    <t>Main analog ground</t>
    <phoneticPr fontId="3"/>
  </si>
  <si>
    <t>Ground for DAC</t>
    <phoneticPr fontId="3"/>
  </si>
  <si>
    <t>Dedicated ground for FPD0</t>
    <phoneticPr fontId="3"/>
  </si>
  <si>
    <t>Dedicated ground for FPD1</t>
    <phoneticPr fontId="3"/>
  </si>
  <si>
    <t>Dedicated ground for MIPI</t>
    <phoneticPr fontId="3"/>
  </si>
  <si>
    <t>SEL2</t>
    <phoneticPr fontId="3"/>
  </si>
  <si>
    <t xml:space="preserve">SEL3 </t>
    <phoneticPr fontId="3"/>
  </si>
  <si>
    <t>CTS</t>
    <phoneticPr fontId="3"/>
  </si>
  <si>
    <t>RTS</t>
    <phoneticPr fontId="3"/>
  </si>
  <si>
    <t>SDA</t>
    <phoneticPr fontId="3"/>
  </si>
  <si>
    <t>SCL</t>
    <phoneticPr fontId="3"/>
  </si>
  <si>
    <t>SCB11</t>
  </si>
  <si>
    <t xml:space="preserve">TCPWM0_16bit </t>
    <phoneticPr fontId="3"/>
  </si>
  <si>
    <t xml:space="preserve">TCPWM0_16bit for motor </t>
    <phoneticPr fontId="3"/>
  </si>
  <si>
    <t xml:space="preserve">TCPWM0_32bit </t>
    <phoneticPr fontId="3"/>
  </si>
  <si>
    <t>CNT9</t>
    <phoneticPr fontId="3"/>
  </si>
  <si>
    <t>PWM0_H_17_N</t>
  </si>
  <si>
    <t>PWM0_H_12_N</t>
  </si>
  <si>
    <t>PWM0_H_13_N</t>
  </si>
  <si>
    <t>PWM0_H_14_N</t>
  </si>
  <si>
    <t>PWM0_H_15_N</t>
  </si>
  <si>
    <t>PWM0_H_16_N</t>
  </si>
  <si>
    <t>PWM0_M_10_N</t>
  </si>
  <si>
    <t>PWM0_M_11_N</t>
  </si>
  <si>
    <t>PWM0_H_11_N</t>
  </si>
  <si>
    <t>PWM0_H_10_N</t>
  </si>
  <si>
    <t>TC0_H_16_TR</t>
  </si>
  <si>
    <t>TC0_H_17_TR</t>
  </si>
  <si>
    <t>TC0_H_12_TR</t>
  </si>
  <si>
    <t>TC0_H_13_TR</t>
  </si>
  <si>
    <t>TC0_H_14_TR</t>
  </si>
  <si>
    <t>TC0_H_15_TR</t>
  </si>
  <si>
    <t>TC0_H_18_TR</t>
  </si>
  <si>
    <t>TC0_H_19_TR</t>
  </si>
  <si>
    <t>TC0_H_20_TR</t>
  </si>
  <si>
    <t>TC0_H_21_TR</t>
  </si>
  <si>
    <t>TC0_H_22_TR</t>
  </si>
  <si>
    <t>TC0_H_23_TR</t>
  </si>
  <si>
    <t>TC0_H_24_TR</t>
  </si>
  <si>
    <t>TC0_H_25_TR</t>
  </si>
  <si>
    <t>TC0_H_26_TR</t>
  </si>
  <si>
    <t>TC0_H_27_TR</t>
  </si>
  <si>
    <t>TC0_H_28_TR</t>
  </si>
  <si>
    <t>TC0_H_29_TR</t>
  </si>
  <si>
    <t>TC0_H_30_TR</t>
  </si>
  <si>
    <t>TC0_H_31_TR</t>
  </si>
  <si>
    <t>TC0_H_10_TR</t>
  </si>
  <si>
    <t>TC0_H_11_TR</t>
  </si>
  <si>
    <t>TR</t>
    <phoneticPr fontId="3"/>
  </si>
  <si>
    <t>SPIHB[0]_DATA4[0]</t>
    <phoneticPr fontId="3"/>
  </si>
  <si>
    <t>SPIHB[0]_DATA2[0]</t>
    <phoneticPr fontId="3"/>
  </si>
  <si>
    <t>SPIHB[0]_DATA3[0]</t>
    <phoneticPr fontId="3"/>
  </si>
  <si>
    <t>SPIHB[0]_DATA5[0]</t>
    <phoneticPr fontId="3"/>
  </si>
  <si>
    <t>SPIHB[0]_DATA0[0]</t>
    <phoneticPr fontId="3"/>
  </si>
  <si>
    <t>SPIHB[0]_DATA6[0]</t>
    <phoneticPr fontId="3"/>
  </si>
  <si>
    <t>SPIHB[0]_SELECT0[0]</t>
    <phoneticPr fontId="3"/>
  </si>
  <si>
    <t>SPIHB[0]_DATA1[0]</t>
    <phoneticPr fontId="3"/>
  </si>
  <si>
    <t>SPIHB[0]_DATA7[0]</t>
    <phoneticPr fontId="3"/>
  </si>
  <si>
    <t>SPIHB[0]_SELECT1[0]</t>
    <phoneticPr fontId="3"/>
  </si>
  <si>
    <t>SPIHB[0]_DATA2[1]</t>
    <phoneticPr fontId="3"/>
  </si>
  <si>
    <t>SPIHB[0]_DATA3[1]</t>
    <phoneticPr fontId="3"/>
  </si>
  <si>
    <t>SPIHB[0]_DATA5[1]</t>
    <phoneticPr fontId="3"/>
  </si>
  <si>
    <t>SPIHB[0]_DATA0[1]</t>
    <phoneticPr fontId="3"/>
  </si>
  <si>
    <t>SPIHB[0]_DATA6[1]</t>
    <phoneticPr fontId="3"/>
  </si>
  <si>
    <t>SPIHB[0]_SELECT0[1]</t>
    <phoneticPr fontId="3"/>
  </si>
  <si>
    <t>SPIHB[0]_DATA1[1]</t>
    <phoneticPr fontId="3"/>
  </si>
  <si>
    <t>SPIHB[0]_DATA7[1]</t>
    <phoneticPr fontId="3"/>
  </si>
  <si>
    <t>SPIHB[0]_SELECT1[1]</t>
    <phoneticPr fontId="3"/>
  </si>
  <si>
    <t>CLK_INV (0)</t>
    <phoneticPr fontId="3"/>
  </si>
  <si>
    <t>SELECT0 (0)</t>
    <phoneticPr fontId="3"/>
  </si>
  <si>
    <t>SELECT1 (0)</t>
    <phoneticPr fontId="3"/>
  </si>
  <si>
    <t>SELECT0 (1)</t>
    <phoneticPr fontId="3"/>
  </si>
  <si>
    <t>CLK_INV (1)</t>
    <phoneticPr fontId="3"/>
  </si>
  <si>
    <t>SELECT1 (1)</t>
    <phoneticPr fontId="3"/>
  </si>
  <si>
    <t>SPIHB[0]_DATA4[1]</t>
    <phoneticPr fontId="3"/>
  </si>
  <si>
    <t>ETH</t>
    <phoneticPr fontId="3"/>
  </si>
  <si>
    <t>TSU_TIMER_CMP_VAL</t>
    <phoneticPr fontId="3"/>
  </si>
  <si>
    <t>RX_ER</t>
    <phoneticPr fontId="3"/>
  </si>
  <si>
    <t>MDC</t>
    <phoneticPr fontId="3"/>
  </si>
  <si>
    <t>MDIO</t>
    <phoneticPr fontId="3"/>
  </si>
  <si>
    <t>TXD_0</t>
    <phoneticPr fontId="3"/>
  </si>
  <si>
    <t>TXD_1</t>
    <phoneticPr fontId="3"/>
  </si>
  <si>
    <t>TX_CLK</t>
    <phoneticPr fontId="3"/>
  </si>
  <si>
    <t>REF_CLK</t>
    <phoneticPr fontId="3"/>
  </si>
  <si>
    <t>TXD_2</t>
    <phoneticPr fontId="3"/>
  </si>
  <si>
    <t>TXD_3</t>
    <phoneticPr fontId="3"/>
  </si>
  <si>
    <t>TX_CTL</t>
    <phoneticPr fontId="3"/>
  </si>
  <si>
    <t>TX_ER</t>
    <phoneticPr fontId="3"/>
  </si>
  <si>
    <t>RX_CLK</t>
    <phoneticPr fontId="3"/>
  </si>
  <si>
    <t>RXD_1</t>
    <phoneticPr fontId="3"/>
  </si>
  <si>
    <t>RXD_0</t>
    <phoneticPr fontId="3"/>
  </si>
  <si>
    <t>RXD_2</t>
    <phoneticPr fontId="3"/>
  </si>
  <si>
    <t>RXD_3</t>
    <phoneticPr fontId="3"/>
  </si>
  <si>
    <t xml:space="preserve">RX_CTL </t>
    <phoneticPr fontId="3"/>
  </si>
  <si>
    <t>CXPI</t>
    <phoneticPr fontId="3"/>
  </si>
  <si>
    <t>CXPI0</t>
    <phoneticPr fontId="3"/>
  </si>
  <si>
    <t>CXPI1</t>
  </si>
  <si>
    <t>TDM</t>
    <phoneticPr fontId="3"/>
  </si>
  <si>
    <t>TDM0</t>
    <phoneticPr fontId="3"/>
  </si>
  <si>
    <t>TDM1</t>
    <phoneticPr fontId="3"/>
  </si>
  <si>
    <t>RX_FSYNC (0)</t>
    <phoneticPr fontId="3"/>
  </si>
  <si>
    <t>RX_FSYNC (1)</t>
    <phoneticPr fontId="3"/>
  </si>
  <si>
    <t>RX_MCK (0)</t>
    <phoneticPr fontId="3"/>
  </si>
  <si>
    <t>RX_MCK (1)</t>
    <phoneticPr fontId="3"/>
  </si>
  <si>
    <t>RX_SCK (0)</t>
    <phoneticPr fontId="3"/>
  </si>
  <si>
    <t>RX_SCK (1)</t>
    <phoneticPr fontId="3"/>
  </si>
  <si>
    <t>RX_SD (0)</t>
    <phoneticPr fontId="3"/>
  </si>
  <si>
    <t>RX_SD (1)</t>
    <phoneticPr fontId="3"/>
  </si>
  <si>
    <t>TX_FSYNC (0)</t>
    <phoneticPr fontId="3"/>
  </si>
  <si>
    <t>TX_FSYNC (1)</t>
    <phoneticPr fontId="3"/>
  </si>
  <si>
    <t>TX_MCK (0)</t>
    <phoneticPr fontId="3"/>
  </si>
  <si>
    <t>TX_MCK (1)</t>
    <phoneticPr fontId="3"/>
  </si>
  <si>
    <t>TX_SCK (0)</t>
    <phoneticPr fontId="3"/>
  </si>
  <si>
    <t>TX_SCK (1)</t>
    <phoneticPr fontId="3"/>
  </si>
  <si>
    <t>TX_SD (0)</t>
    <phoneticPr fontId="3"/>
  </si>
  <si>
    <t>TX_SD (1)</t>
    <phoneticPr fontId="3"/>
  </si>
  <si>
    <t>TDM2</t>
  </si>
  <si>
    <t>TDM3</t>
  </si>
  <si>
    <t>RX_FSYNC (2)</t>
  </si>
  <si>
    <t>RX_FSYNC (3)</t>
  </si>
  <si>
    <t>RX_MCK (2)</t>
  </si>
  <si>
    <t>RX_MCK (3)</t>
  </si>
  <si>
    <t>RX_SCK (2)</t>
  </si>
  <si>
    <t>RX_SCK (3)</t>
  </si>
  <si>
    <t>RX_SD (2)</t>
  </si>
  <si>
    <t>RX_SD (3)</t>
  </si>
  <si>
    <t>TX_FSYNC (2)</t>
  </si>
  <si>
    <t>TX_MCK (2)</t>
  </si>
  <si>
    <t>TX_SCK (2)</t>
  </si>
  <si>
    <t>TX_SD (2)</t>
    <phoneticPr fontId="3"/>
  </si>
  <si>
    <t>PCM-PWM</t>
    <phoneticPr fontId="3"/>
  </si>
  <si>
    <t>PWM0</t>
    <phoneticPr fontId="3"/>
  </si>
  <si>
    <t>PWM1</t>
    <phoneticPr fontId="3"/>
  </si>
  <si>
    <t>LINE1_P (0)</t>
    <phoneticPr fontId="3"/>
  </si>
  <si>
    <t>LINE1_P (1)</t>
    <phoneticPr fontId="3"/>
  </si>
  <si>
    <t>LINE1_N (0)</t>
    <phoneticPr fontId="3"/>
  </si>
  <si>
    <t>LINE2_P (0)</t>
    <phoneticPr fontId="3"/>
  </si>
  <si>
    <t>LINE2_P (1)</t>
    <phoneticPr fontId="3"/>
  </si>
  <si>
    <t>LINE2_N (0)</t>
    <phoneticPr fontId="3"/>
  </si>
  <si>
    <t>LINE2_N (1)</t>
    <phoneticPr fontId="3"/>
  </si>
  <si>
    <t>PWM_LINE1_P[0](0)</t>
    <phoneticPr fontId="3"/>
  </si>
  <si>
    <t>LINE1_P (2)</t>
  </si>
  <si>
    <t>LINE1_P (3)</t>
  </si>
  <si>
    <t>LINE1_N (1)</t>
  </si>
  <si>
    <t>LINE1_N (2)</t>
  </si>
  <si>
    <t>LINE1_N (3)</t>
  </si>
  <si>
    <t>LINE2_P (3)</t>
    <phoneticPr fontId="3"/>
  </si>
  <si>
    <t>LINE2_N (3)</t>
    <phoneticPr fontId="3"/>
  </si>
  <si>
    <t>TDM_RX_FSYNC[2](0)</t>
    <phoneticPr fontId="3"/>
  </si>
  <si>
    <t>PWM_LINE1_P[0](2)</t>
    <phoneticPr fontId="3"/>
  </si>
  <si>
    <t>PWM_LINE2_N[1](1)</t>
    <phoneticPr fontId="3"/>
  </si>
  <si>
    <t>TTL_CAP0_DATA[25]</t>
  </si>
  <si>
    <t>TTL_CAP0_CLK</t>
  </si>
  <si>
    <t>TTL_CAP0_DATA[23]</t>
  </si>
  <si>
    <t>TTL_CAP0_DATA[1]</t>
  </si>
  <si>
    <t>TTL_CAP0_DATA[21]</t>
  </si>
  <si>
    <t>TTL_CAP0_DATA[3]</t>
  </si>
  <si>
    <t>TTL_CAP0_DATA[19]</t>
  </si>
  <si>
    <t>TTL_CAP0_DATA[5]</t>
  </si>
  <si>
    <t>TTL_CAP0_DATA[17]</t>
  </si>
  <si>
    <t>TTL_CAP0_DATA[7]</t>
  </si>
  <si>
    <t>TTL_CAP0_DATA[15]</t>
  </si>
  <si>
    <t>TTL_CAP0_DATA[9]</t>
  </si>
  <si>
    <t>TTL_CAP0_DATA[13]</t>
  </si>
  <si>
    <t>TTL_CAP0_DATA[11]</t>
  </si>
  <si>
    <t>TTL_CAP0_DATA[24]</t>
  </si>
  <si>
    <t>TTL_CAP0_DATA[0]</t>
  </si>
  <si>
    <t>TTL_CAP0_DATA[22]</t>
  </si>
  <si>
    <t>TTL_CAP0_DATA[2]</t>
  </si>
  <si>
    <t>TTL_CAP0_DATA[20]</t>
  </si>
  <si>
    <t>TTL_CAP0_DATA[4]</t>
  </si>
  <si>
    <t>TTL_CAP0_DATA[18]</t>
  </si>
  <si>
    <t>TTL_CAP0_DATA[6]</t>
  </si>
  <si>
    <t>TTL_CAP0_DATA[16]</t>
  </si>
  <si>
    <t>TTL_CAP0_DATA[8]</t>
  </si>
  <si>
    <t>TTL_CAP0_DATA[14]</t>
  </si>
  <si>
    <t>TTL_CAP0_DATA[10]</t>
  </si>
  <si>
    <t>TTL_CAP0_DATA[12]</t>
  </si>
  <si>
    <t>TTL_CAP0_DATA[26]</t>
  </si>
  <si>
    <t>TTL_CAP0_CLK</t>
    <phoneticPr fontId="3"/>
  </si>
  <si>
    <t>VIDEOSS</t>
    <phoneticPr fontId="3"/>
  </si>
  <si>
    <t>Display0</t>
    <phoneticPr fontId="3"/>
  </si>
  <si>
    <t>Capture0</t>
    <phoneticPr fontId="3"/>
  </si>
  <si>
    <t>MCK</t>
    <phoneticPr fontId="3"/>
  </si>
  <si>
    <t>CLK(1)</t>
    <phoneticPr fontId="3"/>
  </si>
  <si>
    <t>MOSI(1)</t>
    <phoneticPr fontId="3"/>
  </si>
  <si>
    <t>MISO(1)</t>
    <phoneticPr fontId="3"/>
  </si>
  <si>
    <t>MOSI/MOSI(0)</t>
    <phoneticPr fontId="3"/>
  </si>
  <si>
    <t>CLK/CLK(0)</t>
    <phoneticPr fontId="3"/>
  </si>
  <si>
    <t>MISO/MISO(0)</t>
    <phoneticPr fontId="3"/>
  </si>
  <si>
    <t>SEL0/SEL0(0)</t>
    <phoneticPr fontId="3"/>
  </si>
  <si>
    <t>SEL0(1)</t>
    <phoneticPr fontId="3"/>
  </si>
  <si>
    <t>SEL1/SEL1(0)</t>
    <phoneticPr fontId="3"/>
  </si>
  <si>
    <t>SEL1(1)</t>
    <phoneticPr fontId="3"/>
  </si>
  <si>
    <t>002-34925_07 - REFERENCE DATA</t>
    <phoneticPr fontId="3"/>
  </si>
  <si>
    <t>Use SPI</t>
    <phoneticPr fontId="3"/>
  </si>
  <si>
    <t>Use UART</t>
    <phoneticPr fontId="3"/>
  </si>
  <si>
    <t>Use I2C</t>
    <phoneticPr fontId="3"/>
  </si>
  <si>
    <t>SPI/UART</t>
    <phoneticPr fontId="3"/>
  </si>
  <si>
    <t>SPI/I2C</t>
    <phoneticPr fontId="3"/>
  </si>
  <si>
    <t>UART/I2C</t>
    <phoneticPr fontId="3"/>
  </si>
  <si>
    <t>(Duplicate SCB function)</t>
    <phoneticPr fontId="3"/>
  </si>
  <si>
    <t>Duplicate</t>
    <phoneticPr fontId="3"/>
  </si>
  <si>
    <t>Sound generator</t>
    <phoneticPr fontId="3"/>
  </si>
  <si>
    <t>SG0</t>
    <phoneticPr fontId="3"/>
  </si>
  <si>
    <t>SG1</t>
  </si>
  <si>
    <t>SG2</t>
  </si>
  <si>
    <t>SG3</t>
  </si>
  <si>
    <t>SG4</t>
  </si>
  <si>
    <t>AMPL (0)</t>
    <phoneticPr fontId="3"/>
  </si>
  <si>
    <t>AMPL (1)</t>
  </si>
  <si>
    <t>TONE (0)</t>
    <phoneticPr fontId="3"/>
  </si>
  <si>
    <t>TONE (1)</t>
  </si>
  <si>
    <t>SG_AMPL[0](1)</t>
    <phoneticPr fontId="3"/>
  </si>
  <si>
    <t xml:space="preserve">MCK </t>
    <phoneticPr fontId="3"/>
  </si>
  <si>
    <t>TTL_CAP0_CLK</t>
    <phoneticPr fontId="3"/>
  </si>
  <si>
    <t>Number of pins used</t>
    <phoneticPr fontId="3"/>
  </si>
  <si>
    <t>TTL_CAP0_DATA[0]</t>
    <phoneticPr fontId="3"/>
  </si>
  <si>
    <t>TTL_DSP1_DATA_A0[0]</t>
    <phoneticPr fontId="3"/>
  </si>
  <si>
    <t>TTL_DSP1_DATA_A0[10]</t>
  </si>
  <si>
    <t>TTL_DSP1_DATA_A0[11]</t>
  </si>
  <si>
    <t>TTL_DSP1_DATA_A1[11]</t>
  </si>
  <si>
    <t>TTL_DSP1_CONTROL[1]</t>
  </si>
  <si>
    <t>TTL_DSP1_CONTROL[4]</t>
  </si>
  <si>
    <t>TTL_DSP1_CONTROL[5]</t>
  </si>
  <si>
    <t>TTL_DSP1_CONTROL[6]</t>
  </si>
  <si>
    <t>TTL_DSP1_CONTROL[7]</t>
  </si>
  <si>
    <t>TTL_DSP1_CONTROL[10]</t>
  </si>
  <si>
    <t>TTL_DSP1_CONTROL[11]</t>
  </si>
  <si>
    <t>(CXPI)
(Capture)</t>
    <phoneticPr fontId="3"/>
  </si>
  <si>
    <t>(TRG_IN)
(Display)</t>
    <phoneticPr fontId="3"/>
  </si>
  <si>
    <t>(Display)</t>
    <phoneticPr fontId="3"/>
  </si>
  <si>
    <t>(RTC calibration clock)
(JTAG)</t>
    <phoneticPr fontId="3"/>
  </si>
  <si>
    <t>(ECO, WCO, LPECO)
(ADC)
(HIBERNATE)</t>
    <phoneticPr fontId="3"/>
  </si>
  <si>
    <t>See the Notice *1</t>
    <phoneticPr fontId="3"/>
  </si>
  <si>
    <t>(TCPWM0)</t>
    <phoneticPr fontId="3"/>
  </si>
  <si>
    <t>(TRACE)</t>
    <phoneticPr fontId="3"/>
  </si>
  <si>
    <t>(TDM receive)</t>
    <phoneticPr fontId="3"/>
  </si>
  <si>
    <t>(TDM receive)
(Display)</t>
    <phoneticPr fontId="3"/>
  </si>
  <si>
    <t>(TDM transmit)
(External SAR MUX)</t>
    <phoneticPr fontId="3"/>
  </si>
  <si>
    <t>(CXPI)
(DAC)
(PCM-PWM)
(Ethernet)
(Display)</t>
    <phoneticPr fontId="3"/>
  </si>
  <si>
    <t>(LIN)
(Capture)</t>
    <phoneticPr fontId="3"/>
  </si>
  <si>
    <t>11/17/2023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</si>
</sst>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"/>
  </numFmts>
  <fonts count="22" x14ac:knownFonts="1">
    <font>
      <sz val="11"/>
      <color theme="1"/>
      <name val="游ゴシック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24"/>
      <color theme="1"/>
      <name val="Arial"/>
      <family val="2"/>
    </font>
    <font>
      <sz val="18"/>
      <color theme="1"/>
      <name val="Arial"/>
      <family val="2"/>
    </font>
    <font>
      <sz val="8"/>
      <color theme="1"/>
      <name val="ＭＳ ゴシック"/>
      <family val="2"/>
      <charset val="128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sz val="9"/>
      <color indexed="8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8"/>
      <color theme="8" tint="0.7999816888943144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5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right" vertical="center"/>
    </xf>
    <xf numFmtId="0" fontId="12" fillId="0" borderId="0" xfId="0" applyFont="1" applyAlignment="1" applyProtection="1">
      <alignment horizontal="left" vertical="top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4" borderId="7" xfId="0" applyFont="1" applyFill="1" applyBorder="1" applyAlignment="1" applyProtection="1">
      <alignment horizontal="left" vertical="top" wrapText="1"/>
      <protection locked="0"/>
    </xf>
    <xf numFmtId="0" fontId="2" fillId="4" borderId="4" xfId="0" applyFont="1" applyFill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left" vertical="top" wrapText="1"/>
      <protection locked="0"/>
    </xf>
    <xf numFmtId="0" fontId="5" fillId="0" borderId="4" xfId="0" applyFont="1" applyBorder="1" applyAlignment="1" applyProtection="1">
      <alignment horizontal="left" vertical="top"/>
      <protection locked="0"/>
    </xf>
    <xf numFmtId="0" fontId="8" fillId="3" borderId="4" xfId="0" applyFont="1" applyFill="1" applyBorder="1" applyAlignment="1" applyProtection="1">
      <alignment horizontal="left" vertical="top" wrapText="1"/>
      <protection locked="0"/>
    </xf>
    <xf numFmtId="0" fontId="8" fillId="8" borderId="4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left" vertical="top"/>
      <protection locked="0"/>
    </xf>
    <xf numFmtId="0" fontId="8" fillId="7" borderId="4" xfId="0" applyFont="1" applyFill="1" applyBorder="1" applyAlignment="1" applyProtection="1">
      <alignment horizontal="left" vertical="top" wrapText="1"/>
      <protection locked="0"/>
    </xf>
    <xf numFmtId="0" fontId="2" fillId="4" borderId="6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4" borderId="1" xfId="0" applyFont="1" applyFill="1" applyBorder="1" applyAlignment="1" applyProtection="1">
      <alignment horizontal="left" vertical="top" wrapText="1"/>
      <protection locked="0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Protection="1">
      <protection locked="0"/>
    </xf>
    <xf numFmtId="0" fontId="2" fillId="4" borderId="5" xfId="0" applyFont="1" applyFill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 vertical="top"/>
      <protection locked="0"/>
    </xf>
    <xf numFmtId="0" fontId="19" fillId="10" borderId="0" xfId="0" applyFont="1" applyFill="1"/>
    <xf numFmtId="0" fontId="20" fillId="10" borderId="0" xfId="0" applyFont="1" applyFill="1"/>
    <xf numFmtId="0" fontId="19" fillId="1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top"/>
    </xf>
    <xf numFmtId="14" fontId="19" fillId="10" borderId="1" xfId="0" applyNumberFormat="1" applyFont="1" applyFill="1" applyBorder="1" applyAlignment="1">
      <alignment horizontal="center" vertical="top"/>
    </xf>
    <xf numFmtId="0" fontId="19" fillId="10" borderId="1" xfId="0" applyFont="1" applyFill="1" applyBorder="1" applyAlignment="1">
      <alignment horizontal="left" vertical="top"/>
    </xf>
    <xf numFmtId="0" fontId="19" fillId="10" borderId="1" xfId="0" applyFont="1" applyFill="1" applyBorder="1" applyAlignment="1">
      <alignment horizontal="center" vertical="top" wrapText="1"/>
    </xf>
    <xf numFmtId="0" fontId="19" fillId="10" borderId="1" xfId="0" applyFont="1" applyFill="1" applyBorder="1" applyAlignment="1">
      <alignment horizontal="left" vertical="top" wrapText="1"/>
    </xf>
    <xf numFmtId="0" fontId="12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5" fillId="0" borderId="1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0" fontId="5" fillId="9" borderId="1" xfId="0" applyFont="1" applyFill="1" applyBorder="1" applyAlignment="1" applyProtection="1">
      <alignment vertical="center"/>
      <protection locked="0"/>
    </xf>
    <xf numFmtId="0" fontId="5" fillId="9" borderId="9" xfId="0" applyFont="1" applyFill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10" borderId="11" xfId="0" applyFont="1" applyFill="1" applyBorder="1" applyAlignment="1" applyProtection="1">
      <alignment vertical="center"/>
      <protection locked="0"/>
    </xf>
    <xf numFmtId="0" fontId="5" fillId="9" borderId="3" xfId="0" applyFont="1" applyFill="1" applyBorder="1" applyAlignment="1" applyProtection="1">
      <alignment vertical="center"/>
      <protection locked="0"/>
    </xf>
    <xf numFmtId="0" fontId="5" fillId="9" borderId="8" xfId="0" applyFont="1" applyFill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11" fillId="10" borderId="0" xfId="0" applyFont="1" applyFill="1" applyAlignment="1" applyProtection="1">
      <alignment vertical="center"/>
      <protection locked="0"/>
    </xf>
    <xf numFmtId="0" fontId="5" fillId="10" borderId="0" xfId="0" applyFont="1" applyFill="1" applyAlignment="1" applyProtection="1">
      <alignment vertical="center"/>
      <protection locked="0"/>
    </xf>
    <xf numFmtId="0" fontId="5" fillId="10" borderId="0" xfId="0" applyFont="1" applyFill="1" applyAlignment="1" applyProtection="1">
      <alignment horizontal="center" vertical="center"/>
      <protection locked="0"/>
    </xf>
    <xf numFmtId="0" fontId="5" fillId="10" borderId="0" xfId="0" applyFont="1" applyFill="1" applyAlignment="1" applyProtection="1">
      <alignment horizontal="left" vertical="top"/>
      <protection locked="0"/>
    </xf>
    <xf numFmtId="0" fontId="12" fillId="10" borderId="0" xfId="0" applyFont="1" applyFill="1" applyAlignment="1" applyProtection="1">
      <alignment vertical="center"/>
      <protection locked="0"/>
    </xf>
    <xf numFmtId="0" fontId="10" fillId="10" borderId="0" xfId="0" applyFont="1" applyFill="1" applyAlignment="1" applyProtection="1">
      <alignment horizontal="right" vertical="center"/>
      <protection locked="0"/>
    </xf>
    <xf numFmtId="0" fontId="9" fillId="10" borderId="0" xfId="0" applyFont="1" applyFill="1" applyAlignment="1" applyProtection="1">
      <alignment horizontal="right" vertical="center"/>
      <protection locked="0"/>
    </xf>
    <xf numFmtId="0" fontId="17" fillId="10" borderId="0" xfId="0" applyFont="1" applyFill="1" applyAlignment="1" applyProtection="1">
      <alignment horizontal="center" vertical="center"/>
      <protection locked="0"/>
    </xf>
    <xf numFmtId="0" fontId="15" fillId="10" borderId="0" xfId="0" applyFont="1" applyFill="1" applyAlignment="1" applyProtection="1">
      <alignment horizontal="center" vertical="center"/>
      <protection locked="0"/>
    </xf>
    <xf numFmtId="0" fontId="5" fillId="10" borderId="0" xfId="0" applyFont="1" applyFill="1" applyAlignment="1" applyProtection="1">
      <alignment horizontal="center" vertical="center" shrinkToFit="1"/>
      <protection locked="0"/>
    </xf>
    <xf numFmtId="0" fontId="16" fillId="10" borderId="0" xfId="0" applyFont="1" applyFill="1" applyAlignment="1" applyProtection="1">
      <alignment vertical="center"/>
      <protection locked="0"/>
    </xf>
    <xf numFmtId="0" fontId="14" fillId="10" borderId="0" xfId="0" applyFont="1" applyFill="1" applyAlignment="1" applyProtection="1">
      <alignment horizontal="center" vertical="center"/>
      <protection locked="0"/>
    </xf>
    <xf numFmtId="0" fontId="7" fillId="10" borderId="0" xfId="0" applyFont="1" applyFill="1" applyAlignment="1" applyProtection="1">
      <alignment horizontal="center" vertical="center"/>
      <protection locked="0"/>
    </xf>
    <xf numFmtId="176" fontId="5" fillId="10" borderId="18" xfId="0" applyNumberFormat="1" applyFont="1" applyFill="1" applyBorder="1" applyAlignment="1" applyProtection="1">
      <alignment horizontal="center" vertical="center" wrapText="1"/>
      <protection locked="0"/>
    </xf>
    <xf numFmtId="176" fontId="5" fillId="10" borderId="19" xfId="0" applyNumberFormat="1" applyFont="1" applyFill="1" applyBorder="1" applyAlignment="1" applyProtection="1">
      <alignment horizontal="center" vertical="center" wrapText="1"/>
      <protection locked="0"/>
    </xf>
    <xf numFmtId="176" fontId="5" fillId="10" borderId="20" xfId="0" applyNumberFormat="1" applyFont="1" applyFill="1" applyBorder="1" applyAlignment="1" applyProtection="1">
      <alignment horizontal="center" vertical="center" wrapText="1"/>
      <protection locked="0"/>
    </xf>
    <xf numFmtId="176" fontId="5" fillId="10" borderId="2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5" fillId="10" borderId="0" xfId="0" applyNumberFormat="1" applyFont="1" applyFill="1" applyBorder="1" applyAlignment="1" applyProtection="1">
      <alignment horizontal="center" vertical="center" wrapText="1"/>
      <protection locked="0"/>
    </xf>
    <xf numFmtId="176" fontId="5" fillId="10" borderId="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5" fillId="10" borderId="22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8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/>
      <protection locked="0"/>
    </xf>
    <xf numFmtId="176" fontId="5" fillId="10" borderId="23" xfId="0" applyNumberFormat="1" applyFont="1" applyFill="1" applyBorder="1" applyAlignment="1" applyProtection="1">
      <alignment horizontal="center" vertical="top" wrapText="1"/>
      <protection locked="0"/>
    </xf>
    <xf numFmtId="176" fontId="5" fillId="10" borderId="24" xfId="0" applyNumberFormat="1" applyFont="1" applyFill="1" applyBorder="1" applyAlignment="1" applyProtection="1">
      <alignment horizontal="center" vertical="top" wrapText="1"/>
      <protection locked="0"/>
    </xf>
    <xf numFmtId="176" fontId="5" fillId="10" borderId="25" xfId="0" applyNumberFormat="1" applyFont="1" applyFill="1" applyBorder="1" applyAlignment="1" applyProtection="1">
      <alignment horizontal="center" vertical="top" wrapText="1"/>
      <protection locked="0"/>
    </xf>
    <xf numFmtId="176" fontId="9" fillId="10" borderId="1" xfId="0" applyNumberFormat="1" applyFont="1" applyFill="1" applyBorder="1" applyAlignment="1" applyProtection="1">
      <alignment horizontal="center" vertical="center" wrapText="1"/>
      <protection locked="0"/>
    </xf>
    <xf numFmtId="176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8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left" vertical="top"/>
    </xf>
    <xf numFmtId="0" fontId="1" fillId="9" borderId="4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10" borderId="4" xfId="0" applyFont="1" applyFill="1" applyBorder="1" applyAlignment="1" applyProtection="1">
      <alignment horizontal="left" vertical="top"/>
      <protection locked="0"/>
    </xf>
    <xf numFmtId="0" fontId="2" fillId="10" borderId="4" xfId="0" applyFont="1" applyFill="1" applyBorder="1" applyAlignment="1" applyProtection="1">
      <alignment horizontal="left" vertical="top" wrapText="1"/>
      <protection locked="0"/>
    </xf>
    <xf numFmtId="0" fontId="9" fillId="10" borderId="4" xfId="0" applyFont="1" applyFill="1" applyBorder="1" applyAlignment="1" applyProtection="1">
      <alignment horizontal="left" vertical="top"/>
      <protection locked="0"/>
    </xf>
    <xf numFmtId="0" fontId="2" fillId="10" borderId="7" xfId="0" applyFont="1" applyFill="1" applyBorder="1" applyAlignment="1" applyProtection="1">
      <alignment horizontal="left" vertical="top" wrapText="1"/>
      <protection locked="0"/>
    </xf>
    <xf numFmtId="0" fontId="2" fillId="10" borderId="6" xfId="0" applyFont="1" applyFill="1" applyBorder="1" applyAlignment="1" applyProtection="1">
      <alignment horizontal="left" vertical="top" wrapText="1"/>
      <protection locked="0"/>
    </xf>
    <xf numFmtId="0" fontId="2" fillId="10" borderId="12" xfId="0" applyFont="1" applyFill="1" applyBorder="1" applyAlignment="1" applyProtection="1">
      <alignment horizontal="left" vertical="top" wrapText="1"/>
      <protection locked="0"/>
    </xf>
    <xf numFmtId="0" fontId="2" fillId="10" borderId="5" xfId="0" applyFont="1" applyFill="1" applyBorder="1" applyAlignment="1" applyProtection="1">
      <alignment horizontal="left" vertical="top" wrapText="1"/>
      <protection locked="0"/>
    </xf>
    <xf numFmtId="0" fontId="2" fillId="10" borderId="15" xfId="0" applyFont="1" applyFill="1" applyBorder="1" applyAlignment="1" applyProtection="1">
      <alignment horizontal="left" vertical="top" wrapText="1"/>
      <protection locked="0"/>
    </xf>
    <xf numFmtId="0" fontId="8" fillId="3" borderId="4" xfId="0" applyFont="1" applyFill="1" applyBorder="1" applyAlignment="1" applyProtection="1">
      <alignment horizontal="left" vertical="top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176" fontId="8" fillId="10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12" borderId="1" xfId="0" applyNumberFormat="1" applyFont="1" applyFill="1" applyBorder="1" applyAlignment="1" applyProtection="1">
      <alignment horizontal="center" vertical="center" wrapText="1"/>
      <protection locked="0"/>
    </xf>
    <xf numFmtId="176" fontId="5" fillId="10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10" borderId="31" xfId="0" applyFont="1" applyFill="1" applyBorder="1" applyAlignment="1" applyProtection="1">
      <alignment horizontal="left" vertical="top" wrapText="1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8" fillId="11" borderId="4" xfId="0" applyFont="1" applyFill="1" applyBorder="1" applyAlignment="1" applyProtection="1">
      <alignment horizontal="left" vertical="top" wrapText="1"/>
      <protection locked="0"/>
    </xf>
    <xf numFmtId="0" fontId="5" fillId="10" borderId="3" xfId="0" applyFont="1" applyFill="1" applyBorder="1" applyAlignment="1" applyProtection="1">
      <alignment vertical="center"/>
      <protection locked="0"/>
    </xf>
    <xf numFmtId="0" fontId="5" fillId="0" borderId="8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13" borderId="1" xfId="0" applyFont="1" applyFill="1" applyBorder="1" applyAlignment="1" applyProtection="1">
      <alignment vertical="center"/>
      <protection locked="0"/>
    </xf>
    <xf numFmtId="0" fontId="5" fillId="14" borderId="1" xfId="0" applyFont="1" applyFill="1" applyBorder="1" applyAlignment="1" applyProtection="1">
      <alignment vertical="center"/>
      <protection locked="0"/>
    </xf>
    <xf numFmtId="0" fontId="5" fillId="15" borderId="1" xfId="0" applyFont="1" applyFill="1" applyBorder="1" applyAlignment="1" applyProtection="1">
      <alignment vertical="center"/>
      <protection locked="0"/>
    </xf>
    <xf numFmtId="0" fontId="21" fillId="5" borderId="10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34" xfId="0" applyFont="1" applyBorder="1" applyAlignment="1" applyProtection="1">
      <alignment vertical="center"/>
      <protection locked="0"/>
    </xf>
    <xf numFmtId="0" fontId="0" fillId="0" borderId="34" xfId="0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176" fontId="8" fillId="11" borderId="1" xfId="0" applyNumberFormat="1" applyFont="1" applyFill="1" applyBorder="1" applyAlignment="1" applyProtection="1">
      <alignment horizontal="center" vertical="center" wrapText="1"/>
      <protection locked="0"/>
    </xf>
    <xf numFmtId="176" fontId="8" fillId="11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5" xfId="0" applyFont="1" applyBorder="1" applyAlignment="1" applyProtection="1">
      <alignment horizontal="left" vertical="top" wrapText="1"/>
      <protection locked="0"/>
    </xf>
    <xf numFmtId="0" fontId="0" fillId="0" borderId="35" xfId="0" applyBorder="1" applyAlignment="1">
      <alignment horizontal="left" vertical="top" wrapText="1"/>
    </xf>
    <xf numFmtId="0" fontId="1" fillId="9" borderId="15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 applyAlignment="1">
      <alignment horizontal="center" vertical="center" wrapText="1"/>
    </xf>
    <xf numFmtId="0" fontId="1" fillId="9" borderId="16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0" fontId="1" fillId="9" borderId="17" xfId="0" applyFont="1" applyFill="1" applyBorder="1" applyAlignment="1" applyProtection="1">
      <alignment horizontal="center" vertical="center" wrapText="1"/>
      <protection locked="0"/>
    </xf>
    <xf numFmtId="0" fontId="0" fillId="0" borderId="30" xfId="0" applyBorder="1" applyAlignment="1">
      <alignment horizontal="center" vertical="center" wrapText="1"/>
    </xf>
    <xf numFmtId="0" fontId="1" fillId="9" borderId="12" xfId="0" applyFont="1" applyFill="1" applyBorder="1" applyAlignment="1" applyProtection="1">
      <alignment horizontal="center" vertical="center" wrapText="1"/>
      <protection locked="0"/>
    </xf>
    <xf numFmtId="0" fontId="1" fillId="9" borderId="13" xfId="0" applyFont="1" applyFill="1" applyBorder="1" applyAlignment="1" applyProtection="1">
      <alignment horizontal="center" vertical="center" wrapText="1"/>
      <protection locked="0"/>
    </xf>
    <xf numFmtId="0" fontId="1" fillId="9" borderId="14" xfId="0" applyFont="1" applyFill="1" applyBorder="1" applyAlignment="1" applyProtection="1">
      <alignment horizontal="center" vertical="center" wrapText="1"/>
      <protection locked="0"/>
    </xf>
    <xf numFmtId="0" fontId="1" fillId="9" borderId="5" xfId="0" applyFont="1" applyFill="1" applyBorder="1" applyAlignment="1" applyProtection="1">
      <alignment horizontal="center" vertical="center" wrapText="1"/>
      <protection locked="0"/>
    </xf>
    <xf numFmtId="0" fontId="1" fillId="9" borderId="6" xfId="0" applyFont="1" applyFill="1" applyBorder="1" applyAlignment="1" applyProtection="1">
      <alignment horizontal="center" vertical="center" wrapText="1"/>
      <protection locked="0"/>
    </xf>
    <xf numFmtId="0" fontId="1" fillId="9" borderId="7" xfId="0" applyFont="1" applyFill="1" applyBorder="1" applyAlignment="1" applyProtection="1">
      <alignment horizontal="center" vertical="center" wrapText="1"/>
      <protection locked="0"/>
    </xf>
    <xf numFmtId="0" fontId="1" fillId="9" borderId="4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6" fillId="5" borderId="26" xfId="0" applyFont="1" applyFill="1" applyBorder="1" applyAlignment="1" applyProtection="1">
      <alignment horizontal="center" vertical="center"/>
      <protection locked="0"/>
    </xf>
    <xf numFmtId="0" fontId="6" fillId="5" borderId="8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7" fillId="9" borderId="1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9" borderId="27" xfId="0" applyFont="1" applyFill="1" applyBorder="1" applyAlignment="1" applyProtection="1">
      <alignment horizontal="center" vertical="center" wrapText="1"/>
      <protection locked="0"/>
    </xf>
    <xf numFmtId="0" fontId="6" fillId="9" borderId="28" xfId="0" applyFont="1" applyFill="1" applyBorder="1" applyAlignment="1" applyProtection="1">
      <alignment horizontal="center" vertical="center" wrapText="1"/>
      <protection locked="0"/>
    </xf>
    <xf numFmtId="0" fontId="6" fillId="9" borderId="4" xfId="0" applyFont="1" applyFill="1" applyBorder="1" applyAlignment="1" applyProtection="1">
      <alignment horizontal="center" vertical="center" wrapText="1"/>
      <protection locked="0"/>
    </xf>
    <xf numFmtId="0" fontId="6" fillId="9" borderId="4" xfId="0" applyFont="1" applyFill="1" applyBorder="1" applyAlignment="1" applyProtection="1">
      <alignment horizontal="center" vertical="center"/>
      <protection locked="0"/>
    </xf>
    <xf numFmtId="0" fontId="5" fillId="13" borderId="3" xfId="0" applyFont="1" applyFill="1" applyBorder="1" applyAlignment="1" applyProtection="1">
      <alignment horizontal="right" vertical="center"/>
      <protection locked="0"/>
    </xf>
    <xf numFmtId="0" fontId="5" fillId="13" borderId="8" xfId="0" applyFont="1" applyFill="1" applyBorder="1" applyAlignment="1" applyProtection="1">
      <alignment horizontal="right" vertical="center"/>
      <protection locked="0"/>
    </xf>
    <xf numFmtId="0" fontId="5" fillId="14" borderId="3" xfId="0" applyFont="1" applyFill="1" applyBorder="1" applyAlignment="1" applyProtection="1">
      <alignment horizontal="right" vertical="center"/>
      <protection locked="0"/>
    </xf>
    <xf numFmtId="0" fontId="5" fillId="14" borderId="8" xfId="0" applyFont="1" applyFill="1" applyBorder="1" applyAlignment="1" applyProtection="1">
      <alignment horizontal="right" vertical="center"/>
      <protection locked="0"/>
    </xf>
    <xf numFmtId="0" fontId="5" fillId="15" borderId="3" xfId="0" applyFont="1" applyFill="1" applyBorder="1" applyAlignment="1" applyProtection="1">
      <alignment horizontal="right" vertical="center"/>
      <protection locked="0"/>
    </xf>
    <xf numFmtId="0" fontId="5" fillId="15" borderId="8" xfId="0" applyFont="1" applyFill="1" applyBorder="1" applyAlignment="1" applyProtection="1">
      <alignment horizontal="right" vertical="center"/>
      <protection locked="0"/>
    </xf>
    <xf numFmtId="0" fontId="5" fillId="5" borderId="28" xfId="0" applyFont="1" applyFill="1" applyBorder="1" applyAlignment="1" applyProtection="1">
      <alignment horizontal="center" vertical="center"/>
      <protection locked="0"/>
    </xf>
    <xf numFmtId="0" fontId="5" fillId="5" borderId="32" xfId="0" applyFont="1" applyFill="1" applyBorder="1" applyAlignment="1" applyProtection="1">
      <alignment horizontal="center" vertical="center"/>
      <protection locked="0"/>
    </xf>
    <xf numFmtId="0" fontId="5" fillId="5" borderId="3" xfId="0" applyFont="1" applyFill="1" applyBorder="1" applyAlignment="1" applyProtection="1">
      <alignment horizontal="center" vertical="center"/>
      <protection locked="0"/>
    </xf>
    <xf numFmtId="0" fontId="5" fillId="5" borderId="8" xfId="0" applyFont="1" applyFill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49" fontId="5" fillId="0" borderId="9" xfId="0" applyNumberFormat="1" applyFont="1" applyBorder="1" applyAlignment="1" applyProtection="1">
      <alignment horizontal="center" vertical="center" wrapText="1"/>
      <protection locked="0"/>
    </xf>
    <xf numFmtId="0" fontId="5" fillId="5" borderId="27" xfId="0" applyFont="1" applyFill="1" applyBorder="1" applyAlignment="1" applyProtection="1">
      <alignment horizontal="center" vertical="center"/>
      <protection locked="0"/>
    </xf>
    <xf numFmtId="0" fontId="5" fillId="5" borderId="33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4" xfId="0" applyFont="1" applyBorder="1" applyAlignment="1" applyProtection="1">
      <alignment vertical="center"/>
      <protection locked="0"/>
    </xf>
  </cellXfs>
  <cellStyles count="1">
    <cellStyle name="標準" xfId="0" builtinId="0"/>
  </cellStyles>
  <dxfs count="16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082DC"/>
      <color rgb="FFF583E5"/>
      <color rgb="FFD311B7"/>
      <color rgb="FFFF7C80"/>
      <color rgb="FFE6E6E6"/>
      <color rgb="FF000000"/>
      <color rgb="FFD9E1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317501</xdr:colOff>
      <xdr:row>1</xdr:row>
      <xdr:rowOff>45349</xdr:rowOff>
    </xdr:from>
    <xdr:to>
      <xdr:col>34</xdr:col>
      <xdr:colOff>544740</xdr:colOff>
      <xdr:row>3</xdr:row>
      <xdr:rowOff>86624</xdr:rowOff>
    </xdr:to>
    <xdr:pic>
      <xdr:nvPicPr>
        <xdr:cNvPr id="2" name="Picture 23">
          <a:extLst>
            <a:ext uri="{FF2B5EF4-FFF2-40B4-BE49-F238E27FC236}">
              <a16:creationId xmlns:a16="http://schemas.microsoft.com/office/drawing/2014/main" id="{049C4FAD-676F-4FDA-A280-EB368FE9A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18876" y="362849"/>
          <a:ext cx="1535339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347</xdr:row>
      <xdr:rowOff>0</xdr:rowOff>
    </xdr:from>
    <xdr:to>
      <xdr:col>12</xdr:col>
      <xdr:colOff>861052</xdr:colOff>
      <xdr:row>368</xdr:row>
      <xdr:rowOff>85725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8D382C7-E83A-48BC-8B3B-E56814784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43462575"/>
          <a:ext cx="9904268" cy="2686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429531</xdr:colOff>
      <xdr:row>1</xdr:row>
      <xdr:rowOff>25920</xdr:rowOff>
    </xdr:from>
    <xdr:to>
      <xdr:col>11</xdr:col>
      <xdr:colOff>441231</xdr:colOff>
      <xdr:row>6</xdr:row>
      <xdr:rowOff>21011</xdr:rowOff>
    </xdr:to>
    <xdr:sp macro="" textlink="">
      <xdr:nvSpPr>
        <xdr:cNvPr id="2" name="スクロール: 横 1">
          <a:extLst>
            <a:ext uri="{FF2B5EF4-FFF2-40B4-BE49-F238E27FC236}">
              <a16:creationId xmlns:a16="http://schemas.microsoft.com/office/drawing/2014/main" id="{C3EA7C36-C95E-4F9E-B606-DAD6C789F189}"/>
            </a:ext>
          </a:extLst>
        </xdr:cNvPr>
        <xdr:cNvSpPr/>
      </xdr:nvSpPr>
      <xdr:spPr>
        <a:xfrm>
          <a:off x="429531" y="341085"/>
          <a:ext cx="7204476" cy="1381819"/>
        </a:xfrm>
        <a:prstGeom prst="horizont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[Rule]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-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The selected pin cell is yellow. 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- Duplicate pin names are red.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- Different functions are selected in same SCB ch. -&gt; Duplicate SCB function part turns purple.</a:t>
          </a:r>
        </a:p>
        <a:p>
          <a:pPr algn="l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87</xdr:col>
      <xdr:colOff>317501</xdr:colOff>
      <xdr:row>1</xdr:row>
      <xdr:rowOff>45349</xdr:rowOff>
    </xdr:from>
    <xdr:to>
      <xdr:col>89</xdr:col>
      <xdr:colOff>535215</xdr:colOff>
      <xdr:row>3</xdr:row>
      <xdr:rowOff>86624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2F896A54-E133-4C01-895D-6E37AA64B1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00701" y="362849"/>
          <a:ext cx="1535339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18</xdr:col>
      <xdr:colOff>87168</xdr:colOff>
      <xdr:row>322</xdr:row>
      <xdr:rowOff>85722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8B6F877-5ACE-4808-8AC8-372E25F97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2775525"/>
          <a:ext cx="9951893" cy="2686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317501</xdr:colOff>
      <xdr:row>1</xdr:row>
      <xdr:rowOff>45349</xdr:rowOff>
    </xdr:from>
    <xdr:to>
      <xdr:col>47</xdr:col>
      <xdr:colOff>535215</xdr:colOff>
      <xdr:row>3</xdr:row>
      <xdr:rowOff>83449</xdr:rowOff>
    </xdr:to>
    <xdr:pic>
      <xdr:nvPicPr>
        <xdr:cNvPr id="2" name="Picture 23">
          <a:extLst>
            <a:ext uri="{FF2B5EF4-FFF2-40B4-BE49-F238E27FC236}">
              <a16:creationId xmlns:a16="http://schemas.microsoft.com/office/drawing/2014/main" id="{97C0D564-B37A-4B99-8C52-498CB8F6B5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0351" y="419999"/>
          <a:ext cx="1535339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28</xdr:col>
      <xdr:colOff>629804</xdr:colOff>
      <xdr:row>65</xdr:row>
      <xdr:rowOff>180109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CABBA11-CDA4-48E0-8083-F87E1FA14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21393150"/>
          <a:ext cx="10002404" cy="2755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F276-FF9A-401E-80D0-B256237A5C24}">
  <dimension ref="A1:AJ341"/>
  <sheetViews>
    <sheetView tabSelected="1" zoomScale="98" zoomScaleNormal="98" workbookViewId="0">
      <pane xSplit="3" ySplit="9" topLeftCell="U35" activePane="bottomRight" state="frozen"/>
      <selection pane="topRight" activeCell="D1" sqref="D1"/>
      <selection pane="bottomLeft" activeCell="A6" sqref="A6"/>
      <selection pane="bottomRight" activeCell="Z6" sqref="Z6"/>
    </sheetView>
  </sheetViews>
  <sheetFormatPr defaultRowHeight="10" x14ac:dyDescent="0.2"/>
  <cols>
    <col min="1" max="1" width="4.58203125" style="6" customWidth="1"/>
    <col min="2" max="2" width="12" style="6" customWidth="1"/>
    <col min="3" max="3" width="3.9140625" style="6" bestFit="1" customWidth="1"/>
    <col min="4" max="4" width="12" style="6" customWidth="1"/>
    <col min="5" max="5" width="9.25" style="6" bestFit="1" customWidth="1"/>
    <col min="6" max="6" width="11" style="6" bestFit="1" customWidth="1"/>
    <col min="7" max="7" width="10" style="6" bestFit="1" customWidth="1"/>
    <col min="8" max="8" width="13.33203125" style="6" bestFit="1" customWidth="1"/>
    <col min="9" max="9" width="14.9140625" style="6" bestFit="1" customWidth="1"/>
    <col min="10" max="10" width="15.08203125" style="6" bestFit="1" customWidth="1"/>
    <col min="11" max="12" width="16.58203125" style="6" customWidth="1"/>
    <col min="13" max="13" width="17.25" style="6" customWidth="1"/>
    <col min="14" max="14" width="14.58203125" style="6" customWidth="1"/>
    <col min="15" max="15" width="12.1640625" style="6" bestFit="1" customWidth="1"/>
    <col min="16" max="16" width="14.58203125" style="6" bestFit="1" customWidth="1"/>
    <col min="17" max="17" width="19.5" style="6" bestFit="1" customWidth="1"/>
    <col min="18" max="18" width="10.5" style="6" bestFit="1" customWidth="1"/>
    <col min="19" max="19" width="8.9140625" style="6" bestFit="1" customWidth="1"/>
    <col min="20" max="20" width="15" style="6" bestFit="1" customWidth="1"/>
    <col min="21" max="21" width="14.9140625" style="6" bestFit="1" customWidth="1"/>
    <col min="22" max="22" width="8.83203125" style="6" bestFit="1" customWidth="1"/>
    <col min="23" max="23" width="17.08203125" style="6" bestFit="1" customWidth="1"/>
    <col min="24" max="24" width="9.1640625" style="6" bestFit="1" customWidth="1"/>
    <col min="25" max="25" width="28.4140625" style="6" customWidth="1"/>
    <col min="26" max="26" width="10" style="6" bestFit="1" customWidth="1"/>
    <col min="27" max="27" width="24.83203125" style="6" customWidth="1"/>
    <col min="28" max="28" width="37.83203125" style="6" customWidth="1"/>
    <col min="29" max="29" width="12.9140625" style="6" customWidth="1"/>
    <col min="30" max="30" width="12.4140625" style="6" customWidth="1"/>
    <col min="31" max="32" width="12.58203125" style="1" customWidth="1"/>
    <col min="33" max="35" width="8.58203125" style="1" customWidth="1"/>
    <col min="36" max="36" width="8.6640625" style="1"/>
    <col min="37" max="16384" width="8.6640625" style="6"/>
  </cols>
  <sheetData>
    <row r="1" spans="1:35" ht="25" customHeight="1" x14ac:dyDescent="0.2">
      <c r="A1" s="5" t="s">
        <v>987</v>
      </c>
      <c r="AG1" s="3"/>
      <c r="AH1" s="3"/>
      <c r="AI1" s="3"/>
    </row>
    <row r="2" spans="1:35" ht="25" customHeight="1" x14ac:dyDescent="0.2">
      <c r="A2" s="5"/>
      <c r="AG2" s="3"/>
      <c r="AH2" s="3"/>
      <c r="AI2" s="3"/>
    </row>
    <row r="3" spans="1:35" ht="25" customHeight="1" x14ac:dyDescent="0.2">
      <c r="A3" s="5"/>
      <c r="AG3" s="3"/>
      <c r="AH3" s="3"/>
      <c r="AI3" s="3"/>
    </row>
    <row r="4" spans="1:35" ht="25" customHeight="1" x14ac:dyDescent="0.2">
      <c r="A4" s="5"/>
      <c r="AG4" s="3"/>
      <c r="AH4" s="3"/>
      <c r="AI4" s="3"/>
    </row>
    <row r="5" spans="1:35" ht="25" customHeight="1" x14ac:dyDescent="0.2">
      <c r="A5" s="5"/>
      <c r="AF5" s="2"/>
      <c r="AG5" s="3"/>
      <c r="AH5" s="3"/>
      <c r="AI5" s="4" t="s">
        <v>1783</v>
      </c>
    </row>
    <row r="6" spans="1:35" ht="50" x14ac:dyDescent="0.2">
      <c r="E6" s="1" t="s">
        <v>1824</v>
      </c>
      <c r="F6" s="1" t="s">
        <v>1824</v>
      </c>
      <c r="G6" s="1" t="s">
        <v>1824</v>
      </c>
      <c r="H6" s="1" t="s">
        <v>1825</v>
      </c>
      <c r="I6" s="7" t="s">
        <v>1828</v>
      </c>
      <c r="J6" s="7" t="s">
        <v>1826</v>
      </c>
      <c r="K6" s="7" t="s">
        <v>1827</v>
      </c>
      <c r="L6" s="7" t="s">
        <v>1820</v>
      </c>
      <c r="M6" s="7" t="s">
        <v>1819</v>
      </c>
      <c r="N6" s="7" t="s">
        <v>1818</v>
      </c>
      <c r="O6" s="7" t="s">
        <v>1544</v>
      </c>
      <c r="P6" s="7" t="s">
        <v>1830</v>
      </c>
      <c r="Q6" s="8" t="s">
        <v>1829</v>
      </c>
      <c r="R6" s="8" t="s">
        <v>1547</v>
      </c>
      <c r="S6" s="7" t="s">
        <v>1548</v>
      </c>
      <c r="T6" s="7" t="s">
        <v>1551</v>
      </c>
      <c r="U6" s="7" t="s">
        <v>1821</v>
      </c>
      <c r="V6" s="1" t="s">
        <v>352</v>
      </c>
      <c r="W6" s="135" t="s">
        <v>1822</v>
      </c>
      <c r="X6" s="136"/>
      <c r="Z6" s="1"/>
    </row>
    <row r="7" spans="1:35" ht="10.5" customHeight="1" x14ac:dyDescent="0.2">
      <c r="B7" s="143" t="s">
        <v>712</v>
      </c>
      <c r="C7" s="143" t="s">
        <v>195</v>
      </c>
      <c r="D7" s="143" t="s">
        <v>258</v>
      </c>
      <c r="E7" s="146" t="s">
        <v>353</v>
      </c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8"/>
      <c r="U7" s="149"/>
      <c r="V7" s="149"/>
      <c r="W7" s="137" t="s">
        <v>192</v>
      </c>
      <c r="X7" s="138"/>
      <c r="Y7" s="151" t="s">
        <v>190</v>
      </c>
      <c r="Z7" s="152"/>
      <c r="AA7" s="152"/>
      <c r="AB7" s="153"/>
      <c r="AC7" s="154" t="s">
        <v>357</v>
      </c>
      <c r="AD7" s="154"/>
      <c r="AE7" s="155" t="s">
        <v>257</v>
      </c>
      <c r="AF7" s="155"/>
    </row>
    <row r="8" spans="1:35" ht="10.5" x14ac:dyDescent="0.2">
      <c r="B8" s="144"/>
      <c r="C8" s="144"/>
      <c r="D8" s="144"/>
      <c r="E8" s="93" t="s">
        <v>248</v>
      </c>
      <c r="F8" s="93" t="s">
        <v>0</v>
      </c>
      <c r="G8" s="93" t="s">
        <v>1</v>
      </c>
      <c r="H8" s="93" t="s">
        <v>2</v>
      </c>
      <c r="I8" s="93" t="s">
        <v>3</v>
      </c>
      <c r="J8" s="93" t="s">
        <v>4</v>
      </c>
      <c r="K8" s="93" t="s">
        <v>5</v>
      </c>
      <c r="L8" s="93" t="s">
        <v>6</v>
      </c>
      <c r="M8" s="93" t="s">
        <v>7</v>
      </c>
      <c r="N8" s="93" t="s">
        <v>8</v>
      </c>
      <c r="O8" s="93" t="s">
        <v>358</v>
      </c>
      <c r="P8" s="93" t="s">
        <v>359</v>
      </c>
      <c r="Q8" s="93" t="s">
        <v>360</v>
      </c>
      <c r="R8" s="93" t="s">
        <v>361</v>
      </c>
      <c r="S8" s="93" t="s">
        <v>9</v>
      </c>
      <c r="T8" s="93" t="s">
        <v>10</v>
      </c>
      <c r="U8" s="93" t="s">
        <v>193</v>
      </c>
      <c r="V8" s="93" t="s">
        <v>194</v>
      </c>
      <c r="W8" s="139"/>
      <c r="X8" s="140"/>
      <c r="Y8" s="156" t="s">
        <v>191</v>
      </c>
      <c r="Z8" s="156" t="s">
        <v>727</v>
      </c>
      <c r="AA8" s="157" t="s">
        <v>255</v>
      </c>
      <c r="AB8" s="159" t="s">
        <v>728</v>
      </c>
      <c r="AC8" s="154" t="s">
        <v>356</v>
      </c>
      <c r="AD8" s="154" t="s">
        <v>354</v>
      </c>
      <c r="AE8" s="150" t="s">
        <v>725</v>
      </c>
      <c r="AF8" s="150" t="s">
        <v>726</v>
      </c>
    </row>
    <row r="9" spans="1:35" ht="10.5" x14ac:dyDescent="0.2">
      <c r="B9" s="145"/>
      <c r="C9" s="145"/>
      <c r="D9" s="145"/>
      <c r="E9" s="93" t="s">
        <v>249</v>
      </c>
      <c r="F9" s="93" t="s">
        <v>11</v>
      </c>
      <c r="G9" s="93" t="s">
        <v>12</v>
      </c>
      <c r="H9" s="93" t="s">
        <v>13</v>
      </c>
      <c r="I9" s="93" t="s">
        <v>14</v>
      </c>
      <c r="J9" s="93" t="s">
        <v>15</v>
      </c>
      <c r="K9" s="93" t="s">
        <v>16</v>
      </c>
      <c r="L9" s="93" t="s">
        <v>17</v>
      </c>
      <c r="M9" s="93" t="s">
        <v>18</v>
      </c>
      <c r="N9" s="93" t="s">
        <v>19</v>
      </c>
      <c r="O9" s="93" t="s">
        <v>20</v>
      </c>
      <c r="P9" s="93" t="s">
        <v>21</v>
      </c>
      <c r="Q9" s="93" t="s">
        <v>362</v>
      </c>
      <c r="R9" s="93" t="s">
        <v>363</v>
      </c>
      <c r="S9" s="93" t="s">
        <v>364</v>
      </c>
      <c r="T9" s="93" t="s">
        <v>365</v>
      </c>
      <c r="U9" s="93" t="s">
        <v>1493</v>
      </c>
      <c r="V9" s="93" t="s">
        <v>1494</v>
      </c>
      <c r="W9" s="141"/>
      <c r="X9" s="142"/>
      <c r="Y9" s="156"/>
      <c r="Z9" s="156"/>
      <c r="AA9" s="158"/>
      <c r="AB9" s="160"/>
      <c r="AC9" s="154"/>
      <c r="AD9" s="154"/>
      <c r="AE9" s="150"/>
      <c r="AF9" s="150"/>
    </row>
    <row r="10" spans="1:35" ht="10" customHeight="1" x14ac:dyDescent="0.2">
      <c r="B10" s="9" t="s">
        <v>22</v>
      </c>
      <c r="C10" s="9" t="s">
        <v>567</v>
      </c>
      <c r="D10" s="9" t="s">
        <v>22</v>
      </c>
      <c r="E10" s="11" t="s">
        <v>198</v>
      </c>
      <c r="F10" s="96" t="s">
        <v>1039</v>
      </c>
      <c r="G10" s="11" t="s">
        <v>198</v>
      </c>
      <c r="H10" s="11" t="s">
        <v>198</v>
      </c>
      <c r="I10" s="98" t="s">
        <v>1040</v>
      </c>
      <c r="J10" s="96" t="s">
        <v>1041</v>
      </c>
      <c r="K10" s="11" t="s">
        <v>198</v>
      </c>
      <c r="L10" s="11" t="s">
        <v>198</v>
      </c>
      <c r="M10" s="11" t="s">
        <v>198</v>
      </c>
      <c r="N10" s="11" t="s">
        <v>198</v>
      </c>
      <c r="O10" s="11" t="s">
        <v>198</v>
      </c>
      <c r="P10" s="98" t="s">
        <v>25</v>
      </c>
      <c r="Q10" s="11" t="s">
        <v>198</v>
      </c>
      <c r="R10" s="98" t="s">
        <v>1042</v>
      </c>
      <c r="S10" s="98" t="s">
        <v>1043</v>
      </c>
      <c r="T10" s="98" t="s">
        <v>1044</v>
      </c>
      <c r="U10" s="11" t="s">
        <v>198</v>
      </c>
      <c r="V10" s="11" t="s">
        <v>198</v>
      </c>
      <c r="W10" s="11" t="s">
        <v>198</v>
      </c>
      <c r="X10" s="11" t="s">
        <v>198</v>
      </c>
      <c r="Y10" s="20"/>
      <c r="Z10" s="21" t="s">
        <v>254</v>
      </c>
      <c r="AA10" s="91" t="s">
        <v>1823</v>
      </c>
      <c r="AB10" s="22"/>
      <c r="AC10" s="20" t="s">
        <v>196</v>
      </c>
      <c r="AD10" s="20" t="s">
        <v>1562</v>
      </c>
      <c r="AE10" s="22"/>
      <c r="AF10" s="22"/>
    </row>
    <row r="11" spans="1:35" x14ac:dyDescent="0.2">
      <c r="B11" s="9" t="s">
        <v>24</v>
      </c>
      <c r="C11" s="9" t="s">
        <v>568</v>
      </c>
      <c r="D11" s="9" t="s">
        <v>24</v>
      </c>
      <c r="E11" s="96" t="s">
        <v>1045</v>
      </c>
      <c r="F11" s="11" t="s">
        <v>198</v>
      </c>
      <c r="G11" s="96" t="s">
        <v>1046</v>
      </c>
      <c r="H11" s="11" t="s">
        <v>198</v>
      </c>
      <c r="I11" s="98" t="s">
        <v>1047</v>
      </c>
      <c r="J11" s="96" t="s">
        <v>1048</v>
      </c>
      <c r="K11" s="11" t="s">
        <v>198</v>
      </c>
      <c r="L11" s="11" t="s">
        <v>198</v>
      </c>
      <c r="M11" s="11" t="s">
        <v>198</v>
      </c>
      <c r="N11" s="11" t="s">
        <v>198</v>
      </c>
      <c r="O11" s="11" t="s">
        <v>198</v>
      </c>
      <c r="P11" s="98" t="s">
        <v>23</v>
      </c>
      <c r="Q11" s="11" t="s">
        <v>198</v>
      </c>
      <c r="R11" s="98" t="s">
        <v>1049</v>
      </c>
      <c r="S11" s="98" t="s">
        <v>1050</v>
      </c>
      <c r="T11" s="98" t="s">
        <v>1051</v>
      </c>
      <c r="U11" s="11" t="s">
        <v>198</v>
      </c>
      <c r="V11" s="11" t="s">
        <v>198</v>
      </c>
      <c r="W11" s="99" t="s">
        <v>1495</v>
      </c>
      <c r="X11" s="11" t="s">
        <v>198</v>
      </c>
      <c r="Y11" s="20"/>
      <c r="Z11" s="21" t="s">
        <v>254</v>
      </c>
      <c r="AA11" s="91" t="s">
        <v>1823</v>
      </c>
      <c r="AB11" s="22"/>
      <c r="AC11" s="20" t="s">
        <v>196</v>
      </c>
      <c r="AD11" s="20" t="s">
        <v>1562</v>
      </c>
      <c r="AE11" s="22"/>
      <c r="AF11" s="22"/>
    </row>
    <row r="12" spans="1:35" x14ac:dyDescent="0.2">
      <c r="B12" s="9" t="s">
        <v>26</v>
      </c>
      <c r="C12" s="9" t="s">
        <v>569</v>
      </c>
      <c r="D12" s="9" t="s">
        <v>26</v>
      </c>
      <c r="E12" s="11" t="s">
        <v>198</v>
      </c>
      <c r="F12" s="96" t="s">
        <v>1052</v>
      </c>
      <c r="G12" s="11" t="s">
        <v>198</v>
      </c>
      <c r="H12" s="11" t="s">
        <v>198</v>
      </c>
      <c r="I12" s="98" t="s">
        <v>1053</v>
      </c>
      <c r="J12" s="96" t="s">
        <v>1737</v>
      </c>
      <c r="K12" s="11" t="s">
        <v>198</v>
      </c>
      <c r="L12" s="11" t="s">
        <v>198</v>
      </c>
      <c r="M12" s="11" t="s">
        <v>198</v>
      </c>
      <c r="N12" s="11" t="s">
        <v>198</v>
      </c>
      <c r="O12" s="11" t="s">
        <v>198</v>
      </c>
      <c r="P12" s="11" t="s">
        <v>198</v>
      </c>
      <c r="Q12" s="98" t="s">
        <v>1054</v>
      </c>
      <c r="R12" s="98" t="s">
        <v>1055</v>
      </c>
      <c r="S12" s="98" t="s">
        <v>1056</v>
      </c>
      <c r="T12" s="11" t="s">
        <v>198</v>
      </c>
      <c r="U12" s="11" t="s">
        <v>198</v>
      </c>
      <c r="V12" s="96" t="s">
        <v>1496</v>
      </c>
      <c r="W12" s="11" t="s">
        <v>198</v>
      </c>
      <c r="X12" s="11" t="s">
        <v>198</v>
      </c>
      <c r="Y12" s="23"/>
      <c r="Z12" s="21" t="s">
        <v>254</v>
      </c>
      <c r="AA12" s="91" t="s">
        <v>1823</v>
      </c>
      <c r="AB12" s="22"/>
      <c r="AC12" s="20" t="s">
        <v>196</v>
      </c>
      <c r="AD12" s="20" t="s">
        <v>1562</v>
      </c>
      <c r="AE12" s="22"/>
      <c r="AF12" s="22"/>
    </row>
    <row r="13" spans="1:35" x14ac:dyDescent="0.2">
      <c r="B13" s="9" t="s">
        <v>29</v>
      </c>
      <c r="C13" s="9" t="s">
        <v>600</v>
      </c>
      <c r="D13" s="9" t="s">
        <v>29</v>
      </c>
      <c r="E13" s="96" t="s">
        <v>1057</v>
      </c>
      <c r="F13" s="11" t="s">
        <v>198</v>
      </c>
      <c r="G13" s="96" t="s">
        <v>1058</v>
      </c>
      <c r="H13" s="11" t="s">
        <v>198</v>
      </c>
      <c r="I13" s="98" t="s">
        <v>1059</v>
      </c>
      <c r="J13" s="96" t="s">
        <v>1060</v>
      </c>
      <c r="K13" s="11" t="s">
        <v>198</v>
      </c>
      <c r="L13" s="11" t="s">
        <v>198</v>
      </c>
      <c r="M13" s="11" t="s">
        <v>198</v>
      </c>
      <c r="N13" s="11" t="s">
        <v>198</v>
      </c>
      <c r="O13" s="11" t="s">
        <v>198</v>
      </c>
      <c r="P13" s="11" t="s">
        <v>198</v>
      </c>
      <c r="Q13" s="98" t="s">
        <v>1061</v>
      </c>
      <c r="R13" s="98" t="s">
        <v>1062</v>
      </c>
      <c r="S13" s="98" t="s">
        <v>1063</v>
      </c>
      <c r="T13" s="11" t="s">
        <v>198</v>
      </c>
      <c r="U13" s="11" t="s">
        <v>198</v>
      </c>
      <c r="V13" s="96" t="s">
        <v>1497</v>
      </c>
      <c r="W13" s="99" t="s">
        <v>1498</v>
      </c>
      <c r="X13" s="11" t="s">
        <v>198</v>
      </c>
      <c r="Y13" s="23"/>
      <c r="Z13" s="21" t="s">
        <v>254</v>
      </c>
      <c r="AA13" s="91" t="s">
        <v>1823</v>
      </c>
      <c r="AB13" s="22"/>
      <c r="AC13" s="20" t="s">
        <v>196</v>
      </c>
      <c r="AD13" s="20" t="s">
        <v>1562</v>
      </c>
      <c r="AE13" s="22"/>
      <c r="AF13" s="22"/>
    </row>
    <row r="14" spans="1:35" x14ac:dyDescent="0.2">
      <c r="B14" s="9" t="s">
        <v>935</v>
      </c>
      <c r="C14" s="9" t="s">
        <v>602</v>
      </c>
      <c r="D14" s="9" t="s">
        <v>935</v>
      </c>
      <c r="E14" s="11" t="s">
        <v>198</v>
      </c>
      <c r="F14" s="96" t="s">
        <v>1064</v>
      </c>
      <c r="G14" s="11" t="s">
        <v>198</v>
      </c>
      <c r="H14" s="11" t="s">
        <v>198</v>
      </c>
      <c r="I14" s="11" t="s">
        <v>198</v>
      </c>
      <c r="J14" s="11" t="s">
        <v>198</v>
      </c>
      <c r="K14" s="11" t="s">
        <v>198</v>
      </c>
      <c r="L14" s="11" t="s">
        <v>198</v>
      </c>
      <c r="M14" s="11" t="s">
        <v>198</v>
      </c>
      <c r="N14" s="11" t="s">
        <v>198</v>
      </c>
      <c r="O14" s="11" t="s">
        <v>198</v>
      </c>
      <c r="P14" s="11" t="s">
        <v>198</v>
      </c>
      <c r="Q14" s="11" t="s">
        <v>198</v>
      </c>
      <c r="R14" s="98" t="s">
        <v>1065</v>
      </c>
      <c r="S14" s="98" t="s">
        <v>1066</v>
      </c>
      <c r="T14" s="98" t="s">
        <v>1067</v>
      </c>
      <c r="U14" s="11" t="s">
        <v>198</v>
      </c>
      <c r="V14" s="11" t="s">
        <v>198</v>
      </c>
      <c r="W14" s="11" t="s">
        <v>198</v>
      </c>
      <c r="X14" s="11" t="s">
        <v>198</v>
      </c>
      <c r="Y14" s="23"/>
      <c r="Z14" s="21" t="s">
        <v>254</v>
      </c>
      <c r="AA14" s="91" t="s">
        <v>1823</v>
      </c>
      <c r="AB14" s="22"/>
      <c r="AC14" s="20" t="s">
        <v>196</v>
      </c>
      <c r="AD14" s="20" t="s">
        <v>1562</v>
      </c>
      <c r="AE14" s="22"/>
      <c r="AF14" s="22"/>
    </row>
    <row r="15" spans="1:35" x14ac:dyDescent="0.2">
      <c r="B15" s="9" t="s">
        <v>936</v>
      </c>
      <c r="C15" s="9" t="s">
        <v>603</v>
      </c>
      <c r="D15" s="9" t="s">
        <v>936</v>
      </c>
      <c r="E15" s="96" t="s">
        <v>1068</v>
      </c>
      <c r="F15" s="11" t="s">
        <v>198</v>
      </c>
      <c r="G15" s="96" t="s">
        <v>1069</v>
      </c>
      <c r="H15" s="11" t="s">
        <v>198</v>
      </c>
      <c r="I15" s="11" t="s">
        <v>198</v>
      </c>
      <c r="J15" s="11" t="s">
        <v>198</v>
      </c>
      <c r="K15" s="11" t="s">
        <v>198</v>
      </c>
      <c r="L15" s="11" t="s">
        <v>198</v>
      </c>
      <c r="M15" s="11" t="s">
        <v>198</v>
      </c>
      <c r="N15" s="11" t="s">
        <v>198</v>
      </c>
      <c r="O15" s="11" t="s">
        <v>198</v>
      </c>
      <c r="P15" s="11" t="s">
        <v>198</v>
      </c>
      <c r="Q15" s="11" t="s">
        <v>198</v>
      </c>
      <c r="R15" s="98" t="s">
        <v>1070</v>
      </c>
      <c r="S15" s="98" t="s">
        <v>1071</v>
      </c>
      <c r="T15" s="98" t="s">
        <v>1072</v>
      </c>
      <c r="U15" s="11" t="s">
        <v>198</v>
      </c>
      <c r="V15" s="11" t="s">
        <v>198</v>
      </c>
      <c r="W15" s="11" t="s">
        <v>198</v>
      </c>
      <c r="X15" s="11" t="s">
        <v>198</v>
      </c>
      <c r="Y15" s="23"/>
      <c r="Z15" s="21" t="s">
        <v>254</v>
      </c>
      <c r="AA15" s="91" t="s">
        <v>1823</v>
      </c>
      <c r="AB15" s="22"/>
      <c r="AC15" s="20" t="s">
        <v>196</v>
      </c>
      <c r="AD15" s="20" t="s">
        <v>1562</v>
      </c>
      <c r="AE15" s="22"/>
      <c r="AF15" s="22"/>
    </row>
    <row r="16" spans="1:35" x14ac:dyDescent="0.2">
      <c r="B16" s="9" t="s">
        <v>31</v>
      </c>
      <c r="C16" s="9" t="s">
        <v>558</v>
      </c>
      <c r="D16" s="9" t="s">
        <v>31</v>
      </c>
      <c r="E16" s="11" t="s">
        <v>198</v>
      </c>
      <c r="F16" s="11" t="s">
        <v>198</v>
      </c>
      <c r="G16" s="11" t="s">
        <v>198</v>
      </c>
      <c r="H16" s="11" t="s">
        <v>198</v>
      </c>
      <c r="I16" s="11" t="s">
        <v>198</v>
      </c>
      <c r="J16" s="11" t="s">
        <v>198</v>
      </c>
      <c r="K16" s="11" t="s">
        <v>198</v>
      </c>
      <c r="L16" s="11" t="s">
        <v>198</v>
      </c>
      <c r="M16" s="11" t="s">
        <v>198</v>
      </c>
      <c r="N16" s="11" t="s">
        <v>198</v>
      </c>
      <c r="O16" s="98" t="s">
        <v>176</v>
      </c>
      <c r="P16" s="11" t="s">
        <v>198</v>
      </c>
      <c r="Q16" s="11" t="s">
        <v>198</v>
      </c>
      <c r="R16" s="11" t="s">
        <v>198</v>
      </c>
      <c r="S16" s="11" t="s">
        <v>198</v>
      </c>
      <c r="T16" s="11" t="s">
        <v>198</v>
      </c>
      <c r="U16" s="11" t="s">
        <v>198</v>
      </c>
      <c r="V16" s="11" t="s">
        <v>198</v>
      </c>
      <c r="W16" s="99" t="s">
        <v>252</v>
      </c>
      <c r="X16" s="11" t="s">
        <v>198</v>
      </c>
      <c r="Y16" s="23"/>
      <c r="Z16" s="21" t="s">
        <v>254</v>
      </c>
      <c r="AA16" s="91"/>
      <c r="AB16" s="22"/>
      <c r="AC16" s="20" t="s">
        <v>197</v>
      </c>
      <c r="AD16" s="20" t="s">
        <v>1563</v>
      </c>
      <c r="AE16" s="22"/>
      <c r="AF16" s="22"/>
    </row>
    <row r="17" spans="2:32" x14ac:dyDescent="0.2">
      <c r="B17" s="9" t="s">
        <v>32</v>
      </c>
      <c r="C17" s="9" t="s">
        <v>561</v>
      </c>
      <c r="D17" s="9" t="s">
        <v>32</v>
      </c>
      <c r="E17" s="11" t="s">
        <v>198</v>
      </c>
      <c r="F17" s="11" t="s">
        <v>198</v>
      </c>
      <c r="G17" s="11" t="s">
        <v>198</v>
      </c>
      <c r="H17" s="11" t="s">
        <v>198</v>
      </c>
      <c r="I17" s="11" t="s">
        <v>198</v>
      </c>
      <c r="J17" s="11" t="s">
        <v>198</v>
      </c>
      <c r="K17" s="11" t="s">
        <v>198</v>
      </c>
      <c r="L17" s="11" t="s">
        <v>198</v>
      </c>
      <c r="M17" s="11" t="s">
        <v>198</v>
      </c>
      <c r="N17" s="11" t="s">
        <v>198</v>
      </c>
      <c r="O17" s="11" t="s">
        <v>198</v>
      </c>
      <c r="P17" s="11" t="s">
        <v>198</v>
      </c>
      <c r="Q17" s="11" t="s">
        <v>198</v>
      </c>
      <c r="R17" s="11" t="s">
        <v>198</v>
      </c>
      <c r="S17" s="11" t="s">
        <v>198</v>
      </c>
      <c r="T17" s="11" t="s">
        <v>198</v>
      </c>
      <c r="U17" s="11" t="s">
        <v>198</v>
      </c>
      <c r="V17" s="11" t="s">
        <v>198</v>
      </c>
      <c r="W17" s="99" t="s">
        <v>253</v>
      </c>
      <c r="X17" s="11" t="s">
        <v>198</v>
      </c>
      <c r="Y17" s="23"/>
      <c r="Z17" s="21" t="s">
        <v>254</v>
      </c>
      <c r="AA17" s="91"/>
      <c r="AB17" s="22"/>
      <c r="AC17" s="20" t="s">
        <v>197</v>
      </c>
      <c r="AD17" s="20" t="s">
        <v>1563</v>
      </c>
      <c r="AE17" s="22"/>
      <c r="AF17" s="22"/>
    </row>
    <row r="18" spans="2:32" x14ac:dyDescent="0.2">
      <c r="B18" s="9" t="s">
        <v>366</v>
      </c>
      <c r="C18" s="9" t="s">
        <v>564</v>
      </c>
      <c r="D18" s="9" t="s">
        <v>366</v>
      </c>
      <c r="E18" s="11" t="s">
        <v>198</v>
      </c>
      <c r="F18" s="11" t="s">
        <v>198</v>
      </c>
      <c r="G18" s="11" t="s">
        <v>198</v>
      </c>
      <c r="H18" s="11" t="s">
        <v>198</v>
      </c>
      <c r="I18" s="11" t="s">
        <v>198</v>
      </c>
      <c r="J18" s="11" t="s">
        <v>198</v>
      </c>
      <c r="K18" s="11" t="s">
        <v>198</v>
      </c>
      <c r="L18" s="11" t="s">
        <v>198</v>
      </c>
      <c r="M18" s="11" t="s">
        <v>198</v>
      </c>
      <c r="N18" s="11" t="s">
        <v>198</v>
      </c>
      <c r="O18" s="11" t="s">
        <v>198</v>
      </c>
      <c r="P18" s="11" t="s">
        <v>198</v>
      </c>
      <c r="Q18" s="11" t="s">
        <v>198</v>
      </c>
      <c r="R18" s="11" t="s">
        <v>198</v>
      </c>
      <c r="S18" s="11" t="s">
        <v>198</v>
      </c>
      <c r="T18" s="11" t="s">
        <v>198</v>
      </c>
      <c r="U18" s="11" t="s">
        <v>198</v>
      </c>
      <c r="V18" s="11" t="s">
        <v>198</v>
      </c>
      <c r="W18" s="99" t="s">
        <v>250</v>
      </c>
      <c r="X18" s="109" t="s">
        <v>1554</v>
      </c>
      <c r="Y18" s="23"/>
      <c r="Z18" s="21" t="s">
        <v>254</v>
      </c>
      <c r="AA18" s="91"/>
      <c r="AB18" s="22"/>
      <c r="AC18" s="20" t="s">
        <v>197</v>
      </c>
      <c r="AD18" s="20" t="s">
        <v>1563</v>
      </c>
      <c r="AE18" s="22"/>
      <c r="AF18" s="22"/>
    </row>
    <row r="19" spans="2:32" x14ac:dyDescent="0.2">
      <c r="B19" s="9" t="s">
        <v>367</v>
      </c>
      <c r="C19" s="9" t="s">
        <v>562</v>
      </c>
      <c r="D19" s="9" t="s">
        <v>367</v>
      </c>
      <c r="E19" s="11" t="s">
        <v>198</v>
      </c>
      <c r="F19" s="11" t="s">
        <v>198</v>
      </c>
      <c r="G19" s="11" t="s">
        <v>198</v>
      </c>
      <c r="H19" s="11" t="s">
        <v>198</v>
      </c>
      <c r="I19" s="11" t="s">
        <v>198</v>
      </c>
      <c r="J19" s="11" t="s">
        <v>198</v>
      </c>
      <c r="K19" s="11" t="s">
        <v>198</v>
      </c>
      <c r="L19" s="11" t="s">
        <v>198</v>
      </c>
      <c r="M19" s="11" t="s">
        <v>198</v>
      </c>
      <c r="N19" s="11" t="s">
        <v>198</v>
      </c>
      <c r="O19" s="11" t="s">
        <v>198</v>
      </c>
      <c r="P19" s="11" t="s">
        <v>198</v>
      </c>
      <c r="Q19" s="11" t="s">
        <v>198</v>
      </c>
      <c r="R19" s="11" t="s">
        <v>198</v>
      </c>
      <c r="S19" s="11" t="s">
        <v>198</v>
      </c>
      <c r="T19" s="11" t="s">
        <v>198</v>
      </c>
      <c r="U19" s="11" t="s">
        <v>198</v>
      </c>
      <c r="V19" s="11" t="s">
        <v>198</v>
      </c>
      <c r="W19" s="99" t="s">
        <v>251</v>
      </c>
      <c r="X19" s="109" t="s">
        <v>1555</v>
      </c>
      <c r="Y19" s="23"/>
      <c r="Z19" s="21" t="s">
        <v>254</v>
      </c>
      <c r="AA19" s="91"/>
      <c r="AB19" s="22"/>
      <c r="AC19" s="20" t="s">
        <v>197</v>
      </c>
      <c r="AD19" s="20" t="s">
        <v>1563</v>
      </c>
      <c r="AE19" s="22"/>
      <c r="AF19" s="22"/>
    </row>
    <row r="20" spans="2:32" x14ac:dyDescent="0.2">
      <c r="B20" s="9" t="s">
        <v>43</v>
      </c>
      <c r="C20" s="9" t="s">
        <v>595</v>
      </c>
      <c r="D20" s="9" t="s">
        <v>43</v>
      </c>
      <c r="E20" s="98" t="s">
        <v>1073</v>
      </c>
      <c r="F20" s="11" t="s">
        <v>198</v>
      </c>
      <c r="G20" s="98" t="s">
        <v>1074</v>
      </c>
      <c r="H20" s="11" t="s">
        <v>198</v>
      </c>
      <c r="I20" s="11" t="s">
        <v>198</v>
      </c>
      <c r="J20" s="11" t="s">
        <v>198</v>
      </c>
      <c r="K20" s="11" t="s">
        <v>198</v>
      </c>
      <c r="L20" s="11" t="s">
        <v>198</v>
      </c>
      <c r="M20" s="11" t="s">
        <v>198</v>
      </c>
      <c r="N20" s="98" t="s">
        <v>1075</v>
      </c>
      <c r="O20" s="11" t="s">
        <v>198</v>
      </c>
      <c r="P20" s="98" t="s">
        <v>41</v>
      </c>
      <c r="Q20" s="11" t="s">
        <v>198</v>
      </c>
      <c r="R20" s="98" t="s">
        <v>130</v>
      </c>
      <c r="S20" s="11" t="s">
        <v>198</v>
      </c>
      <c r="T20" s="98" t="s">
        <v>1549</v>
      </c>
      <c r="U20" s="98" t="s">
        <v>1552</v>
      </c>
      <c r="V20" s="11" t="s">
        <v>198</v>
      </c>
      <c r="W20" s="11" t="s">
        <v>198</v>
      </c>
      <c r="X20" s="11" t="s">
        <v>198</v>
      </c>
      <c r="Y20" s="23"/>
      <c r="Z20" s="21" t="s">
        <v>254</v>
      </c>
      <c r="AA20" s="91" t="s">
        <v>1823</v>
      </c>
      <c r="AB20" s="22"/>
      <c r="AC20" s="20" t="s">
        <v>197</v>
      </c>
      <c r="AD20" s="20" t="s">
        <v>1562</v>
      </c>
      <c r="AE20" s="22"/>
      <c r="AF20" s="22"/>
    </row>
    <row r="21" spans="2:32" x14ac:dyDescent="0.2">
      <c r="B21" s="9" t="s">
        <v>45</v>
      </c>
      <c r="C21" s="9" t="s">
        <v>601</v>
      </c>
      <c r="D21" s="9" t="s">
        <v>45</v>
      </c>
      <c r="E21" s="11" t="s">
        <v>198</v>
      </c>
      <c r="F21" s="96" t="s">
        <v>1077</v>
      </c>
      <c r="G21" s="11" t="s">
        <v>198</v>
      </c>
      <c r="H21" s="11" t="s">
        <v>198</v>
      </c>
      <c r="I21" s="11" t="s">
        <v>198</v>
      </c>
      <c r="J21" s="11" t="s">
        <v>198</v>
      </c>
      <c r="K21" s="11" t="s">
        <v>198</v>
      </c>
      <c r="L21" s="11" t="s">
        <v>198</v>
      </c>
      <c r="M21" s="11" t="s">
        <v>198</v>
      </c>
      <c r="N21" s="96" t="s">
        <v>1078</v>
      </c>
      <c r="O21" s="11" t="s">
        <v>198</v>
      </c>
      <c r="P21" s="98" t="s">
        <v>35</v>
      </c>
      <c r="Q21" s="11" t="s">
        <v>198</v>
      </c>
      <c r="R21" s="98" t="s">
        <v>132</v>
      </c>
      <c r="S21" s="11" t="s">
        <v>198</v>
      </c>
      <c r="T21" s="11" t="s">
        <v>198</v>
      </c>
      <c r="U21" s="96" t="s">
        <v>199</v>
      </c>
      <c r="V21" s="11" t="s">
        <v>198</v>
      </c>
      <c r="W21" s="99" t="s">
        <v>1500</v>
      </c>
      <c r="X21" s="11" t="s">
        <v>198</v>
      </c>
      <c r="Y21" s="23"/>
      <c r="Z21" s="21" t="s">
        <v>254</v>
      </c>
      <c r="AA21" s="91" t="s">
        <v>1823</v>
      </c>
      <c r="AB21" s="22"/>
      <c r="AC21" s="20" t="s">
        <v>197</v>
      </c>
      <c r="AD21" s="20" t="s">
        <v>927</v>
      </c>
      <c r="AE21" s="22"/>
      <c r="AF21" s="22"/>
    </row>
    <row r="22" spans="2:32" x14ac:dyDescent="0.2">
      <c r="B22" s="9" t="s">
        <v>47</v>
      </c>
      <c r="C22" s="9" t="s">
        <v>596</v>
      </c>
      <c r="D22" s="9" t="s">
        <v>47</v>
      </c>
      <c r="E22" s="11" t="s">
        <v>198</v>
      </c>
      <c r="F22" s="11" t="s">
        <v>198</v>
      </c>
      <c r="G22" s="11" t="s">
        <v>198</v>
      </c>
      <c r="H22" s="11" t="s">
        <v>198</v>
      </c>
      <c r="I22" s="11" t="s">
        <v>198</v>
      </c>
      <c r="J22" s="11" t="s">
        <v>198</v>
      </c>
      <c r="K22" s="11" t="s">
        <v>198</v>
      </c>
      <c r="L22" s="11" t="s">
        <v>198</v>
      </c>
      <c r="M22" s="11" t="s">
        <v>198</v>
      </c>
      <c r="N22" s="11" t="s">
        <v>198</v>
      </c>
      <c r="O22" s="11" t="s">
        <v>198</v>
      </c>
      <c r="P22" s="11" t="s">
        <v>198</v>
      </c>
      <c r="Q22" s="98" t="s">
        <v>1079</v>
      </c>
      <c r="R22" s="11" t="s">
        <v>198</v>
      </c>
      <c r="S22" s="11" t="s">
        <v>198</v>
      </c>
      <c r="T22" s="98" t="s">
        <v>33</v>
      </c>
      <c r="U22" s="98" t="s">
        <v>1499</v>
      </c>
      <c r="V22" s="11" t="s">
        <v>198</v>
      </c>
      <c r="W22" s="99" t="s">
        <v>1501</v>
      </c>
      <c r="X22" s="11" t="s">
        <v>198</v>
      </c>
      <c r="Y22" s="23"/>
      <c r="Z22" s="21" t="s">
        <v>254</v>
      </c>
      <c r="AA22" s="91"/>
      <c r="AB22" s="22"/>
      <c r="AC22" s="20" t="s">
        <v>197</v>
      </c>
      <c r="AD22" s="20" t="s">
        <v>1562</v>
      </c>
      <c r="AE22" s="22"/>
      <c r="AF22" s="22"/>
    </row>
    <row r="23" spans="2:32" x14ac:dyDescent="0.2">
      <c r="B23" s="9" t="s">
        <v>368</v>
      </c>
      <c r="C23" s="9" t="s">
        <v>598</v>
      </c>
      <c r="D23" s="9" t="s">
        <v>368</v>
      </c>
      <c r="E23" s="11" t="s">
        <v>198</v>
      </c>
      <c r="F23" s="11" t="s">
        <v>198</v>
      </c>
      <c r="G23" s="11" t="s">
        <v>198</v>
      </c>
      <c r="H23" s="11" t="s">
        <v>198</v>
      </c>
      <c r="I23" s="11" t="s">
        <v>198</v>
      </c>
      <c r="J23" s="11" t="s">
        <v>198</v>
      </c>
      <c r="K23" s="11" t="s">
        <v>198</v>
      </c>
      <c r="L23" s="11" t="s">
        <v>198</v>
      </c>
      <c r="M23" s="11" t="s">
        <v>198</v>
      </c>
      <c r="N23" s="11" t="s">
        <v>198</v>
      </c>
      <c r="O23" s="11" t="s">
        <v>198</v>
      </c>
      <c r="P23" s="11" t="s">
        <v>198</v>
      </c>
      <c r="Q23" s="11" t="s">
        <v>198</v>
      </c>
      <c r="R23" s="11" t="s">
        <v>198</v>
      </c>
      <c r="S23" s="11" t="s">
        <v>198</v>
      </c>
      <c r="T23" s="11" t="s">
        <v>198</v>
      </c>
      <c r="U23" s="98" t="s">
        <v>1502</v>
      </c>
      <c r="V23" s="11" t="s">
        <v>198</v>
      </c>
      <c r="W23" s="11" t="s">
        <v>198</v>
      </c>
      <c r="X23" s="11" t="s">
        <v>198</v>
      </c>
      <c r="Y23" s="23"/>
      <c r="Z23" s="21" t="s">
        <v>254</v>
      </c>
      <c r="AA23" s="91"/>
      <c r="AB23" s="22"/>
      <c r="AC23" s="20" t="s">
        <v>197</v>
      </c>
      <c r="AD23" s="20" t="s">
        <v>1562</v>
      </c>
      <c r="AE23" s="22"/>
      <c r="AF23" s="22"/>
    </row>
    <row r="24" spans="2:32" x14ac:dyDescent="0.2">
      <c r="B24" s="9" t="s">
        <v>49</v>
      </c>
      <c r="C24" s="9" t="s">
        <v>421</v>
      </c>
      <c r="D24" s="9" t="s">
        <v>49</v>
      </c>
      <c r="E24" s="96" t="s">
        <v>1080</v>
      </c>
      <c r="F24" s="11" t="s">
        <v>198</v>
      </c>
      <c r="G24" s="96" t="s">
        <v>1081</v>
      </c>
      <c r="H24" s="11" t="s">
        <v>198</v>
      </c>
      <c r="I24" s="11" t="s">
        <v>198</v>
      </c>
      <c r="J24" s="11" t="s">
        <v>198</v>
      </c>
      <c r="K24" s="11" t="s">
        <v>198</v>
      </c>
      <c r="L24" s="11" t="s">
        <v>198</v>
      </c>
      <c r="M24" s="11" t="s">
        <v>198</v>
      </c>
      <c r="N24" s="98" t="s">
        <v>1082</v>
      </c>
      <c r="O24" s="11" t="s">
        <v>198</v>
      </c>
      <c r="P24" s="98" t="s">
        <v>38</v>
      </c>
      <c r="Q24" s="11" t="s">
        <v>198</v>
      </c>
      <c r="R24" s="98" t="s">
        <v>1540</v>
      </c>
      <c r="S24" s="11" t="s">
        <v>198</v>
      </c>
      <c r="T24" s="11" t="s">
        <v>198</v>
      </c>
      <c r="U24" s="98" t="s">
        <v>1503</v>
      </c>
      <c r="V24" s="11" t="s">
        <v>198</v>
      </c>
      <c r="W24" s="11" t="s">
        <v>198</v>
      </c>
      <c r="X24" s="11" t="s">
        <v>198</v>
      </c>
      <c r="Y24" s="23"/>
      <c r="Z24" s="21" t="s">
        <v>254</v>
      </c>
      <c r="AA24" s="91" t="s">
        <v>1823</v>
      </c>
      <c r="AB24" s="22"/>
      <c r="AC24" s="20" t="s">
        <v>197</v>
      </c>
      <c r="AD24" s="20" t="s">
        <v>1561</v>
      </c>
      <c r="AE24" s="22"/>
      <c r="AF24" s="22"/>
    </row>
    <row r="25" spans="2:32" x14ac:dyDescent="0.2">
      <c r="B25" s="9" t="s">
        <v>50</v>
      </c>
      <c r="C25" s="9" t="s">
        <v>722</v>
      </c>
      <c r="D25" s="9" t="s">
        <v>50</v>
      </c>
      <c r="E25" s="11" t="s">
        <v>198</v>
      </c>
      <c r="F25" s="96" t="s">
        <v>1083</v>
      </c>
      <c r="G25" s="11" t="s">
        <v>198</v>
      </c>
      <c r="H25" s="11" t="s">
        <v>198</v>
      </c>
      <c r="I25" s="11" t="s">
        <v>198</v>
      </c>
      <c r="J25" s="11" t="s">
        <v>198</v>
      </c>
      <c r="K25" s="11" t="s">
        <v>198</v>
      </c>
      <c r="L25" s="11" t="s">
        <v>198</v>
      </c>
      <c r="M25" s="11" t="s">
        <v>198</v>
      </c>
      <c r="N25" s="11" t="s">
        <v>198</v>
      </c>
      <c r="O25" s="11" t="s">
        <v>198</v>
      </c>
      <c r="P25" s="11" t="s">
        <v>198</v>
      </c>
      <c r="Q25" s="11" t="s">
        <v>198</v>
      </c>
      <c r="R25" s="98" t="s">
        <v>39</v>
      </c>
      <c r="S25" s="11" t="s">
        <v>198</v>
      </c>
      <c r="T25" s="11" t="s">
        <v>198</v>
      </c>
      <c r="U25" s="11" t="s">
        <v>198</v>
      </c>
      <c r="V25" s="11" t="s">
        <v>198</v>
      </c>
      <c r="W25" s="99" t="s">
        <v>1504</v>
      </c>
      <c r="X25" s="11" t="s">
        <v>198</v>
      </c>
      <c r="Y25" s="23"/>
      <c r="Z25" s="21" t="s">
        <v>254</v>
      </c>
      <c r="AA25" s="91" t="s">
        <v>1823</v>
      </c>
      <c r="AB25" s="22"/>
      <c r="AC25" s="20" t="s">
        <v>197</v>
      </c>
      <c r="AD25" s="20" t="s">
        <v>1561</v>
      </c>
      <c r="AE25" s="22"/>
      <c r="AF25" s="22"/>
    </row>
    <row r="26" spans="2:32" x14ac:dyDescent="0.2">
      <c r="B26" s="9" t="s">
        <v>51</v>
      </c>
      <c r="C26" s="9" t="s">
        <v>597</v>
      </c>
      <c r="D26" s="9" t="s">
        <v>51</v>
      </c>
      <c r="E26" s="96" t="s">
        <v>1084</v>
      </c>
      <c r="F26" s="11" t="s">
        <v>198</v>
      </c>
      <c r="G26" s="96" t="s">
        <v>1085</v>
      </c>
      <c r="H26" s="11" t="s">
        <v>198</v>
      </c>
      <c r="I26" s="11" t="s">
        <v>198</v>
      </c>
      <c r="J26" s="11" t="s">
        <v>198</v>
      </c>
      <c r="K26" s="11" t="s">
        <v>198</v>
      </c>
      <c r="L26" s="11" t="s">
        <v>198</v>
      </c>
      <c r="M26" s="11" t="s">
        <v>198</v>
      </c>
      <c r="N26" s="11" t="s">
        <v>198</v>
      </c>
      <c r="O26" s="11" t="s">
        <v>198</v>
      </c>
      <c r="P26" s="11" t="s">
        <v>198</v>
      </c>
      <c r="Q26" s="11" t="s">
        <v>198</v>
      </c>
      <c r="R26" s="98" t="s">
        <v>28</v>
      </c>
      <c r="S26" s="11" t="s">
        <v>198</v>
      </c>
      <c r="T26" s="11" t="s">
        <v>198</v>
      </c>
      <c r="U26" s="98" t="s">
        <v>1505</v>
      </c>
      <c r="V26" s="11" t="s">
        <v>198</v>
      </c>
      <c r="W26" s="11" t="s">
        <v>198</v>
      </c>
      <c r="X26" s="11" t="s">
        <v>198</v>
      </c>
      <c r="Y26" s="23"/>
      <c r="Z26" s="21" t="s">
        <v>254</v>
      </c>
      <c r="AA26" s="91" t="s">
        <v>1823</v>
      </c>
      <c r="AB26" s="22"/>
      <c r="AC26" s="20" t="s">
        <v>197</v>
      </c>
      <c r="AD26" s="20" t="s">
        <v>1561</v>
      </c>
      <c r="AE26" s="22"/>
      <c r="AF26" s="22"/>
    </row>
    <row r="27" spans="2:32" x14ac:dyDescent="0.2">
      <c r="B27" s="9" t="s">
        <v>52</v>
      </c>
      <c r="C27" s="9" t="s">
        <v>424</v>
      </c>
      <c r="D27" s="9" t="s">
        <v>52</v>
      </c>
      <c r="E27" s="11" t="s">
        <v>198</v>
      </c>
      <c r="F27" s="96" t="s">
        <v>1086</v>
      </c>
      <c r="G27" s="11" t="s">
        <v>198</v>
      </c>
      <c r="H27" s="11" t="s">
        <v>198</v>
      </c>
      <c r="I27" s="11" t="s">
        <v>198</v>
      </c>
      <c r="J27" s="11" t="s">
        <v>198</v>
      </c>
      <c r="K27" s="11" t="s">
        <v>198</v>
      </c>
      <c r="L27" s="11" t="s">
        <v>198</v>
      </c>
      <c r="M27" s="11" t="s">
        <v>198</v>
      </c>
      <c r="N27" s="11" t="s">
        <v>198</v>
      </c>
      <c r="O27" s="98" t="s">
        <v>176</v>
      </c>
      <c r="P27" s="11" t="s">
        <v>198</v>
      </c>
      <c r="Q27" s="11" t="s">
        <v>198</v>
      </c>
      <c r="R27" s="98" t="s">
        <v>30</v>
      </c>
      <c r="S27" s="11" t="s">
        <v>198</v>
      </c>
      <c r="T27" s="11" t="s">
        <v>198</v>
      </c>
      <c r="U27" s="98" t="s">
        <v>1506</v>
      </c>
      <c r="V27" s="11" t="s">
        <v>198</v>
      </c>
      <c r="W27" s="99" t="s">
        <v>1507</v>
      </c>
      <c r="X27" s="11" t="s">
        <v>198</v>
      </c>
      <c r="Y27" s="23"/>
      <c r="Z27" s="21" t="s">
        <v>254</v>
      </c>
      <c r="AA27" s="91" t="s">
        <v>1823</v>
      </c>
      <c r="AB27" s="22"/>
      <c r="AC27" s="20" t="s">
        <v>197</v>
      </c>
      <c r="AD27" s="20" t="s">
        <v>1561</v>
      </c>
      <c r="AE27" s="22"/>
      <c r="AF27" s="22"/>
    </row>
    <row r="28" spans="2:32" x14ac:dyDescent="0.2">
      <c r="B28" s="9" t="s">
        <v>53</v>
      </c>
      <c r="C28" s="12" t="s">
        <v>422</v>
      </c>
      <c r="D28" s="9" t="s">
        <v>53</v>
      </c>
      <c r="E28" s="96" t="s">
        <v>1087</v>
      </c>
      <c r="F28" s="11" t="s">
        <v>198</v>
      </c>
      <c r="G28" s="96" t="s">
        <v>1088</v>
      </c>
      <c r="H28" s="11" t="s">
        <v>198</v>
      </c>
      <c r="I28" s="11" t="s">
        <v>198</v>
      </c>
      <c r="J28" s="11" t="s">
        <v>198</v>
      </c>
      <c r="K28" s="11" t="s">
        <v>198</v>
      </c>
      <c r="L28" s="11" t="s">
        <v>198</v>
      </c>
      <c r="M28" s="11" t="s">
        <v>198</v>
      </c>
      <c r="N28" s="11" t="s">
        <v>198</v>
      </c>
      <c r="O28" s="11" t="s">
        <v>198</v>
      </c>
      <c r="P28" s="98" t="s">
        <v>27</v>
      </c>
      <c r="Q28" s="98" t="s">
        <v>1089</v>
      </c>
      <c r="R28" s="98" t="s">
        <v>1090</v>
      </c>
      <c r="S28" s="11" t="s">
        <v>198</v>
      </c>
      <c r="T28" s="98" t="s">
        <v>1550</v>
      </c>
      <c r="U28" s="11" t="s">
        <v>198</v>
      </c>
      <c r="V28" s="11" t="s">
        <v>198</v>
      </c>
      <c r="W28" s="11" t="s">
        <v>198</v>
      </c>
      <c r="X28" s="11" t="s">
        <v>198</v>
      </c>
      <c r="Y28" s="23"/>
      <c r="Z28" s="21" t="s">
        <v>254</v>
      </c>
      <c r="AA28" s="91" t="s">
        <v>1823</v>
      </c>
      <c r="AB28" s="22"/>
      <c r="AC28" s="20" t="s">
        <v>197</v>
      </c>
      <c r="AD28" s="20" t="s">
        <v>1561</v>
      </c>
      <c r="AE28" s="22"/>
      <c r="AF28" s="22"/>
    </row>
    <row r="29" spans="2:32" x14ac:dyDescent="0.2">
      <c r="B29" s="9" t="s">
        <v>54</v>
      </c>
      <c r="C29" s="9" t="s">
        <v>423</v>
      </c>
      <c r="D29" s="9" t="s">
        <v>54</v>
      </c>
      <c r="E29" s="11" t="s">
        <v>198</v>
      </c>
      <c r="F29" s="96" t="s">
        <v>1092</v>
      </c>
      <c r="G29" s="11" t="s">
        <v>198</v>
      </c>
      <c r="H29" s="11" t="s">
        <v>198</v>
      </c>
      <c r="I29" s="11" t="s">
        <v>198</v>
      </c>
      <c r="J29" s="11" t="s">
        <v>198</v>
      </c>
      <c r="K29" s="11" t="s">
        <v>198</v>
      </c>
      <c r="L29" s="11" t="s">
        <v>198</v>
      </c>
      <c r="M29" s="11" t="s">
        <v>198</v>
      </c>
      <c r="N29" s="11" t="s">
        <v>198</v>
      </c>
      <c r="O29" s="98" t="s">
        <v>1802</v>
      </c>
      <c r="P29" s="11" t="s">
        <v>198</v>
      </c>
      <c r="Q29" s="96" t="s">
        <v>1729</v>
      </c>
      <c r="R29" s="11" t="s">
        <v>198</v>
      </c>
      <c r="S29" s="11" t="s">
        <v>198</v>
      </c>
      <c r="T29" s="96" t="s">
        <v>1093</v>
      </c>
      <c r="U29" s="11" t="s">
        <v>198</v>
      </c>
      <c r="V29" s="11" t="s">
        <v>198</v>
      </c>
      <c r="W29" s="11" t="s">
        <v>198</v>
      </c>
      <c r="X29" s="11" t="s">
        <v>198</v>
      </c>
      <c r="Y29" s="23"/>
      <c r="Z29" s="21" t="s">
        <v>254</v>
      </c>
      <c r="AA29" s="91" t="s">
        <v>1823</v>
      </c>
      <c r="AB29" s="22"/>
      <c r="AC29" s="20" t="s">
        <v>197</v>
      </c>
      <c r="AD29" s="20" t="s">
        <v>1564</v>
      </c>
      <c r="AE29" s="22"/>
      <c r="AF29" s="22"/>
    </row>
    <row r="30" spans="2:32" x14ac:dyDescent="0.2">
      <c r="B30" s="9" t="s">
        <v>57</v>
      </c>
      <c r="C30" s="9" t="s">
        <v>599</v>
      </c>
      <c r="D30" s="9" t="s">
        <v>57</v>
      </c>
      <c r="E30" s="96" t="s">
        <v>1094</v>
      </c>
      <c r="F30" s="11" t="s">
        <v>198</v>
      </c>
      <c r="G30" s="96" t="s">
        <v>1095</v>
      </c>
      <c r="H30" s="11" t="s">
        <v>198</v>
      </c>
      <c r="I30" s="11" t="s">
        <v>198</v>
      </c>
      <c r="J30" s="11" t="s">
        <v>198</v>
      </c>
      <c r="K30" s="11" t="s">
        <v>198</v>
      </c>
      <c r="L30" s="11" t="s">
        <v>198</v>
      </c>
      <c r="M30" s="11" t="s">
        <v>198</v>
      </c>
      <c r="N30" s="11" t="s">
        <v>198</v>
      </c>
      <c r="O30" s="98" t="s">
        <v>1096</v>
      </c>
      <c r="P30" s="11" t="s">
        <v>198</v>
      </c>
      <c r="Q30" s="96" t="s">
        <v>1097</v>
      </c>
      <c r="R30" s="11" t="s">
        <v>198</v>
      </c>
      <c r="S30" s="11" t="s">
        <v>198</v>
      </c>
      <c r="T30" s="96" t="s">
        <v>1098</v>
      </c>
      <c r="U30" s="11" t="s">
        <v>198</v>
      </c>
      <c r="V30" s="11" t="s">
        <v>198</v>
      </c>
      <c r="W30" s="11" t="s">
        <v>198</v>
      </c>
      <c r="X30" s="11" t="s">
        <v>198</v>
      </c>
      <c r="Y30" s="23"/>
      <c r="Z30" s="21" t="s">
        <v>254</v>
      </c>
      <c r="AA30" s="91" t="s">
        <v>1823</v>
      </c>
      <c r="AB30" s="22"/>
      <c r="AC30" s="20" t="s">
        <v>197</v>
      </c>
      <c r="AD30" s="20" t="s">
        <v>1564</v>
      </c>
      <c r="AE30" s="22"/>
      <c r="AF30" s="22"/>
    </row>
    <row r="31" spans="2:32" x14ac:dyDescent="0.2">
      <c r="B31" s="9" t="s">
        <v>59</v>
      </c>
      <c r="C31" s="9" t="s">
        <v>429</v>
      </c>
      <c r="D31" s="9" t="s">
        <v>59</v>
      </c>
      <c r="E31" s="11" t="s">
        <v>198</v>
      </c>
      <c r="F31" s="96" t="s">
        <v>1099</v>
      </c>
      <c r="G31" s="11" t="s">
        <v>198</v>
      </c>
      <c r="H31" s="11" t="s">
        <v>198</v>
      </c>
      <c r="I31" s="11" t="s">
        <v>198</v>
      </c>
      <c r="J31" s="11" t="s">
        <v>198</v>
      </c>
      <c r="K31" s="11" t="s">
        <v>198</v>
      </c>
      <c r="L31" s="11" t="s">
        <v>198</v>
      </c>
      <c r="M31" s="11" t="s">
        <v>198</v>
      </c>
      <c r="N31" s="11" t="s">
        <v>198</v>
      </c>
      <c r="O31" s="98" t="s">
        <v>1100</v>
      </c>
      <c r="P31" s="11" t="s">
        <v>198</v>
      </c>
      <c r="Q31" s="98" t="s">
        <v>1101</v>
      </c>
      <c r="R31" s="11" t="s">
        <v>198</v>
      </c>
      <c r="S31" s="11" t="s">
        <v>198</v>
      </c>
      <c r="T31" s="98" t="s">
        <v>1102</v>
      </c>
      <c r="U31" s="11" t="s">
        <v>198</v>
      </c>
      <c r="V31" s="11" t="s">
        <v>198</v>
      </c>
      <c r="W31" s="11" t="s">
        <v>198</v>
      </c>
      <c r="X31" s="11" t="s">
        <v>198</v>
      </c>
      <c r="Y31" s="23"/>
      <c r="Z31" s="21" t="s">
        <v>254</v>
      </c>
      <c r="AA31" s="91" t="s">
        <v>1823</v>
      </c>
      <c r="AB31" s="22"/>
      <c r="AC31" s="20" t="s">
        <v>197</v>
      </c>
      <c r="AD31" s="20" t="s">
        <v>1564</v>
      </c>
      <c r="AE31" s="22"/>
      <c r="AF31" s="22"/>
    </row>
    <row r="32" spans="2:32" x14ac:dyDescent="0.2">
      <c r="B32" s="9" t="s">
        <v>62</v>
      </c>
      <c r="C32" s="9" t="s">
        <v>425</v>
      </c>
      <c r="D32" s="9" t="s">
        <v>62</v>
      </c>
      <c r="E32" s="96" t="s">
        <v>1103</v>
      </c>
      <c r="F32" s="11" t="s">
        <v>198</v>
      </c>
      <c r="G32" s="96" t="s">
        <v>1104</v>
      </c>
      <c r="H32" s="11" t="s">
        <v>198</v>
      </c>
      <c r="I32" s="11" t="s">
        <v>198</v>
      </c>
      <c r="J32" s="11" t="s">
        <v>198</v>
      </c>
      <c r="K32" s="11" t="s">
        <v>198</v>
      </c>
      <c r="L32" s="11" t="s">
        <v>198</v>
      </c>
      <c r="M32" s="11" t="s">
        <v>198</v>
      </c>
      <c r="N32" s="11" t="s">
        <v>198</v>
      </c>
      <c r="O32" s="98" t="s">
        <v>1105</v>
      </c>
      <c r="P32" s="11" t="s">
        <v>198</v>
      </c>
      <c r="Q32" s="98" t="s">
        <v>1106</v>
      </c>
      <c r="R32" s="11" t="s">
        <v>198</v>
      </c>
      <c r="S32" s="11" t="s">
        <v>198</v>
      </c>
      <c r="T32" s="11" t="s">
        <v>198</v>
      </c>
      <c r="U32" s="11" t="s">
        <v>198</v>
      </c>
      <c r="V32" s="11" t="s">
        <v>198</v>
      </c>
      <c r="W32" s="11" t="s">
        <v>198</v>
      </c>
      <c r="X32" s="11" t="s">
        <v>198</v>
      </c>
      <c r="Y32" s="23"/>
      <c r="Z32" s="21" t="s">
        <v>254</v>
      </c>
      <c r="AA32" s="91" t="s">
        <v>1823</v>
      </c>
      <c r="AB32" s="22"/>
      <c r="AC32" s="20" t="s">
        <v>197</v>
      </c>
      <c r="AD32" s="20" t="s">
        <v>1564</v>
      </c>
      <c r="AE32" s="22"/>
      <c r="AF32" s="22"/>
    </row>
    <row r="33" spans="2:32" x14ac:dyDescent="0.2">
      <c r="B33" s="12" t="s">
        <v>64</v>
      </c>
      <c r="C33" s="9" t="s">
        <v>426</v>
      </c>
      <c r="D33" s="12" t="s">
        <v>64</v>
      </c>
      <c r="E33" s="11" t="s">
        <v>198</v>
      </c>
      <c r="F33" s="100" t="s">
        <v>1107</v>
      </c>
      <c r="G33" s="11" t="s">
        <v>198</v>
      </c>
      <c r="H33" s="11" t="s">
        <v>198</v>
      </c>
      <c r="I33" s="100" t="s">
        <v>1108</v>
      </c>
      <c r="J33" s="98" t="s">
        <v>1109</v>
      </c>
      <c r="K33" s="11" t="s">
        <v>198</v>
      </c>
      <c r="L33" s="11" t="s">
        <v>198</v>
      </c>
      <c r="M33" s="11" t="s">
        <v>198</v>
      </c>
      <c r="N33" s="98" t="s">
        <v>1075</v>
      </c>
      <c r="O33" s="98" t="s">
        <v>1110</v>
      </c>
      <c r="P33" s="98" t="s">
        <v>41</v>
      </c>
      <c r="Q33" s="98" t="s">
        <v>1111</v>
      </c>
      <c r="R33" s="11" t="s">
        <v>198</v>
      </c>
      <c r="S33" s="11" t="s">
        <v>198</v>
      </c>
      <c r="T33" s="11" t="s">
        <v>198</v>
      </c>
      <c r="U33" s="11" t="s">
        <v>198</v>
      </c>
      <c r="V33" s="11" t="s">
        <v>198</v>
      </c>
      <c r="W33" s="11" t="s">
        <v>198</v>
      </c>
      <c r="X33" s="11" t="s">
        <v>198</v>
      </c>
      <c r="Y33" s="23"/>
      <c r="Z33" s="21" t="s">
        <v>254</v>
      </c>
      <c r="AA33" s="91" t="s">
        <v>1823</v>
      </c>
      <c r="AB33" s="22"/>
      <c r="AC33" s="20" t="s">
        <v>197</v>
      </c>
      <c r="AD33" s="20" t="s">
        <v>1564</v>
      </c>
      <c r="AE33" s="22"/>
      <c r="AF33" s="22"/>
    </row>
    <row r="34" spans="2:32" x14ac:dyDescent="0.2">
      <c r="B34" s="9" t="s">
        <v>369</v>
      </c>
      <c r="C34" s="9" t="s">
        <v>431</v>
      </c>
      <c r="D34" s="9" t="s">
        <v>369</v>
      </c>
      <c r="E34" s="96" t="s">
        <v>1112</v>
      </c>
      <c r="F34" s="11" t="s">
        <v>198</v>
      </c>
      <c r="G34" s="96" t="s">
        <v>1113</v>
      </c>
      <c r="H34" s="11" t="s">
        <v>198</v>
      </c>
      <c r="I34" s="96" t="s">
        <v>1114</v>
      </c>
      <c r="J34" s="98" t="s">
        <v>1115</v>
      </c>
      <c r="K34" s="11" t="s">
        <v>198</v>
      </c>
      <c r="L34" s="11" t="s">
        <v>198</v>
      </c>
      <c r="M34" s="11" t="s">
        <v>198</v>
      </c>
      <c r="N34" s="98" t="s">
        <v>1078</v>
      </c>
      <c r="O34" s="98" t="s">
        <v>1116</v>
      </c>
      <c r="P34" s="98" t="s">
        <v>35</v>
      </c>
      <c r="Q34" s="98" t="s">
        <v>1117</v>
      </c>
      <c r="R34" s="11" t="s">
        <v>198</v>
      </c>
      <c r="S34" s="11" t="s">
        <v>198</v>
      </c>
      <c r="T34" s="11" t="s">
        <v>198</v>
      </c>
      <c r="U34" s="11" t="s">
        <v>198</v>
      </c>
      <c r="V34" s="11" t="s">
        <v>198</v>
      </c>
      <c r="W34" s="99" t="s">
        <v>1508</v>
      </c>
      <c r="X34" s="11" t="s">
        <v>198</v>
      </c>
      <c r="Y34" s="23"/>
      <c r="Z34" s="21" t="s">
        <v>254</v>
      </c>
      <c r="AA34" s="91" t="s">
        <v>1823</v>
      </c>
      <c r="AB34" s="22"/>
      <c r="AC34" s="20" t="s">
        <v>197</v>
      </c>
      <c r="AD34" s="20" t="s">
        <v>1564</v>
      </c>
      <c r="AE34" s="22"/>
      <c r="AF34" s="22"/>
    </row>
    <row r="35" spans="2:32" x14ac:dyDescent="0.2">
      <c r="B35" s="9" t="s">
        <v>371</v>
      </c>
      <c r="C35" s="9" t="s">
        <v>430</v>
      </c>
      <c r="D35" s="9" t="s">
        <v>371</v>
      </c>
      <c r="E35" s="11" t="s">
        <v>198</v>
      </c>
      <c r="F35" s="96" t="s">
        <v>1118</v>
      </c>
      <c r="G35" s="11" t="s">
        <v>198</v>
      </c>
      <c r="H35" s="11" t="s">
        <v>198</v>
      </c>
      <c r="I35" s="98" t="s">
        <v>1119</v>
      </c>
      <c r="J35" s="98" t="s">
        <v>1120</v>
      </c>
      <c r="K35" s="11" t="s">
        <v>198</v>
      </c>
      <c r="L35" s="11" t="s">
        <v>198</v>
      </c>
      <c r="M35" s="11" t="s">
        <v>198</v>
      </c>
      <c r="N35" s="96" t="s">
        <v>1082</v>
      </c>
      <c r="O35" s="98" t="s">
        <v>1121</v>
      </c>
      <c r="P35" s="98" t="s">
        <v>38</v>
      </c>
      <c r="Q35" s="98" t="s">
        <v>1122</v>
      </c>
      <c r="R35" s="11" t="s">
        <v>198</v>
      </c>
      <c r="S35" s="11" t="s">
        <v>198</v>
      </c>
      <c r="T35" s="11" t="s">
        <v>198</v>
      </c>
      <c r="U35" s="11" t="s">
        <v>198</v>
      </c>
      <c r="V35" s="11" t="s">
        <v>198</v>
      </c>
      <c r="W35" s="11" t="s">
        <v>198</v>
      </c>
      <c r="X35" s="11" t="s">
        <v>198</v>
      </c>
      <c r="Y35" s="23"/>
      <c r="Z35" s="21" t="s">
        <v>254</v>
      </c>
      <c r="AA35" s="91" t="s">
        <v>1823</v>
      </c>
      <c r="AB35" s="22"/>
      <c r="AC35" s="20" t="s">
        <v>197</v>
      </c>
      <c r="AD35" s="20" t="s">
        <v>1564</v>
      </c>
      <c r="AE35" s="22"/>
      <c r="AF35" s="22"/>
    </row>
    <row r="36" spans="2:32" x14ac:dyDescent="0.2">
      <c r="B36" s="9" t="s">
        <v>937</v>
      </c>
      <c r="C36" s="9" t="s">
        <v>428</v>
      </c>
      <c r="D36" s="9" t="s">
        <v>937</v>
      </c>
      <c r="E36" s="96" t="s">
        <v>1123</v>
      </c>
      <c r="F36" s="11" t="s">
        <v>198</v>
      </c>
      <c r="G36" s="96" t="s">
        <v>1124</v>
      </c>
      <c r="H36" s="11" t="s">
        <v>198</v>
      </c>
      <c r="I36" s="98" t="s">
        <v>1125</v>
      </c>
      <c r="J36" s="98" t="s">
        <v>1126</v>
      </c>
      <c r="K36" s="11" t="s">
        <v>198</v>
      </c>
      <c r="L36" s="11" t="s">
        <v>198</v>
      </c>
      <c r="M36" s="11" t="s">
        <v>198</v>
      </c>
      <c r="N36" s="11" t="s">
        <v>198</v>
      </c>
      <c r="O36" s="98" t="s">
        <v>1127</v>
      </c>
      <c r="P36" s="11" t="s">
        <v>198</v>
      </c>
      <c r="Q36" s="98" t="s">
        <v>1128</v>
      </c>
      <c r="R36" s="11" t="s">
        <v>198</v>
      </c>
      <c r="S36" s="11" t="s">
        <v>198</v>
      </c>
      <c r="T36" s="11" t="s">
        <v>198</v>
      </c>
      <c r="U36" s="11" t="s">
        <v>198</v>
      </c>
      <c r="V36" s="11" t="s">
        <v>198</v>
      </c>
      <c r="W36" s="11" t="s">
        <v>198</v>
      </c>
      <c r="X36" s="11" t="s">
        <v>198</v>
      </c>
      <c r="Y36" s="20"/>
      <c r="Z36" s="21" t="s">
        <v>254</v>
      </c>
      <c r="AA36" s="91" t="s">
        <v>1823</v>
      </c>
      <c r="AB36" s="22"/>
      <c r="AC36" s="20" t="s">
        <v>197</v>
      </c>
      <c r="AD36" s="20" t="s">
        <v>1564</v>
      </c>
      <c r="AE36" s="22"/>
      <c r="AF36" s="22"/>
    </row>
    <row r="37" spans="2:32" x14ac:dyDescent="0.2">
      <c r="B37" s="9" t="s">
        <v>65</v>
      </c>
      <c r="C37" s="9" t="s">
        <v>427</v>
      </c>
      <c r="D37" s="9" t="s">
        <v>65</v>
      </c>
      <c r="E37" s="96" t="s">
        <v>1129</v>
      </c>
      <c r="F37" s="96" t="s">
        <v>1605</v>
      </c>
      <c r="G37" s="96" t="s">
        <v>1615</v>
      </c>
      <c r="H37" s="11" t="s">
        <v>198</v>
      </c>
      <c r="I37" s="96" t="s">
        <v>1130</v>
      </c>
      <c r="J37" s="96" t="s">
        <v>1131</v>
      </c>
      <c r="K37" s="11" t="s">
        <v>198</v>
      </c>
      <c r="L37" s="11" t="s">
        <v>198</v>
      </c>
      <c r="M37" s="11" t="s">
        <v>198</v>
      </c>
      <c r="N37" s="11" t="s">
        <v>198</v>
      </c>
      <c r="O37" s="11" t="s">
        <v>198</v>
      </c>
      <c r="P37" s="11" t="s">
        <v>198</v>
      </c>
      <c r="Q37" s="11" t="s">
        <v>198</v>
      </c>
      <c r="R37" s="98" t="s">
        <v>36</v>
      </c>
      <c r="S37" s="11" t="s">
        <v>198</v>
      </c>
      <c r="T37" s="11" t="s">
        <v>198</v>
      </c>
      <c r="U37" s="11" t="s">
        <v>198</v>
      </c>
      <c r="V37" s="11" t="s">
        <v>198</v>
      </c>
      <c r="W37" s="11" t="s">
        <v>198</v>
      </c>
      <c r="X37" s="11" t="s">
        <v>198</v>
      </c>
      <c r="Y37" s="23"/>
      <c r="Z37" s="21" t="s">
        <v>254</v>
      </c>
      <c r="AA37" s="91" t="s">
        <v>1823</v>
      </c>
      <c r="AB37" s="22"/>
      <c r="AC37" s="20" t="s">
        <v>197</v>
      </c>
      <c r="AD37" s="20" t="s">
        <v>1564</v>
      </c>
      <c r="AE37" s="22"/>
      <c r="AF37" s="22"/>
    </row>
    <row r="38" spans="2:32" x14ac:dyDescent="0.2">
      <c r="B38" s="9" t="s">
        <v>66</v>
      </c>
      <c r="C38" s="9" t="s">
        <v>435</v>
      </c>
      <c r="D38" s="9" t="s">
        <v>66</v>
      </c>
      <c r="E38" s="96" t="s">
        <v>1132</v>
      </c>
      <c r="F38" s="96" t="s">
        <v>1606</v>
      </c>
      <c r="G38" s="96" t="s">
        <v>1616</v>
      </c>
      <c r="H38" s="11" t="s">
        <v>198</v>
      </c>
      <c r="I38" s="96" t="s">
        <v>1133</v>
      </c>
      <c r="J38" s="96" t="s">
        <v>1134</v>
      </c>
      <c r="K38" s="11" t="s">
        <v>198</v>
      </c>
      <c r="L38" s="11" t="s">
        <v>198</v>
      </c>
      <c r="M38" s="11" t="s">
        <v>198</v>
      </c>
      <c r="N38" s="11" t="s">
        <v>198</v>
      </c>
      <c r="O38" s="11" t="s">
        <v>198</v>
      </c>
      <c r="P38" s="11" t="s">
        <v>198</v>
      </c>
      <c r="Q38" s="11" t="s">
        <v>198</v>
      </c>
      <c r="R38" s="98" t="s">
        <v>39</v>
      </c>
      <c r="S38" s="11" t="s">
        <v>198</v>
      </c>
      <c r="T38" s="11" t="s">
        <v>198</v>
      </c>
      <c r="U38" s="11" t="s">
        <v>198</v>
      </c>
      <c r="V38" s="11" t="s">
        <v>198</v>
      </c>
      <c r="W38" s="99" t="s">
        <v>1509</v>
      </c>
      <c r="X38" s="11" t="s">
        <v>198</v>
      </c>
      <c r="Y38" s="23"/>
      <c r="Z38" s="21" t="s">
        <v>254</v>
      </c>
      <c r="AA38" s="91" t="s">
        <v>1823</v>
      </c>
      <c r="AB38" s="22"/>
      <c r="AC38" s="20" t="s">
        <v>197</v>
      </c>
      <c r="AD38" s="20" t="s">
        <v>1564</v>
      </c>
      <c r="AE38" s="22"/>
      <c r="AF38" s="22"/>
    </row>
    <row r="39" spans="2:32" x14ac:dyDescent="0.2">
      <c r="B39" s="9" t="s">
        <v>67</v>
      </c>
      <c r="C39" s="9" t="s">
        <v>434</v>
      </c>
      <c r="D39" s="9" t="s">
        <v>67</v>
      </c>
      <c r="E39" s="96" t="s">
        <v>1135</v>
      </c>
      <c r="F39" s="96" t="s">
        <v>1607</v>
      </c>
      <c r="G39" s="96" t="s">
        <v>1617</v>
      </c>
      <c r="H39" s="11" t="s">
        <v>198</v>
      </c>
      <c r="I39" s="96" t="s">
        <v>1136</v>
      </c>
      <c r="J39" s="96" t="s">
        <v>1137</v>
      </c>
      <c r="K39" s="11" t="s">
        <v>198</v>
      </c>
      <c r="L39" s="11" t="s">
        <v>198</v>
      </c>
      <c r="M39" s="11" t="s">
        <v>198</v>
      </c>
      <c r="N39" s="11" t="s">
        <v>198</v>
      </c>
      <c r="O39" s="98" t="s">
        <v>1138</v>
      </c>
      <c r="P39" s="11" t="s">
        <v>198</v>
      </c>
      <c r="Q39" s="11" t="s">
        <v>198</v>
      </c>
      <c r="R39" s="98" t="s">
        <v>28</v>
      </c>
      <c r="S39" s="11" t="s">
        <v>198</v>
      </c>
      <c r="T39" s="11" t="s">
        <v>198</v>
      </c>
      <c r="U39" s="11" t="s">
        <v>198</v>
      </c>
      <c r="V39" s="11" t="s">
        <v>198</v>
      </c>
      <c r="W39" s="11" t="s">
        <v>198</v>
      </c>
      <c r="X39" s="11" t="s">
        <v>198</v>
      </c>
      <c r="Y39" s="23"/>
      <c r="Z39" s="21" t="s">
        <v>254</v>
      </c>
      <c r="AA39" s="91" t="s">
        <v>1823</v>
      </c>
      <c r="AB39" s="22"/>
      <c r="AC39" s="20" t="s">
        <v>197</v>
      </c>
      <c r="AD39" s="20" t="s">
        <v>1564</v>
      </c>
      <c r="AE39" s="22"/>
      <c r="AF39" s="22"/>
    </row>
    <row r="40" spans="2:32" x14ac:dyDescent="0.2">
      <c r="B40" s="9" t="s">
        <v>68</v>
      </c>
      <c r="C40" s="9" t="s">
        <v>433</v>
      </c>
      <c r="D40" s="9" t="s">
        <v>68</v>
      </c>
      <c r="E40" s="96" t="s">
        <v>1139</v>
      </c>
      <c r="F40" s="96" t="s">
        <v>1608</v>
      </c>
      <c r="G40" s="96" t="s">
        <v>1618</v>
      </c>
      <c r="H40" s="11" t="s">
        <v>198</v>
      </c>
      <c r="I40" s="96" t="s">
        <v>1140</v>
      </c>
      <c r="J40" s="96" t="s">
        <v>1141</v>
      </c>
      <c r="K40" s="11" t="s">
        <v>198</v>
      </c>
      <c r="L40" s="11" t="s">
        <v>198</v>
      </c>
      <c r="M40" s="11" t="s">
        <v>198</v>
      </c>
      <c r="N40" s="11" t="s">
        <v>198</v>
      </c>
      <c r="O40" s="98" t="s">
        <v>1142</v>
      </c>
      <c r="P40" s="11" t="s">
        <v>198</v>
      </c>
      <c r="Q40" s="11" t="s">
        <v>198</v>
      </c>
      <c r="R40" s="98" t="s">
        <v>30</v>
      </c>
      <c r="S40" s="11" t="s">
        <v>198</v>
      </c>
      <c r="T40" s="11" t="s">
        <v>198</v>
      </c>
      <c r="U40" s="11" t="s">
        <v>198</v>
      </c>
      <c r="V40" s="11" t="s">
        <v>198</v>
      </c>
      <c r="W40" s="99" t="s">
        <v>1510</v>
      </c>
      <c r="X40" s="11" t="s">
        <v>198</v>
      </c>
      <c r="Y40" s="23"/>
      <c r="Z40" s="21" t="s">
        <v>254</v>
      </c>
      <c r="AA40" s="91" t="s">
        <v>1823</v>
      </c>
      <c r="AB40" s="22"/>
      <c r="AC40" s="20" t="s">
        <v>197</v>
      </c>
      <c r="AD40" s="20" t="s">
        <v>1564</v>
      </c>
      <c r="AE40" s="22"/>
      <c r="AF40" s="22"/>
    </row>
    <row r="41" spans="2:32" x14ac:dyDescent="0.2">
      <c r="B41" s="9" t="s">
        <v>69</v>
      </c>
      <c r="C41" s="9" t="s">
        <v>432</v>
      </c>
      <c r="D41" s="9" t="s">
        <v>69</v>
      </c>
      <c r="E41" s="96" t="s">
        <v>1143</v>
      </c>
      <c r="F41" s="96" t="s">
        <v>1609</v>
      </c>
      <c r="G41" s="96" t="s">
        <v>1619</v>
      </c>
      <c r="H41" s="11" t="s">
        <v>198</v>
      </c>
      <c r="I41" s="11" t="s">
        <v>198</v>
      </c>
      <c r="J41" s="11" t="s">
        <v>198</v>
      </c>
      <c r="K41" s="11" t="s">
        <v>198</v>
      </c>
      <c r="L41" s="11" t="s">
        <v>198</v>
      </c>
      <c r="M41" s="11" t="s">
        <v>198</v>
      </c>
      <c r="N41" s="11" t="s">
        <v>198</v>
      </c>
      <c r="O41" s="11" t="s">
        <v>198</v>
      </c>
      <c r="P41" s="11" t="s">
        <v>198</v>
      </c>
      <c r="Q41" s="11" t="s">
        <v>198</v>
      </c>
      <c r="R41" s="98" t="s">
        <v>147</v>
      </c>
      <c r="S41" s="11" t="s">
        <v>198</v>
      </c>
      <c r="T41" s="11" t="s">
        <v>198</v>
      </c>
      <c r="U41" s="11" t="s">
        <v>198</v>
      </c>
      <c r="V41" s="11" t="s">
        <v>198</v>
      </c>
      <c r="W41" s="11" t="s">
        <v>198</v>
      </c>
      <c r="X41" s="11" t="s">
        <v>198</v>
      </c>
      <c r="Y41" s="23"/>
      <c r="Z41" s="21" t="s">
        <v>254</v>
      </c>
      <c r="AA41" s="91" t="s">
        <v>1823</v>
      </c>
      <c r="AB41" s="22"/>
      <c r="AC41" s="20" t="s">
        <v>197</v>
      </c>
      <c r="AD41" s="20" t="s">
        <v>1564</v>
      </c>
      <c r="AE41" s="22"/>
      <c r="AF41" s="22"/>
    </row>
    <row r="42" spans="2:32" x14ac:dyDescent="0.2">
      <c r="B42" s="9" t="s">
        <v>70</v>
      </c>
      <c r="C42" s="9" t="s">
        <v>437</v>
      </c>
      <c r="D42" s="9" t="s">
        <v>70</v>
      </c>
      <c r="E42" s="98" t="s">
        <v>1144</v>
      </c>
      <c r="F42" s="98" t="s">
        <v>1610</v>
      </c>
      <c r="G42" s="98" t="s">
        <v>1620</v>
      </c>
      <c r="H42" s="11" t="s">
        <v>198</v>
      </c>
      <c r="I42" s="11" t="s">
        <v>198</v>
      </c>
      <c r="J42" s="11" t="s">
        <v>198</v>
      </c>
      <c r="K42" s="11" t="s">
        <v>198</v>
      </c>
      <c r="L42" s="11" t="s">
        <v>198</v>
      </c>
      <c r="M42" s="11" t="s">
        <v>198</v>
      </c>
      <c r="N42" s="11" t="s">
        <v>198</v>
      </c>
      <c r="O42" s="11" t="s">
        <v>198</v>
      </c>
      <c r="P42" s="11" t="s">
        <v>198</v>
      </c>
      <c r="Q42" s="11" t="s">
        <v>198</v>
      </c>
      <c r="R42" s="98" t="s">
        <v>148</v>
      </c>
      <c r="S42" s="11" t="s">
        <v>198</v>
      </c>
      <c r="T42" s="11" t="s">
        <v>198</v>
      </c>
      <c r="U42" s="11" t="s">
        <v>198</v>
      </c>
      <c r="V42" s="11" t="s">
        <v>198</v>
      </c>
      <c r="W42" s="99" t="s">
        <v>1511</v>
      </c>
      <c r="X42" s="11" t="s">
        <v>198</v>
      </c>
      <c r="Y42" s="23"/>
      <c r="Z42" s="21" t="s">
        <v>254</v>
      </c>
      <c r="AA42" s="91" t="s">
        <v>1823</v>
      </c>
      <c r="AB42" s="22"/>
      <c r="AC42" s="20" t="s">
        <v>197</v>
      </c>
      <c r="AD42" s="20" t="s">
        <v>1564</v>
      </c>
      <c r="AE42" s="22"/>
      <c r="AF42" s="22"/>
    </row>
    <row r="43" spans="2:32" x14ac:dyDescent="0.2">
      <c r="B43" s="9" t="s">
        <v>938</v>
      </c>
      <c r="C43" s="9" t="s">
        <v>436</v>
      </c>
      <c r="D43" s="9" t="s">
        <v>938</v>
      </c>
      <c r="E43" s="98" t="s">
        <v>1045</v>
      </c>
      <c r="F43" s="98" t="s">
        <v>1099</v>
      </c>
      <c r="G43" s="98" t="s">
        <v>1095</v>
      </c>
      <c r="H43" s="11" t="s">
        <v>198</v>
      </c>
      <c r="I43" s="98" t="s">
        <v>1145</v>
      </c>
      <c r="J43" s="96" t="s">
        <v>1146</v>
      </c>
      <c r="K43" s="11" t="s">
        <v>198</v>
      </c>
      <c r="L43" s="11" t="s">
        <v>198</v>
      </c>
      <c r="M43" s="11" t="s">
        <v>198</v>
      </c>
      <c r="N43" s="11" t="s">
        <v>198</v>
      </c>
      <c r="O43" s="11" t="s">
        <v>198</v>
      </c>
      <c r="P43" s="11" t="s">
        <v>198</v>
      </c>
      <c r="Q43" s="11" t="s">
        <v>198</v>
      </c>
      <c r="R43" s="98" t="s">
        <v>1147</v>
      </c>
      <c r="S43" s="96" t="s">
        <v>1148</v>
      </c>
      <c r="T43" s="98" t="s">
        <v>1153</v>
      </c>
      <c r="U43" s="11" t="s">
        <v>198</v>
      </c>
      <c r="V43" s="11" t="s">
        <v>198</v>
      </c>
      <c r="W43" s="99" t="s">
        <v>200</v>
      </c>
      <c r="X43" s="11" t="s">
        <v>198</v>
      </c>
      <c r="Y43" s="23"/>
      <c r="Z43" s="21" t="s">
        <v>254</v>
      </c>
      <c r="AA43" s="91" t="s">
        <v>1823</v>
      </c>
      <c r="AB43" s="22"/>
      <c r="AC43" s="20" t="s">
        <v>197</v>
      </c>
      <c r="AD43" s="20" t="s">
        <v>1564</v>
      </c>
      <c r="AE43" s="22"/>
      <c r="AF43" s="22"/>
    </row>
    <row r="44" spans="2:32" x14ac:dyDescent="0.2">
      <c r="B44" s="9" t="s">
        <v>939</v>
      </c>
      <c r="C44" s="9" t="s">
        <v>438</v>
      </c>
      <c r="D44" s="9" t="s">
        <v>939</v>
      </c>
      <c r="E44" s="96" t="s">
        <v>1057</v>
      </c>
      <c r="F44" s="96" t="s">
        <v>1039</v>
      </c>
      <c r="G44" s="96" t="s">
        <v>1104</v>
      </c>
      <c r="H44" s="11" t="s">
        <v>198</v>
      </c>
      <c r="I44" s="96" t="s">
        <v>1149</v>
      </c>
      <c r="J44" s="98" t="s">
        <v>1150</v>
      </c>
      <c r="K44" s="11" t="s">
        <v>198</v>
      </c>
      <c r="L44" s="11" t="s">
        <v>198</v>
      </c>
      <c r="M44" s="11" t="s">
        <v>198</v>
      </c>
      <c r="N44" s="11" t="s">
        <v>198</v>
      </c>
      <c r="O44" s="11" t="s">
        <v>198</v>
      </c>
      <c r="P44" s="11" t="s">
        <v>198</v>
      </c>
      <c r="Q44" s="11" t="s">
        <v>198</v>
      </c>
      <c r="R44" s="98" t="s">
        <v>1151</v>
      </c>
      <c r="S44" s="96" t="s">
        <v>1152</v>
      </c>
      <c r="T44" s="98" t="s">
        <v>1154</v>
      </c>
      <c r="U44" s="11" t="s">
        <v>198</v>
      </c>
      <c r="V44" s="11" t="s">
        <v>198</v>
      </c>
      <c r="W44" s="99" t="s">
        <v>201</v>
      </c>
      <c r="X44" s="11" t="s">
        <v>198</v>
      </c>
      <c r="Y44" s="23"/>
      <c r="Z44" s="21" t="s">
        <v>254</v>
      </c>
      <c r="AA44" s="91" t="s">
        <v>1823</v>
      </c>
      <c r="AB44" s="22"/>
      <c r="AC44" s="20" t="s">
        <v>197</v>
      </c>
      <c r="AD44" s="20" t="s">
        <v>1564</v>
      </c>
      <c r="AE44" s="22"/>
      <c r="AF44" s="22"/>
    </row>
    <row r="45" spans="2:32" x14ac:dyDescent="0.2">
      <c r="B45" s="9" t="s">
        <v>71</v>
      </c>
      <c r="C45" s="9" t="s">
        <v>441</v>
      </c>
      <c r="D45" s="9" t="s">
        <v>71</v>
      </c>
      <c r="E45" s="96" t="s">
        <v>1068</v>
      </c>
      <c r="F45" s="96" t="s">
        <v>1052</v>
      </c>
      <c r="G45" s="96" t="s">
        <v>1046</v>
      </c>
      <c r="H45" s="11" t="s">
        <v>198</v>
      </c>
      <c r="I45" s="96" t="s">
        <v>1155</v>
      </c>
      <c r="J45" s="98" t="s">
        <v>1156</v>
      </c>
      <c r="K45" s="11" t="s">
        <v>198</v>
      </c>
      <c r="L45" s="11" t="s">
        <v>198</v>
      </c>
      <c r="M45" s="11" t="s">
        <v>198</v>
      </c>
      <c r="N45" s="11" t="s">
        <v>198</v>
      </c>
      <c r="O45" s="11" t="s">
        <v>198</v>
      </c>
      <c r="P45" s="11" t="s">
        <v>198</v>
      </c>
      <c r="Q45" s="11" t="s">
        <v>198</v>
      </c>
      <c r="R45" s="98" t="s">
        <v>1157</v>
      </c>
      <c r="S45" s="96" t="s">
        <v>1158</v>
      </c>
      <c r="T45" s="11" t="s">
        <v>198</v>
      </c>
      <c r="U45" s="11" t="s">
        <v>198</v>
      </c>
      <c r="V45" s="11" t="s">
        <v>198</v>
      </c>
      <c r="W45" s="99" t="s">
        <v>202</v>
      </c>
      <c r="X45" s="11" t="s">
        <v>198</v>
      </c>
      <c r="Y45" s="23"/>
      <c r="Z45" s="21" t="s">
        <v>254</v>
      </c>
      <c r="AA45" s="91" t="s">
        <v>1823</v>
      </c>
      <c r="AB45" s="22"/>
      <c r="AC45" s="20" t="s">
        <v>197</v>
      </c>
      <c r="AD45" s="20" t="s">
        <v>1564</v>
      </c>
      <c r="AE45" s="22"/>
      <c r="AF45" s="22"/>
    </row>
    <row r="46" spans="2:32" x14ac:dyDescent="0.2">
      <c r="B46" s="9" t="s">
        <v>72</v>
      </c>
      <c r="C46" s="9" t="s">
        <v>440</v>
      </c>
      <c r="D46" s="9" t="s">
        <v>72</v>
      </c>
      <c r="E46" s="96" t="s">
        <v>1159</v>
      </c>
      <c r="F46" s="96" t="s">
        <v>1064</v>
      </c>
      <c r="G46" s="96" t="s">
        <v>1058</v>
      </c>
      <c r="H46" s="11" t="s">
        <v>198</v>
      </c>
      <c r="I46" s="96" t="s">
        <v>1160</v>
      </c>
      <c r="J46" s="98" t="s">
        <v>1161</v>
      </c>
      <c r="K46" s="11" t="s">
        <v>198</v>
      </c>
      <c r="L46" s="11" t="s">
        <v>198</v>
      </c>
      <c r="M46" s="11" t="s">
        <v>198</v>
      </c>
      <c r="N46" s="11" t="s">
        <v>198</v>
      </c>
      <c r="O46" s="11" t="s">
        <v>198</v>
      </c>
      <c r="P46" s="11" t="s">
        <v>198</v>
      </c>
      <c r="Q46" s="11" t="s">
        <v>198</v>
      </c>
      <c r="R46" s="98" t="s">
        <v>1162</v>
      </c>
      <c r="S46" s="98" t="s">
        <v>1163</v>
      </c>
      <c r="T46" s="11" t="s">
        <v>198</v>
      </c>
      <c r="U46" s="11" t="s">
        <v>198</v>
      </c>
      <c r="V46" s="11" t="s">
        <v>198</v>
      </c>
      <c r="W46" s="99" t="s">
        <v>203</v>
      </c>
      <c r="X46" s="11" t="s">
        <v>198</v>
      </c>
      <c r="Y46" s="23"/>
      <c r="Z46" s="21" t="s">
        <v>254</v>
      </c>
      <c r="AA46" s="91" t="s">
        <v>1823</v>
      </c>
      <c r="AB46" s="22"/>
      <c r="AC46" s="20" t="s">
        <v>197</v>
      </c>
      <c r="AD46" s="20" t="s">
        <v>1564</v>
      </c>
      <c r="AE46" s="22"/>
      <c r="AF46" s="22"/>
    </row>
    <row r="47" spans="2:32" x14ac:dyDescent="0.2">
      <c r="B47" s="9" t="s">
        <v>73</v>
      </c>
      <c r="C47" s="9" t="s">
        <v>439</v>
      </c>
      <c r="D47" s="9" t="s">
        <v>73</v>
      </c>
      <c r="E47" s="96" t="s">
        <v>1073</v>
      </c>
      <c r="F47" s="96" t="s">
        <v>1164</v>
      </c>
      <c r="G47" s="96" t="s">
        <v>1069</v>
      </c>
      <c r="H47" s="11" t="s">
        <v>198</v>
      </c>
      <c r="I47" s="11" t="s">
        <v>198</v>
      </c>
      <c r="J47" s="11" t="s">
        <v>198</v>
      </c>
      <c r="K47" s="11" t="s">
        <v>198</v>
      </c>
      <c r="L47" s="11" t="s">
        <v>198</v>
      </c>
      <c r="M47" s="11" t="s">
        <v>198</v>
      </c>
      <c r="N47" s="11" t="s">
        <v>198</v>
      </c>
      <c r="O47" s="11" t="s">
        <v>198</v>
      </c>
      <c r="P47" s="11" t="s">
        <v>198</v>
      </c>
      <c r="Q47" s="11" t="s">
        <v>198</v>
      </c>
      <c r="R47" s="98" t="s">
        <v>1165</v>
      </c>
      <c r="S47" s="11" t="s">
        <v>198</v>
      </c>
      <c r="T47" s="98" t="s">
        <v>33</v>
      </c>
      <c r="U47" s="11" t="s">
        <v>198</v>
      </c>
      <c r="V47" s="11" t="s">
        <v>198</v>
      </c>
      <c r="W47" s="99" t="s">
        <v>204</v>
      </c>
      <c r="X47" s="11" t="s">
        <v>198</v>
      </c>
      <c r="Y47" s="23"/>
      <c r="Z47" s="21" t="s">
        <v>254</v>
      </c>
      <c r="AA47" s="91" t="s">
        <v>1823</v>
      </c>
      <c r="AB47" s="22"/>
      <c r="AC47" s="20" t="s">
        <v>197</v>
      </c>
      <c r="AD47" s="20" t="s">
        <v>1564</v>
      </c>
      <c r="AE47" s="22"/>
      <c r="AF47" s="22"/>
    </row>
    <row r="48" spans="2:32" x14ac:dyDescent="0.2">
      <c r="B48" s="9" t="s">
        <v>74</v>
      </c>
      <c r="C48" s="9" t="s">
        <v>604</v>
      </c>
      <c r="D48" s="9" t="s">
        <v>74</v>
      </c>
      <c r="E48" s="96" t="s">
        <v>1080</v>
      </c>
      <c r="F48" s="96" t="s">
        <v>1166</v>
      </c>
      <c r="G48" s="96" t="s">
        <v>1167</v>
      </c>
      <c r="H48" s="11" t="s">
        <v>198</v>
      </c>
      <c r="I48" s="11" t="s">
        <v>198</v>
      </c>
      <c r="J48" s="11" t="s">
        <v>198</v>
      </c>
      <c r="K48" s="11" t="s">
        <v>198</v>
      </c>
      <c r="L48" s="11" t="s">
        <v>198</v>
      </c>
      <c r="M48" s="11" t="s">
        <v>198</v>
      </c>
      <c r="N48" s="11" t="s">
        <v>198</v>
      </c>
      <c r="O48" s="11" t="s">
        <v>198</v>
      </c>
      <c r="P48" s="11" t="s">
        <v>198</v>
      </c>
      <c r="Q48" s="11" t="s">
        <v>198</v>
      </c>
      <c r="R48" s="11" t="s">
        <v>198</v>
      </c>
      <c r="S48" s="11" t="s">
        <v>198</v>
      </c>
      <c r="T48" s="98" t="s">
        <v>163</v>
      </c>
      <c r="U48" s="11" t="s">
        <v>198</v>
      </c>
      <c r="V48" s="11" t="s">
        <v>198</v>
      </c>
      <c r="W48" s="99" t="s">
        <v>205</v>
      </c>
      <c r="X48" s="11" t="s">
        <v>198</v>
      </c>
      <c r="Y48" s="23"/>
      <c r="Z48" s="21" t="s">
        <v>254</v>
      </c>
      <c r="AA48" s="91"/>
      <c r="AB48" s="22"/>
      <c r="AC48" s="20" t="s">
        <v>197</v>
      </c>
      <c r="AD48" s="20" t="s">
        <v>1564</v>
      </c>
      <c r="AE48" s="22"/>
      <c r="AF48" s="22"/>
    </row>
    <row r="49" spans="2:32" x14ac:dyDescent="0.2">
      <c r="B49" s="9" t="s">
        <v>75</v>
      </c>
      <c r="C49" s="9" t="s">
        <v>442</v>
      </c>
      <c r="D49" s="9" t="s">
        <v>75</v>
      </c>
      <c r="E49" s="96" t="s">
        <v>1084</v>
      </c>
      <c r="F49" s="96" t="s">
        <v>1077</v>
      </c>
      <c r="G49" s="96" t="s">
        <v>1074</v>
      </c>
      <c r="H49" s="11" t="s">
        <v>198</v>
      </c>
      <c r="I49" s="11" t="s">
        <v>198</v>
      </c>
      <c r="J49" s="11" t="s">
        <v>198</v>
      </c>
      <c r="K49" s="11" t="s">
        <v>198</v>
      </c>
      <c r="L49" s="11" t="s">
        <v>198</v>
      </c>
      <c r="M49" s="11" t="s">
        <v>198</v>
      </c>
      <c r="N49" s="11" t="s">
        <v>198</v>
      </c>
      <c r="O49" s="11" t="s">
        <v>198</v>
      </c>
      <c r="P49" s="11" t="s">
        <v>198</v>
      </c>
      <c r="Q49" s="11" t="s">
        <v>198</v>
      </c>
      <c r="R49" s="11" t="s">
        <v>198</v>
      </c>
      <c r="S49" s="11" t="s">
        <v>198</v>
      </c>
      <c r="T49" s="98" t="s">
        <v>182</v>
      </c>
      <c r="U49" s="11" t="s">
        <v>198</v>
      </c>
      <c r="V49" s="11" t="s">
        <v>198</v>
      </c>
      <c r="W49" s="99" t="s">
        <v>206</v>
      </c>
      <c r="X49" s="11" t="s">
        <v>198</v>
      </c>
      <c r="Y49" s="23"/>
      <c r="Z49" s="21" t="s">
        <v>254</v>
      </c>
      <c r="AA49" s="91"/>
      <c r="AB49" s="22"/>
      <c r="AC49" s="20" t="s">
        <v>197</v>
      </c>
      <c r="AD49" s="20" t="s">
        <v>1564</v>
      </c>
      <c r="AE49" s="22"/>
      <c r="AF49" s="22"/>
    </row>
    <row r="50" spans="2:32" x14ac:dyDescent="0.2">
      <c r="B50" s="9" t="s">
        <v>76</v>
      </c>
      <c r="C50" s="9" t="s">
        <v>443</v>
      </c>
      <c r="D50" s="9" t="s">
        <v>76</v>
      </c>
      <c r="E50" s="96" t="s">
        <v>1087</v>
      </c>
      <c r="F50" s="96" t="s">
        <v>1083</v>
      </c>
      <c r="G50" s="96" t="s">
        <v>1081</v>
      </c>
      <c r="H50" s="11" t="s">
        <v>198</v>
      </c>
      <c r="I50" s="11" t="s">
        <v>198</v>
      </c>
      <c r="J50" s="11" t="s">
        <v>198</v>
      </c>
      <c r="K50" s="11" t="s">
        <v>198</v>
      </c>
      <c r="L50" s="11" t="s">
        <v>198</v>
      </c>
      <c r="M50" s="11" t="s">
        <v>198</v>
      </c>
      <c r="N50" s="11" t="s">
        <v>198</v>
      </c>
      <c r="O50" s="11" t="s">
        <v>198</v>
      </c>
      <c r="P50" s="11" t="s">
        <v>198</v>
      </c>
      <c r="Q50" s="11" t="s">
        <v>198</v>
      </c>
      <c r="R50" s="11" t="s">
        <v>198</v>
      </c>
      <c r="S50" s="11" t="s">
        <v>198</v>
      </c>
      <c r="T50" s="98" t="s">
        <v>184</v>
      </c>
      <c r="U50" s="11" t="s">
        <v>198</v>
      </c>
      <c r="V50" s="11" t="s">
        <v>198</v>
      </c>
      <c r="W50" s="101" t="s">
        <v>207</v>
      </c>
      <c r="X50" s="11" t="s">
        <v>198</v>
      </c>
      <c r="Y50" s="23"/>
      <c r="Z50" s="21" t="s">
        <v>254</v>
      </c>
      <c r="AA50" s="91"/>
      <c r="AB50" s="22"/>
      <c r="AC50" s="20" t="s">
        <v>197</v>
      </c>
      <c r="AD50" s="20" t="s">
        <v>1564</v>
      </c>
      <c r="AE50" s="22"/>
      <c r="AF50" s="22"/>
    </row>
    <row r="51" spans="2:32" x14ac:dyDescent="0.2">
      <c r="B51" s="9" t="s">
        <v>77</v>
      </c>
      <c r="C51" s="9" t="s">
        <v>444</v>
      </c>
      <c r="D51" s="9" t="s">
        <v>77</v>
      </c>
      <c r="E51" s="96" t="s">
        <v>1094</v>
      </c>
      <c r="F51" s="96" t="s">
        <v>1086</v>
      </c>
      <c r="G51" s="96" t="s">
        <v>1085</v>
      </c>
      <c r="H51" s="11" t="s">
        <v>198</v>
      </c>
      <c r="I51" s="11" t="s">
        <v>198</v>
      </c>
      <c r="J51" s="11" t="s">
        <v>198</v>
      </c>
      <c r="K51" s="11" t="s">
        <v>198</v>
      </c>
      <c r="L51" s="11" t="s">
        <v>198</v>
      </c>
      <c r="M51" s="11" t="s">
        <v>198</v>
      </c>
      <c r="N51" s="11" t="s">
        <v>198</v>
      </c>
      <c r="O51" s="11" t="s">
        <v>198</v>
      </c>
      <c r="P51" s="11" t="s">
        <v>198</v>
      </c>
      <c r="Q51" s="11" t="s">
        <v>198</v>
      </c>
      <c r="R51" s="11" t="s">
        <v>198</v>
      </c>
      <c r="S51" s="11" t="s">
        <v>198</v>
      </c>
      <c r="T51" s="98" t="s">
        <v>370</v>
      </c>
      <c r="U51" s="11" t="s">
        <v>198</v>
      </c>
      <c r="V51" s="11" t="s">
        <v>198</v>
      </c>
      <c r="W51" s="101" t="s">
        <v>208</v>
      </c>
      <c r="X51" s="11" t="s">
        <v>198</v>
      </c>
      <c r="Y51" s="23"/>
      <c r="Z51" s="21" t="s">
        <v>254</v>
      </c>
      <c r="AA51" s="91"/>
      <c r="AB51" s="22"/>
      <c r="AC51" s="20" t="s">
        <v>197</v>
      </c>
      <c r="AD51" s="20" t="s">
        <v>1564</v>
      </c>
      <c r="AE51" s="22"/>
      <c r="AF51" s="22"/>
    </row>
    <row r="52" spans="2:32" x14ac:dyDescent="0.2">
      <c r="B52" s="9" t="s">
        <v>79</v>
      </c>
      <c r="C52" s="9" t="s">
        <v>605</v>
      </c>
      <c r="D52" s="9" t="s">
        <v>79</v>
      </c>
      <c r="E52" s="96" t="s">
        <v>1103</v>
      </c>
      <c r="F52" s="96" t="s">
        <v>1092</v>
      </c>
      <c r="G52" s="96" t="s">
        <v>1088</v>
      </c>
      <c r="H52" s="11" t="s">
        <v>198</v>
      </c>
      <c r="I52" s="11" t="s">
        <v>198</v>
      </c>
      <c r="J52" s="11" t="s">
        <v>198</v>
      </c>
      <c r="K52" s="11" t="s">
        <v>198</v>
      </c>
      <c r="L52" s="11" t="s">
        <v>198</v>
      </c>
      <c r="M52" s="11" t="s">
        <v>198</v>
      </c>
      <c r="N52" s="11" t="s">
        <v>198</v>
      </c>
      <c r="O52" s="11" t="s">
        <v>198</v>
      </c>
      <c r="P52" s="11" t="s">
        <v>198</v>
      </c>
      <c r="Q52" s="11" t="s">
        <v>198</v>
      </c>
      <c r="R52" s="11" t="s">
        <v>198</v>
      </c>
      <c r="S52" s="11" t="s">
        <v>198</v>
      </c>
      <c r="T52" s="98" t="s">
        <v>372</v>
      </c>
      <c r="U52" s="11" t="s">
        <v>198</v>
      </c>
      <c r="V52" s="11" t="s">
        <v>198</v>
      </c>
      <c r="W52" s="101" t="s">
        <v>209</v>
      </c>
      <c r="X52" s="11" t="s">
        <v>198</v>
      </c>
      <c r="Y52" s="23"/>
      <c r="Z52" s="21" t="s">
        <v>254</v>
      </c>
      <c r="AA52" s="91"/>
      <c r="AB52" s="22"/>
      <c r="AC52" s="20" t="s">
        <v>197</v>
      </c>
      <c r="AD52" s="20" t="s">
        <v>1564</v>
      </c>
      <c r="AE52" s="22"/>
      <c r="AF52" s="22"/>
    </row>
    <row r="53" spans="2:32" x14ac:dyDescent="0.2">
      <c r="B53" s="9" t="s">
        <v>81</v>
      </c>
      <c r="C53" s="9" t="s">
        <v>606</v>
      </c>
      <c r="D53" s="9" t="s">
        <v>81</v>
      </c>
      <c r="E53" s="96" t="s">
        <v>1045</v>
      </c>
      <c r="F53" s="96" t="s">
        <v>1168</v>
      </c>
      <c r="G53" s="96" t="s">
        <v>1169</v>
      </c>
      <c r="H53" s="11" t="s">
        <v>198</v>
      </c>
      <c r="I53" s="11" t="s">
        <v>198</v>
      </c>
      <c r="J53" s="11" t="s">
        <v>198</v>
      </c>
      <c r="K53" s="11" t="s">
        <v>198</v>
      </c>
      <c r="L53" s="11" t="s">
        <v>198</v>
      </c>
      <c r="M53" s="11" t="s">
        <v>198</v>
      </c>
      <c r="N53" s="11" t="s">
        <v>198</v>
      </c>
      <c r="O53" s="11" t="s">
        <v>198</v>
      </c>
      <c r="P53" s="11" t="s">
        <v>198</v>
      </c>
      <c r="Q53" s="11" t="s">
        <v>198</v>
      </c>
      <c r="R53" s="11" t="s">
        <v>198</v>
      </c>
      <c r="S53" s="11" t="s">
        <v>198</v>
      </c>
      <c r="T53" s="96" t="s">
        <v>56</v>
      </c>
      <c r="U53" s="11" t="s">
        <v>198</v>
      </c>
      <c r="V53" s="11" t="s">
        <v>198</v>
      </c>
      <c r="W53" s="101" t="s">
        <v>210</v>
      </c>
      <c r="X53" s="11" t="s">
        <v>198</v>
      </c>
      <c r="Y53" s="23"/>
      <c r="Z53" s="191"/>
      <c r="AA53" s="91"/>
      <c r="AB53" s="22"/>
      <c r="AC53" s="20" t="s">
        <v>197</v>
      </c>
      <c r="AD53" s="20" t="s">
        <v>1565</v>
      </c>
      <c r="AE53" s="22"/>
      <c r="AF53" s="22"/>
    </row>
    <row r="54" spans="2:32" x14ac:dyDescent="0.2">
      <c r="B54" s="9" t="s">
        <v>82</v>
      </c>
      <c r="C54" s="9" t="s">
        <v>607</v>
      </c>
      <c r="D54" s="9" t="s">
        <v>82</v>
      </c>
      <c r="E54" s="96" t="s">
        <v>1057</v>
      </c>
      <c r="F54" s="96" t="s">
        <v>1039</v>
      </c>
      <c r="G54" s="96" t="s">
        <v>1170</v>
      </c>
      <c r="H54" s="11" t="s">
        <v>198</v>
      </c>
      <c r="I54" s="11" t="s">
        <v>198</v>
      </c>
      <c r="J54" s="11" t="s">
        <v>198</v>
      </c>
      <c r="K54" s="11" t="s">
        <v>198</v>
      </c>
      <c r="L54" s="11" t="s">
        <v>198</v>
      </c>
      <c r="M54" s="11" t="s">
        <v>198</v>
      </c>
      <c r="N54" s="11" t="s">
        <v>198</v>
      </c>
      <c r="O54" s="11" t="s">
        <v>198</v>
      </c>
      <c r="P54" s="11" t="s">
        <v>198</v>
      </c>
      <c r="Q54" s="98" t="s">
        <v>1171</v>
      </c>
      <c r="R54" s="11" t="s">
        <v>198</v>
      </c>
      <c r="S54" s="11" t="s">
        <v>198</v>
      </c>
      <c r="T54" s="98" t="s">
        <v>58</v>
      </c>
      <c r="U54" s="11" t="s">
        <v>198</v>
      </c>
      <c r="V54" s="11" t="s">
        <v>198</v>
      </c>
      <c r="W54" s="101" t="s">
        <v>211</v>
      </c>
      <c r="X54" s="11" t="s">
        <v>198</v>
      </c>
      <c r="Y54" s="23"/>
      <c r="Z54" s="191"/>
      <c r="AA54" s="91" t="s">
        <v>1823</v>
      </c>
      <c r="AB54" s="22"/>
      <c r="AC54" s="20" t="s">
        <v>197</v>
      </c>
      <c r="AD54" s="20" t="s">
        <v>1565</v>
      </c>
      <c r="AE54" s="22"/>
      <c r="AF54" s="22"/>
    </row>
    <row r="55" spans="2:32" x14ac:dyDescent="0.2">
      <c r="B55" s="9" t="s">
        <v>83</v>
      </c>
      <c r="C55" s="9" t="s">
        <v>608</v>
      </c>
      <c r="D55" s="9" t="s">
        <v>83</v>
      </c>
      <c r="E55" s="96" t="s">
        <v>1068</v>
      </c>
      <c r="F55" s="96" t="s">
        <v>1052</v>
      </c>
      <c r="G55" s="96" t="s">
        <v>1046</v>
      </c>
      <c r="H55" s="11" t="s">
        <v>198</v>
      </c>
      <c r="I55" s="11" t="s">
        <v>198</v>
      </c>
      <c r="J55" s="11" t="s">
        <v>198</v>
      </c>
      <c r="K55" s="11" t="s">
        <v>198</v>
      </c>
      <c r="L55" s="11" t="s">
        <v>198</v>
      </c>
      <c r="M55" s="11" t="s">
        <v>198</v>
      </c>
      <c r="N55" s="11" t="s">
        <v>198</v>
      </c>
      <c r="O55" s="11" t="s">
        <v>198</v>
      </c>
      <c r="P55" s="11" t="s">
        <v>198</v>
      </c>
      <c r="Q55" s="98" t="s">
        <v>1172</v>
      </c>
      <c r="R55" s="11" t="s">
        <v>198</v>
      </c>
      <c r="S55" s="11" t="s">
        <v>198</v>
      </c>
      <c r="T55" s="98" t="s">
        <v>61</v>
      </c>
      <c r="U55" s="11" t="s">
        <v>198</v>
      </c>
      <c r="V55" s="11" t="s">
        <v>198</v>
      </c>
      <c r="W55" s="101" t="s">
        <v>212</v>
      </c>
      <c r="X55" s="11" t="s">
        <v>198</v>
      </c>
      <c r="Y55" s="23"/>
      <c r="Z55" s="191"/>
      <c r="AA55" s="91" t="s">
        <v>1823</v>
      </c>
      <c r="AB55" s="22"/>
      <c r="AC55" s="20" t="s">
        <v>197</v>
      </c>
      <c r="AD55" s="20" t="s">
        <v>1565</v>
      </c>
      <c r="AE55" s="22"/>
      <c r="AF55" s="22"/>
    </row>
    <row r="56" spans="2:32" x14ac:dyDescent="0.2">
      <c r="B56" s="9" t="s">
        <v>84</v>
      </c>
      <c r="C56" s="9" t="s">
        <v>445</v>
      </c>
      <c r="D56" s="9" t="s">
        <v>84</v>
      </c>
      <c r="E56" s="96" t="s">
        <v>1159</v>
      </c>
      <c r="F56" s="96" t="s">
        <v>1064</v>
      </c>
      <c r="G56" s="96" t="s">
        <v>1058</v>
      </c>
      <c r="H56" s="11" t="s">
        <v>198</v>
      </c>
      <c r="I56" s="11" t="s">
        <v>198</v>
      </c>
      <c r="J56" s="11" t="s">
        <v>198</v>
      </c>
      <c r="K56" s="11" t="s">
        <v>198</v>
      </c>
      <c r="L56" s="11" t="s">
        <v>198</v>
      </c>
      <c r="M56" s="11" t="s">
        <v>198</v>
      </c>
      <c r="N56" s="11" t="s">
        <v>198</v>
      </c>
      <c r="O56" s="11" t="s">
        <v>198</v>
      </c>
      <c r="P56" s="11" t="s">
        <v>198</v>
      </c>
      <c r="Q56" s="98" t="s">
        <v>1173</v>
      </c>
      <c r="R56" s="11" t="s">
        <v>198</v>
      </c>
      <c r="S56" s="11" t="s">
        <v>198</v>
      </c>
      <c r="T56" s="98" t="s">
        <v>63</v>
      </c>
      <c r="U56" s="11" t="s">
        <v>198</v>
      </c>
      <c r="V56" s="11" t="s">
        <v>198</v>
      </c>
      <c r="W56" s="101" t="s">
        <v>213</v>
      </c>
      <c r="X56" s="11" t="s">
        <v>198</v>
      </c>
      <c r="Y56" s="23"/>
      <c r="Z56" s="191"/>
      <c r="AA56" s="91" t="s">
        <v>1823</v>
      </c>
      <c r="AB56" s="22"/>
      <c r="AC56" s="20" t="s">
        <v>197</v>
      </c>
      <c r="AD56" s="20" t="s">
        <v>1565</v>
      </c>
      <c r="AE56" s="22"/>
      <c r="AF56" s="22"/>
    </row>
    <row r="57" spans="2:32" x14ac:dyDescent="0.2">
      <c r="B57" s="9" t="s">
        <v>85</v>
      </c>
      <c r="C57" s="9" t="s">
        <v>609</v>
      </c>
      <c r="D57" s="9" t="s">
        <v>85</v>
      </c>
      <c r="E57" s="96" t="s">
        <v>1073</v>
      </c>
      <c r="F57" s="96" t="s">
        <v>1164</v>
      </c>
      <c r="G57" s="96" t="s">
        <v>1069</v>
      </c>
      <c r="H57" s="11" t="s">
        <v>198</v>
      </c>
      <c r="I57" s="11" t="s">
        <v>198</v>
      </c>
      <c r="J57" s="11" t="s">
        <v>198</v>
      </c>
      <c r="K57" s="11" t="s">
        <v>198</v>
      </c>
      <c r="L57" s="11" t="s">
        <v>198</v>
      </c>
      <c r="M57" s="11" t="s">
        <v>198</v>
      </c>
      <c r="N57" s="11" t="s">
        <v>198</v>
      </c>
      <c r="O57" s="11" t="s">
        <v>198</v>
      </c>
      <c r="P57" s="11" t="s">
        <v>198</v>
      </c>
      <c r="Q57" s="98" t="s">
        <v>1174</v>
      </c>
      <c r="R57" s="11" t="s">
        <v>198</v>
      </c>
      <c r="S57" s="11" t="s">
        <v>198</v>
      </c>
      <c r="T57" s="98" t="s">
        <v>93</v>
      </c>
      <c r="U57" s="11" t="s">
        <v>198</v>
      </c>
      <c r="V57" s="11" t="s">
        <v>198</v>
      </c>
      <c r="W57" s="101" t="s">
        <v>214</v>
      </c>
      <c r="X57" s="11" t="s">
        <v>198</v>
      </c>
      <c r="Y57" s="23"/>
      <c r="Z57" s="191"/>
      <c r="AA57" s="91" t="s">
        <v>1823</v>
      </c>
      <c r="AB57" s="22"/>
      <c r="AC57" s="20" t="s">
        <v>197</v>
      </c>
      <c r="AD57" s="20" t="s">
        <v>1565</v>
      </c>
      <c r="AE57" s="22"/>
      <c r="AF57" s="22"/>
    </row>
    <row r="58" spans="2:32" x14ac:dyDescent="0.2">
      <c r="B58" s="9" t="s">
        <v>86</v>
      </c>
      <c r="C58" s="9" t="s">
        <v>610</v>
      </c>
      <c r="D58" s="9" t="s">
        <v>86</v>
      </c>
      <c r="E58" s="96" t="s">
        <v>1080</v>
      </c>
      <c r="F58" s="96" t="s">
        <v>1166</v>
      </c>
      <c r="G58" s="96" t="s">
        <v>1167</v>
      </c>
      <c r="H58" s="11" t="s">
        <v>198</v>
      </c>
      <c r="I58" s="11" t="s">
        <v>198</v>
      </c>
      <c r="J58" s="11" t="s">
        <v>198</v>
      </c>
      <c r="K58" s="11" t="s">
        <v>198</v>
      </c>
      <c r="L58" s="11" t="s">
        <v>198</v>
      </c>
      <c r="M58" s="11" t="s">
        <v>198</v>
      </c>
      <c r="N58" s="11" t="s">
        <v>198</v>
      </c>
      <c r="O58" s="11" t="s">
        <v>198</v>
      </c>
      <c r="P58" s="11" t="s">
        <v>198</v>
      </c>
      <c r="Q58" s="98" t="s">
        <v>1175</v>
      </c>
      <c r="R58" s="11" t="s">
        <v>198</v>
      </c>
      <c r="S58" s="11" t="s">
        <v>198</v>
      </c>
      <c r="T58" s="98" t="s">
        <v>95</v>
      </c>
      <c r="U58" s="11" t="s">
        <v>198</v>
      </c>
      <c r="V58" s="11" t="s">
        <v>198</v>
      </c>
      <c r="W58" s="101" t="s">
        <v>215</v>
      </c>
      <c r="X58" s="11" t="s">
        <v>198</v>
      </c>
      <c r="Y58" s="23"/>
      <c r="Z58" s="191"/>
      <c r="AA58" s="91" t="s">
        <v>1823</v>
      </c>
      <c r="AB58" s="22"/>
      <c r="AC58" s="20" t="s">
        <v>197</v>
      </c>
      <c r="AD58" s="20" t="s">
        <v>1565</v>
      </c>
      <c r="AE58" s="22"/>
      <c r="AF58" s="22"/>
    </row>
    <row r="59" spans="2:32" x14ac:dyDescent="0.2">
      <c r="B59" s="9" t="s">
        <v>87</v>
      </c>
      <c r="C59" s="12" t="s">
        <v>940</v>
      </c>
      <c r="D59" s="9" t="s">
        <v>87</v>
      </c>
      <c r="E59" s="96" t="s">
        <v>1084</v>
      </c>
      <c r="F59" s="96" t="s">
        <v>1077</v>
      </c>
      <c r="G59" s="96" t="s">
        <v>1074</v>
      </c>
      <c r="H59" s="11" t="s">
        <v>198</v>
      </c>
      <c r="I59" s="98" t="s">
        <v>55</v>
      </c>
      <c r="J59" s="11" t="s">
        <v>198</v>
      </c>
      <c r="K59" s="11" t="s">
        <v>198</v>
      </c>
      <c r="L59" s="11" t="s">
        <v>198</v>
      </c>
      <c r="M59" s="11" t="s">
        <v>198</v>
      </c>
      <c r="N59" s="11" t="s">
        <v>198</v>
      </c>
      <c r="O59" s="11" t="s">
        <v>198</v>
      </c>
      <c r="P59" s="11" t="s">
        <v>198</v>
      </c>
      <c r="Q59" s="98" t="s">
        <v>1176</v>
      </c>
      <c r="R59" s="11" t="s">
        <v>198</v>
      </c>
      <c r="S59" s="11" t="s">
        <v>198</v>
      </c>
      <c r="T59" s="98" t="s">
        <v>88</v>
      </c>
      <c r="U59" s="11" t="s">
        <v>198</v>
      </c>
      <c r="V59" s="11" t="s">
        <v>198</v>
      </c>
      <c r="W59" s="102" t="s">
        <v>216</v>
      </c>
      <c r="X59" s="11" t="s">
        <v>198</v>
      </c>
      <c r="Y59" s="23"/>
      <c r="Z59" s="191"/>
      <c r="AA59" s="91" t="s">
        <v>1823</v>
      </c>
      <c r="AB59" s="22"/>
      <c r="AC59" s="20" t="s">
        <v>197</v>
      </c>
      <c r="AD59" s="20" t="s">
        <v>1565</v>
      </c>
      <c r="AE59" s="22"/>
      <c r="AF59" s="22"/>
    </row>
    <row r="60" spans="2:32" x14ac:dyDescent="0.2">
      <c r="B60" s="9" t="s">
        <v>89</v>
      </c>
      <c r="C60" s="9" t="s">
        <v>446</v>
      </c>
      <c r="D60" s="9" t="s">
        <v>89</v>
      </c>
      <c r="E60" s="96" t="s">
        <v>1087</v>
      </c>
      <c r="F60" s="96" t="s">
        <v>1083</v>
      </c>
      <c r="G60" s="96" t="s">
        <v>1081</v>
      </c>
      <c r="H60" s="11" t="s">
        <v>198</v>
      </c>
      <c r="I60" s="98" t="s">
        <v>1541</v>
      </c>
      <c r="J60" s="11" t="s">
        <v>198</v>
      </c>
      <c r="K60" s="11" t="s">
        <v>198</v>
      </c>
      <c r="L60" s="11" t="s">
        <v>198</v>
      </c>
      <c r="M60" s="11" t="s">
        <v>198</v>
      </c>
      <c r="N60" s="11" t="s">
        <v>198</v>
      </c>
      <c r="O60" s="11" t="s">
        <v>198</v>
      </c>
      <c r="P60" s="11" t="s">
        <v>198</v>
      </c>
      <c r="Q60" s="98" t="s">
        <v>1177</v>
      </c>
      <c r="R60" s="11" t="s">
        <v>198</v>
      </c>
      <c r="S60" s="11" t="s">
        <v>198</v>
      </c>
      <c r="T60" s="98" t="s">
        <v>90</v>
      </c>
      <c r="U60" s="11" t="s">
        <v>198</v>
      </c>
      <c r="V60" s="11" t="s">
        <v>198</v>
      </c>
      <c r="W60" s="101" t="s">
        <v>217</v>
      </c>
      <c r="X60" s="11" t="s">
        <v>198</v>
      </c>
      <c r="Y60" s="23"/>
      <c r="Z60" s="191"/>
      <c r="AA60" s="91" t="s">
        <v>1823</v>
      </c>
      <c r="AB60" s="22"/>
      <c r="AC60" s="20" t="s">
        <v>197</v>
      </c>
      <c r="AD60" s="20" t="s">
        <v>1565</v>
      </c>
      <c r="AE60" s="22"/>
      <c r="AF60" s="22"/>
    </row>
    <row r="61" spans="2:32" x14ac:dyDescent="0.2">
      <c r="B61" s="12" t="s">
        <v>91</v>
      </c>
      <c r="C61" s="9" t="s">
        <v>449</v>
      </c>
      <c r="D61" s="12" t="s">
        <v>91</v>
      </c>
      <c r="E61" s="100" t="s">
        <v>1112</v>
      </c>
      <c r="F61" s="100" t="s">
        <v>1099</v>
      </c>
      <c r="G61" s="100" t="s">
        <v>1095</v>
      </c>
      <c r="H61" s="11" t="s">
        <v>198</v>
      </c>
      <c r="I61" s="98" t="s">
        <v>112</v>
      </c>
      <c r="J61" s="11" t="s">
        <v>198</v>
      </c>
      <c r="K61" s="11" t="s">
        <v>198</v>
      </c>
      <c r="L61" s="11" t="s">
        <v>198</v>
      </c>
      <c r="M61" s="11" t="s">
        <v>198</v>
      </c>
      <c r="N61" s="11" t="s">
        <v>198</v>
      </c>
      <c r="O61" s="11" t="s">
        <v>198</v>
      </c>
      <c r="P61" s="11" t="s">
        <v>198</v>
      </c>
      <c r="Q61" s="11" t="s">
        <v>198</v>
      </c>
      <c r="R61" s="100" t="s">
        <v>1178</v>
      </c>
      <c r="S61" s="98" t="s">
        <v>1179</v>
      </c>
      <c r="T61" s="11" t="s">
        <v>198</v>
      </c>
      <c r="U61" s="11" t="s">
        <v>198</v>
      </c>
      <c r="V61" s="11" t="s">
        <v>198</v>
      </c>
      <c r="W61" s="101" t="s">
        <v>220</v>
      </c>
      <c r="X61" s="11" t="s">
        <v>198</v>
      </c>
      <c r="Y61" s="23"/>
      <c r="Z61" s="21" t="s">
        <v>254</v>
      </c>
      <c r="AA61" s="91" t="s">
        <v>1823</v>
      </c>
      <c r="AB61" s="22"/>
      <c r="AC61" s="20" t="s">
        <v>197</v>
      </c>
      <c r="AD61" s="20" t="s">
        <v>1565</v>
      </c>
      <c r="AE61" s="22"/>
      <c r="AF61" s="22"/>
    </row>
    <row r="62" spans="2:32" x14ac:dyDescent="0.2">
      <c r="B62" s="9" t="s">
        <v>92</v>
      </c>
      <c r="C62" s="9" t="s">
        <v>450</v>
      </c>
      <c r="D62" s="9" t="s">
        <v>92</v>
      </c>
      <c r="E62" s="96" t="s">
        <v>1123</v>
      </c>
      <c r="F62" s="96" t="s">
        <v>1107</v>
      </c>
      <c r="G62" s="96" t="s">
        <v>1104</v>
      </c>
      <c r="H62" s="11" t="s">
        <v>198</v>
      </c>
      <c r="I62" s="98" t="s">
        <v>114</v>
      </c>
      <c r="J62" s="11" t="s">
        <v>198</v>
      </c>
      <c r="K62" s="11" t="s">
        <v>198</v>
      </c>
      <c r="L62" s="11" t="s">
        <v>198</v>
      </c>
      <c r="M62" s="11" t="s">
        <v>198</v>
      </c>
      <c r="N62" s="11" t="s">
        <v>198</v>
      </c>
      <c r="O62" s="11" t="s">
        <v>198</v>
      </c>
      <c r="P62" s="11" t="s">
        <v>198</v>
      </c>
      <c r="Q62" s="11" t="s">
        <v>198</v>
      </c>
      <c r="R62" s="96" t="s">
        <v>1180</v>
      </c>
      <c r="S62" s="98" t="s">
        <v>1181</v>
      </c>
      <c r="T62" s="11" t="s">
        <v>198</v>
      </c>
      <c r="U62" s="11" t="s">
        <v>198</v>
      </c>
      <c r="V62" s="11" t="s">
        <v>198</v>
      </c>
      <c r="W62" s="101" t="s">
        <v>221</v>
      </c>
      <c r="X62" s="11" t="s">
        <v>198</v>
      </c>
      <c r="Y62" s="23"/>
      <c r="Z62" s="21" t="s">
        <v>254</v>
      </c>
      <c r="AA62" s="91" t="s">
        <v>1823</v>
      </c>
      <c r="AB62" s="22"/>
      <c r="AC62" s="20" t="s">
        <v>197</v>
      </c>
      <c r="AD62" s="20" t="s">
        <v>1565</v>
      </c>
      <c r="AE62" s="22"/>
      <c r="AF62" s="22"/>
    </row>
    <row r="63" spans="2:32" x14ac:dyDescent="0.2">
      <c r="B63" s="9" t="s">
        <v>94</v>
      </c>
      <c r="C63" s="9" t="s">
        <v>451</v>
      </c>
      <c r="D63" s="9" t="s">
        <v>94</v>
      </c>
      <c r="E63" s="96" t="s">
        <v>1182</v>
      </c>
      <c r="F63" s="96" t="s">
        <v>1118</v>
      </c>
      <c r="G63" s="96" t="s">
        <v>1113</v>
      </c>
      <c r="H63" s="11" t="s">
        <v>198</v>
      </c>
      <c r="I63" s="98" t="s">
        <v>116</v>
      </c>
      <c r="J63" s="11" t="s">
        <v>198</v>
      </c>
      <c r="K63" s="11" t="s">
        <v>198</v>
      </c>
      <c r="L63" s="11" t="s">
        <v>198</v>
      </c>
      <c r="M63" s="11" t="s">
        <v>198</v>
      </c>
      <c r="N63" s="11" t="s">
        <v>198</v>
      </c>
      <c r="O63" s="11" t="s">
        <v>198</v>
      </c>
      <c r="P63" s="11" t="s">
        <v>198</v>
      </c>
      <c r="Q63" s="11" t="s">
        <v>198</v>
      </c>
      <c r="R63" s="96" t="s">
        <v>1183</v>
      </c>
      <c r="S63" s="11" t="s">
        <v>198</v>
      </c>
      <c r="T63" s="11" t="s">
        <v>198</v>
      </c>
      <c r="U63" s="11" t="s">
        <v>198</v>
      </c>
      <c r="V63" s="11" t="s">
        <v>198</v>
      </c>
      <c r="W63" s="101" t="s">
        <v>222</v>
      </c>
      <c r="X63" s="11" t="s">
        <v>198</v>
      </c>
      <c r="Y63" s="23"/>
      <c r="Z63" s="21" t="s">
        <v>254</v>
      </c>
      <c r="AA63" s="91" t="s">
        <v>1823</v>
      </c>
      <c r="AB63" s="22"/>
      <c r="AC63" s="20" t="s">
        <v>197</v>
      </c>
      <c r="AD63" s="20" t="s">
        <v>1565</v>
      </c>
      <c r="AE63" s="22"/>
      <c r="AF63" s="22"/>
    </row>
    <row r="64" spans="2:32" x14ac:dyDescent="0.2">
      <c r="B64" s="9" t="s">
        <v>96</v>
      </c>
      <c r="C64" s="9" t="s">
        <v>611</v>
      </c>
      <c r="D64" s="9" t="s">
        <v>96</v>
      </c>
      <c r="E64" s="96" t="s">
        <v>1184</v>
      </c>
      <c r="F64" s="96" t="s">
        <v>1185</v>
      </c>
      <c r="G64" s="96" t="s">
        <v>1124</v>
      </c>
      <c r="H64" s="11" t="s">
        <v>198</v>
      </c>
      <c r="I64" s="98" t="s">
        <v>110</v>
      </c>
      <c r="J64" s="11" t="s">
        <v>198</v>
      </c>
      <c r="K64" s="11" t="s">
        <v>198</v>
      </c>
      <c r="L64" s="11" t="s">
        <v>198</v>
      </c>
      <c r="M64" s="11" t="s">
        <v>198</v>
      </c>
      <c r="N64" s="11" t="s">
        <v>198</v>
      </c>
      <c r="O64" s="11" t="s">
        <v>198</v>
      </c>
      <c r="P64" s="11" t="s">
        <v>198</v>
      </c>
      <c r="Q64" s="11" t="s">
        <v>198</v>
      </c>
      <c r="R64" s="11" t="s">
        <v>198</v>
      </c>
      <c r="S64" s="11" t="s">
        <v>198</v>
      </c>
      <c r="T64" s="11" t="s">
        <v>198</v>
      </c>
      <c r="U64" s="11" t="s">
        <v>198</v>
      </c>
      <c r="V64" s="11" t="s">
        <v>198</v>
      </c>
      <c r="W64" s="101" t="s">
        <v>223</v>
      </c>
      <c r="X64" s="11" t="s">
        <v>198</v>
      </c>
      <c r="Y64" s="23"/>
      <c r="Z64" s="21" t="s">
        <v>254</v>
      </c>
      <c r="AA64" s="91"/>
      <c r="AB64" s="22"/>
      <c r="AC64" s="20" t="s">
        <v>197</v>
      </c>
      <c r="AD64" s="20" t="s">
        <v>1565</v>
      </c>
      <c r="AE64" s="22"/>
      <c r="AF64" s="22"/>
    </row>
    <row r="65" spans="2:32" x14ac:dyDescent="0.2">
      <c r="B65" s="9" t="s">
        <v>97</v>
      </c>
      <c r="C65" s="9" t="s">
        <v>612</v>
      </c>
      <c r="D65" s="9" t="s">
        <v>97</v>
      </c>
      <c r="E65" s="96" t="s">
        <v>373</v>
      </c>
      <c r="F65" s="11" t="s">
        <v>198</v>
      </c>
      <c r="G65" s="96" t="s">
        <v>1621</v>
      </c>
      <c r="H65" s="11" t="s">
        <v>198</v>
      </c>
      <c r="I65" s="98" t="s">
        <v>1186</v>
      </c>
      <c r="J65" s="98" t="s">
        <v>1187</v>
      </c>
      <c r="K65" s="11" t="s">
        <v>198</v>
      </c>
      <c r="L65" s="11" t="s">
        <v>198</v>
      </c>
      <c r="M65" s="11" t="s">
        <v>198</v>
      </c>
      <c r="N65" s="11" t="s">
        <v>198</v>
      </c>
      <c r="O65" s="98" t="s">
        <v>1188</v>
      </c>
      <c r="P65" s="11" t="s">
        <v>198</v>
      </c>
      <c r="Q65" s="11" t="s">
        <v>198</v>
      </c>
      <c r="R65" s="98" t="s">
        <v>1189</v>
      </c>
      <c r="S65" s="96" t="s">
        <v>1190</v>
      </c>
      <c r="T65" s="98" t="s">
        <v>1229</v>
      </c>
      <c r="U65" s="11" t="s">
        <v>198</v>
      </c>
      <c r="V65" s="11" t="s">
        <v>198</v>
      </c>
      <c r="W65" s="101" t="s">
        <v>224</v>
      </c>
      <c r="X65" s="11" t="s">
        <v>198</v>
      </c>
      <c r="Y65" s="23"/>
      <c r="Z65" s="21" t="s">
        <v>254</v>
      </c>
      <c r="AA65" s="91" t="s">
        <v>1823</v>
      </c>
      <c r="AB65" s="22"/>
      <c r="AC65" s="20" t="s">
        <v>1557</v>
      </c>
      <c r="AD65" s="20" t="s">
        <v>1566</v>
      </c>
      <c r="AE65" s="22"/>
      <c r="AF65" s="22"/>
    </row>
    <row r="66" spans="2:32" x14ac:dyDescent="0.2">
      <c r="B66" s="9" t="s">
        <v>98</v>
      </c>
      <c r="C66" s="9" t="s">
        <v>459</v>
      </c>
      <c r="D66" s="9" t="s">
        <v>98</v>
      </c>
      <c r="E66" s="96" t="s">
        <v>1191</v>
      </c>
      <c r="F66" s="96" t="s">
        <v>1192</v>
      </c>
      <c r="G66" s="96" t="s">
        <v>1193</v>
      </c>
      <c r="H66" s="11" t="s">
        <v>198</v>
      </c>
      <c r="I66" s="96" t="s">
        <v>1194</v>
      </c>
      <c r="J66" s="98" t="s">
        <v>1195</v>
      </c>
      <c r="K66" s="11" t="s">
        <v>198</v>
      </c>
      <c r="L66" s="11" t="s">
        <v>198</v>
      </c>
      <c r="M66" s="11" t="s">
        <v>198</v>
      </c>
      <c r="N66" s="11" t="s">
        <v>198</v>
      </c>
      <c r="O66" s="96" t="s">
        <v>1196</v>
      </c>
      <c r="P66" s="11" t="s">
        <v>198</v>
      </c>
      <c r="Q66" s="11" t="s">
        <v>198</v>
      </c>
      <c r="R66" s="96" t="s">
        <v>1197</v>
      </c>
      <c r="S66" s="98" t="s">
        <v>1198</v>
      </c>
      <c r="T66" s="98" t="s">
        <v>1230</v>
      </c>
      <c r="U66" s="11" t="s">
        <v>198</v>
      </c>
      <c r="V66" s="11" t="s">
        <v>198</v>
      </c>
      <c r="W66" s="101" t="s">
        <v>225</v>
      </c>
      <c r="X66" s="11" t="s">
        <v>198</v>
      </c>
      <c r="Y66" s="23"/>
      <c r="Z66" s="21" t="s">
        <v>254</v>
      </c>
      <c r="AA66" s="91" t="s">
        <v>1823</v>
      </c>
      <c r="AB66" s="22"/>
      <c r="AC66" s="20" t="s">
        <v>1557</v>
      </c>
      <c r="AD66" s="20" t="s">
        <v>1566</v>
      </c>
      <c r="AE66" s="22"/>
      <c r="AF66" s="22"/>
    </row>
    <row r="67" spans="2:32" x14ac:dyDescent="0.2">
      <c r="B67" s="9" t="s">
        <v>99</v>
      </c>
      <c r="C67" s="9" t="s">
        <v>457</v>
      </c>
      <c r="D67" s="9" t="s">
        <v>99</v>
      </c>
      <c r="E67" s="96" t="s">
        <v>376</v>
      </c>
      <c r="F67" s="96" t="s">
        <v>1199</v>
      </c>
      <c r="G67" s="96" t="s">
        <v>1622</v>
      </c>
      <c r="H67" s="11" t="s">
        <v>198</v>
      </c>
      <c r="I67" s="96" t="s">
        <v>1200</v>
      </c>
      <c r="J67" s="98" t="s">
        <v>1201</v>
      </c>
      <c r="K67" s="11" t="s">
        <v>198</v>
      </c>
      <c r="L67" s="11" t="s">
        <v>198</v>
      </c>
      <c r="M67" s="11" t="s">
        <v>198</v>
      </c>
      <c r="N67" s="11" t="s">
        <v>198</v>
      </c>
      <c r="O67" s="96" t="s">
        <v>1202</v>
      </c>
      <c r="P67" s="11" t="s">
        <v>198</v>
      </c>
      <c r="Q67" s="11" t="s">
        <v>198</v>
      </c>
      <c r="R67" s="96" t="s">
        <v>1203</v>
      </c>
      <c r="S67" s="96" t="s">
        <v>1204</v>
      </c>
      <c r="T67" s="11" t="s">
        <v>198</v>
      </c>
      <c r="U67" s="11" t="s">
        <v>198</v>
      </c>
      <c r="V67" s="11" t="s">
        <v>198</v>
      </c>
      <c r="W67" s="101" t="s">
        <v>226</v>
      </c>
      <c r="X67" s="11" t="s">
        <v>198</v>
      </c>
      <c r="Y67" s="23"/>
      <c r="Z67" s="21" t="s">
        <v>254</v>
      </c>
      <c r="AA67" s="91" t="s">
        <v>1823</v>
      </c>
      <c r="AB67" s="22"/>
      <c r="AC67" s="20" t="s">
        <v>1557</v>
      </c>
      <c r="AD67" s="20" t="s">
        <v>1566</v>
      </c>
      <c r="AE67" s="22"/>
      <c r="AF67" s="22"/>
    </row>
    <row r="68" spans="2:32" x14ac:dyDescent="0.2">
      <c r="B68" s="9" t="s">
        <v>100</v>
      </c>
      <c r="C68" s="9" t="s">
        <v>455</v>
      </c>
      <c r="D68" s="9" t="s">
        <v>100</v>
      </c>
      <c r="E68" s="96" t="s">
        <v>1205</v>
      </c>
      <c r="F68" s="96" t="s">
        <v>377</v>
      </c>
      <c r="G68" s="96" t="s">
        <v>1206</v>
      </c>
      <c r="H68" s="11" t="s">
        <v>198</v>
      </c>
      <c r="I68" s="96" t="s">
        <v>1207</v>
      </c>
      <c r="J68" s="98" t="s">
        <v>1208</v>
      </c>
      <c r="K68" s="11" t="s">
        <v>198</v>
      </c>
      <c r="L68" s="11" t="s">
        <v>198</v>
      </c>
      <c r="M68" s="11" t="s">
        <v>198</v>
      </c>
      <c r="N68" s="11" t="s">
        <v>198</v>
      </c>
      <c r="O68" s="96" t="s">
        <v>1209</v>
      </c>
      <c r="P68" s="11" t="s">
        <v>198</v>
      </c>
      <c r="Q68" s="11" t="s">
        <v>198</v>
      </c>
      <c r="R68" s="96" t="s">
        <v>1210</v>
      </c>
      <c r="S68" s="96" t="s">
        <v>1211</v>
      </c>
      <c r="T68" s="11" t="s">
        <v>198</v>
      </c>
      <c r="U68" s="11" t="s">
        <v>198</v>
      </c>
      <c r="V68" s="11" t="s">
        <v>198</v>
      </c>
      <c r="W68" s="101" t="s">
        <v>227</v>
      </c>
      <c r="X68" s="11" t="s">
        <v>198</v>
      </c>
      <c r="Y68" s="23"/>
      <c r="Z68" s="21" t="s">
        <v>254</v>
      </c>
      <c r="AA68" s="91" t="s">
        <v>1823</v>
      </c>
      <c r="AB68" s="22"/>
      <c r="AC68" s="20" t="s">
        <v>1557</v>
      </c>
      <c r="AD68" s="20" t="s">
        <v>1566</v>
      </c>
      <c r="AE68" s="22"/>
      <c r="AF68" s="22"/>
    </row>
    <row r="69" spans="2:32" x14ac:dyDescent="0.2">
      <c r="B69" s="9" t="s">
        <v>941</v>
      </c>
      <c r="C69" s="9" t="s">
        <v>453</v>
      </c>
      <c r="D69" s="9" t="s">
        <v>941</v>
      </c>
      <c r="E69" s="96" t="s">
        <v>382</v>
      </c>
      <c r="F69" s="96" t="s">
        <v>1212</v>
      </c>
      <c r="G69" s="96" t="s">
        <v>1623</v>
      </c>
      <c r="H69" s="11" t="s">
        <v>198</v>
      </c>
      <c r="I69" s="11" t="s">
        <v>198</v>
      </c>
      <c r="J69" s="98" t="s">
        <v>1213</v>
      </c>
      <c r="K69" s="11" t="s">
        <v>198</v>
      </c>
      <c r="L69" s="11" t="s">
        <v>198</v>
      </c>
      <c r="M69" s="11" t="s">
        <v>198</v>
      </c>
      <c r="N69" s="11" t="s">
        <v>198</v>
      </c>
      <c r="O69" s="98" t="s">
        <v>1214</v>
      </c>
      <c r="P69" s="11" t="s">
        <v>198</v>
      </c>
      <c r="Q69" s="11" t="s">
        <v>198</v>
      </c>
      <c r="R69" s="98" t="s">
        <v>1215</v>
      </c>
      <c r="S69" s="98" t="s">
        <v>1216</v>
      </c>
      <c r="T69" s="11" t="s">
        <v>198</v>
      </c>
      <c r="U69" s="11" t="s">
        <v>198</v>
      </c>
      <c r="V69" s="98" t="s">
        <v>1512</v>
      </c>
      <c r="W69" s="101" t="s">
        <v>228</v>
      </c>
      <c r="X69" s="11" t="s">
        <v>198</v>
      </c>
      <c r="Y69" s="23"/>
      <c r="Z69" s="21" t="s">
        <v>254</v>
      </c>
      <c r="AA69" s="91" t="s">
        <v>1823</v>
      </c>
      <c r="AB69" s="22"/>
      <c r="AC69" s="20" t="s">
        <v>1557</v>
      </c>
      <c r="AD69" s="20" t="s">
        <v>1566</v>
      </c>
      <c r="AE69" s="22"/>
      <c r="AF69" s="22"/>
    </row>
    <row r="70" spans="2:32" x14ac:dyDescent="0.2">
      <c r="B70" s="9" t="s">
        <v>942</v>
      </c>
      <c r="C70" s="9" t="s">
        <v>454</v>
      </c>
      <c r="D70" s="9" t="s">
        <v>942</v>
      </c>
      <c r="E70" s="96" t="s">
        <v>1217</v>
      </c>
      <c r="F70" s="96" t="s">
        <v>383</v>
      </c>
      <c r="G70" s="96" t="s">
        <v>1218</v>
      </c>
      <c r="H70" s="11" t="s">
        <v>198</v>
      </c>
      <c r="I70" s="11" t="s">
        <v>198</v>
      </c>
      <c r="J70" s="98" t="s">
        <v>1219</v>
      </c>
      <c r="K70" s="11" t="s">
        <v>198</v>
      </c>
      <c r="L70" s="11" t="s">
        <v>198</v>
      </c>
      <c r="M70" s="11" t="s">
        <v>198</v>
      </c>
      <c r="N70" s="11" t="s">
        <v>198</v>
      </c>
      <c r="O70" s="98" t="s">
        <v>1220</v>
      </c>
      <c r="P70" s="11" t="s">
        <v>198</v>
      </c>
      <c r="Q70" s="11" t="s">
        <v>198</v>
      </c>
      <c r="R70" s="11" t="s">
        <v>198</v>
      </c>
      <c r="S70" s="98" t="s">
        <v>1221</v>
      </c>
      <c r="T70" s="11" t="s">
        <v>198</v>
      </c>
      <c r="U70" s="11" t="s">
        <v>198</v>
      </c>
      <c r="V70" s="98" t="s">
        <v>1513</v>
      </c>
      <c r="W70" s="101" t="s">
        <v>229</v>
      </c>
      <c r="X70" s="11" t="s">
        <v>198</v>
      </c>
      <c r="Y70" s="23"/>
      <c r="Z70" s="21" t="s">
        <v>254</v>
      </c>
      <c r="AA70" s="91" t="s">
        <v>1823</v>
      </c>
      <c r="AB70" s="22"/>
      <c r="AC70" s="20" t="s">
        <v>1557</v>
      </c>
      <c r="AD70" s="20" t="s">
        <v>1566</v>
      </c>
      <c r="AE70" s="22"/>
      <c r="AF70" s="22"/>
    </row>
    <row r="71" spans="2:32" x14ac:dyDescent="0.2">
      <c r="B71" s="9" t="s">
        <v>943</v>
      </c>
      <c r="C71" s="9" t="s">
        <v>452</v>
      </c>
      <c r="D71" s="9" t="s">
        <v>943</v>
      </c>
      <c r="E71" s="96" t="s">
        <v>1222</v>
      </c>
      <c r="F71" s="96" t="s">
        <v>1223</v>
      </c>
      <c r="G71" s="96" t="s">
        <v>1624</v>
      </c>
      <c r="H71" s="11" t="s">
        <v>198</v>
      </c>
      <c r="I71" s="11" t="s">
        <v>198</v>
      </c>
      <c r="J71" s="98" t="s">
        <v>1224</v>
      </c>
      <c r="K71" s="11" t="s">
        <v>198</v>
      </c>
      <c r="L71" s="11" t="s">
        <v>198</v>
      </c>
      <c r="M71" s="11" t="s">
        <v>198</v>
      </c>
      <c r="N71" s="11" t="s">
        <v>198</v>
      </c>
      <c r="O71" s="98" t="s">
        <v>1225</v>
      </c>
      <c r="P71" s="11" t="s">
        <v>198</v>
      </c>
      <c r="Q71" s="11" t="s">
        <v>198</v>
      </c>
      <c r="R71" s="11" t="s">
        <v>198</v>
      </c>
      <c r="S71" s="11" t="s">
        <v>198</v>
      </c>
      <c r="T71" s="98" t="s">
        <v>1091</v>
      </c>
      <c r="U71" s="11" t="s">
        <v>198</v>
      </c>
      <c r="V71" s="11" t="s">
        <v>198</v>
      </c>
      <c r="W71" s="101" t="s">
        <v>230</v>
      </c>
      <c r="X71" s="11" t="s">
        <v>198</v>
      </c>
      <c r="Y71" s="23"/>
      <c r="Z71" s="21" t="s">
        <v>254</v>
      </c>
      <c r="AA71" s="91" t="s">
        <v>1823</v>
      </c>
      <c r="AB71" s="22"/>
      <c r="AC71" s="20" t="s">
        <v>1557</v>
      </c>
      <c r="AD71" s="20" t="s">
        <v>1566</v>
      </c>
      <c r="AE71" s="22"/>
      <c r="AF71" s="22"/>
    </row>
    <row r="72" spans="2:32" x14ac:dyDescent="0.2">
      <c r="B72" s="9" t="s">
        <v>944</v>
      </c>
      <c r="C72" s="9" t="s">
        <v>458</v>
      </c>
      <c r="D72" s="9" t="s">
        <v>944</v>
      </c>
      <c r="E72" s="11" t="s">
        <v>198</v>
      </c>
      <c r="F72" s="96" t="s">
        <v>1226</v>
      </c>
      <c r="G72" s="96" t="s">
        <v>1625</v>
      </c>
      <c r="H72" s="11" t="s">
        <v>198</v>
      </c>
      <c r="I72" s="11" t="s">
        <v>198</v>
      </c>
      <c r="J72" s="98" t="s">
        <v>1227</v>
      </c>
      <c r="K72" s="11" t="s">
        <v>198</v>
      </c>
      <c r="L72" s="11" t="s">
        <v>198</v>
      </c>
      <c r="M72" s="11" t="s">
        <v>198</v>
      </c>
      <c r="N72" s="11" t="s">
        <v>198</v>
      </c>
      <c r="O72" s="98" t="s">
        <v>1228</v>
      </c>
      <c r="P72" s="11" t="s">
        <v>198</v>
      </c>
      <c r="Q72" s="11" t="s">
        <v>198</v>
      </c>
      <c r="R72" s="11" t="s">
        <v>198</v>
      </c>
      <c r="S72" s="11" t="s">
        <v>198</v>
      </c>
      <c r="T72" s="98" t="s">
        <v>1093</v>
      </c>
      <c r="U72" s="11" t="s">
        <v>198</v>
      </c>
      <c r="V72" s="11" t="s">
        <v>198</v>
      </c>
      <c r="W72" s="101" t="s">
        <v>231</v>
      </c>
      <c r="X72" s="11" t="s">
        <v>198</v>
      </c>
      <c r="Y72" s="23"/>
      <c r="Z72" s="21" t="s">
        <v>254</v>
      </c>
      <c r="AA72" s="91" t="s">
        <v>1823</v>
      </c>
      <c r="AB72" s="22"/>
      <c r="AC72" s="20" t="s">
        <v>1557</v>
      </c>
      <c r="AD72" s="20" t="s">
        <v>1566</v>
      </c>
      <c r="AE72" s="22"/>
      <c r="AF72" s="22"/>
    </row>
    <row r="73" spans="2:32" x14ac:dyDescent="0.2">
      <c r="B73" s="9" t="s">
        <v>102</v>
      </c>
      <c r="C73" s="9" t="s">
        <v>456</v>
      </c>
      <c r="D73" s="9" t="s">
        <v>102</v>
      </c>
      <c r="E73" s="96" t="s">
        <v>1231</v>
      </c>
      <c r="F73" s="11" t="s">
        <v>198</v>
      </c>
      <c r="G73" s="96" t="s">
        <v>1232</v>
      </c>
      <c r="H73" s="11" t="s">
        <v>198</v>
      </c>
      <c r="I73" s="11" t="s">
        <v>198</v>
      </c>
      <c r="J73" s="11" t="s">
        <v>198</v>
      </c>
      <c r="K73" s="11" t="s">
        <v>198</v>
      </c>
      <c r="L73" s="11" t="s">
        <v>198</v>
      </c>
      <c r="M73" s="11" t="s">
        <v>198</v>
      </c>
      <c r="N73" s="11" t="s">
        <v>198</v>
      </c>
      <c r="O73" s="11" t="s">
        <v>198</v>
      </c>
      <c r="P73" s="11" t="s">
        <v>198</v>
      </c>
      <c r="Q73" s="11" t="s">
        <v>198</v>
      </c>
      <c r="R73" s="11" t="s">
        <v>198</v>
      </c>
      <c r="S73" s="98" t="s">
        <v>1233</v>
      </c>
      <c r="T73" s="98" t="s">
        <v>408</v>
      </c>
      <c r="U73" s="11" t="s">
        <v>198</v>
      </c>
      <c r="V73" s="98" t="s">
        <v>1514</v>
      </c>
      <c r="W73" s="101" t="s">
        <v>232</v>
      </c>
      <c r="X73" s="11" t="s">
        <v>198</v>
      </c>
      <c r="Y73" s="23"/>
      <c r="Z73" s="21" t="s">
        <v>254</v>
      </c>
      <c r="AA73" s="91" t="s">
        <v>1823</v>
      </c>
      <c r="AB73" s="22"/>
      <c r="AC73" s="20" t="s">
        <v>1557</v>
      </c>
      <c r="AD73" s="20" t="s">
        <v>1566</v>
      </c>
      <c r="AE73" s="22"/>
      <c r="AF73" s="22"/>
    </row>
    <row r="74" spans="2:32" x14ac:dyDescent="0.2">
      <c r="B74" s="9" t="s">
        <v>103</v>
      </c>
      <c r="C74" s="9" t="s">
        <v>462</v>
      </c>
      <c r="D74" s="9" t="s">
        <v>103</v>
      </c>
      <c r="E74" s="11" t="s">
        <v>198</v>
      </c>
      <c r="F74" s="96" t="s">
        <v>1234</v>
      </c>
      <c r="G74" s="96" t="s">
        <v>1626</v>
      </c>
      <c r="H74" s="11" t="s">
        <v>198</v>
      </c>
      <c r="I74" s="11" t="s">
        <v>198</v>
      </c>
      <c r="J74" s="11" t="s">
        <v>198</v>
      </c>
      <c r="K74" s="11" t="s">
        <v>198</v>
      </c>
      <c r="L74" s="11" t="s">
        <v>198</v>
      </c>
      <c r="M74" s="11" t="s">
        <v>198</v>
      </c>
      <c r="N74" s="11" t="s">
        <v>198</v>
      </c>
      <c r="O74" s="11" t="s">
        <v>198</v>
      </c>
      <c r="P74" s="11" t="s">
        <v>198</v>
      </c>
      <c r="Q74" s="11" t="s">
        <v>198</v>
      </c>
      <c r="R74" s="11" t="s">
        <v>198</v>
      </c>
      <c r="S74" s="98" t="s">
        <v>1235</v>
      </c>
      <c r="T74" s="98" t="s">
        <v>410</v>
      </c>
      <c r="U74" s="11" t="s">
        <v>198</v>
      </c>
      <c r="V74" s="98" t="s">
        <v>1515</v>
      </c>
      <c r="W74" s="101" t="s">
        <v>233</v>
      </c>
      <c r="X74" s="11" t="s">
        <v>198</v>
      </c>
      <c r="Y74" s="23"/>
      <c r="Z74" s="21" t="s">
        <v>254</v>
      </c>
      <c r="AA74" s="91" t="s">
        <v>1823</v>
      </c>
      <c r="AB74" s="22"/>
      <c r="AC74" s="20" t="s">
        <v>1557</v>
      </c>
      <c r="AD74" s="20" t="s">
        <v>1566</v>
      </c>
      <c r="AE74" s="22"/>
      <c r="AF74" s="22"/>
    </row>
    <row r="75" spans="2:32" x14ac:dyDescent="0.2">
      <c r="B75" s="9" t="s">
        <v>104</v>
      </c>
      <c r="C75" s="9" t="s">
        <v>460</v>
      </c>
      <c r="D75" s="9" t="s">
        <v>104</v>
      </c>
      <c r="E75" s="96" t="s">
        <v>1236</v>
      </c>
      <c r="F75" s="11" t="s">
        <v>198</v>
      </c>
      <c r="G75" s="96" t="s">
        <v>1237</v>
      </c>
      <c r="H75" s="11" t="s">
        <v>198</v>
      </c>
      <c r="I75" s="11" t="s">
        <v>198</v>
      </c>
      <c r="J75" s="11" t="s">
        <v>198</v>
      </c>
      <c r="K75" s="11" t="s">
        <v>198</v>
      </c>
      <c r="L75" s="11" t="s">
        <v>198</v>
      </c>
      <c r="M75" s="11" t="s">
        <v>198</v>
      </c>
      <c r="N75" s="11" t="s">
        <v>198</v>
      </c>
      <c r="O75" s="11" t="s">
        <v>198</v>
      </c>
      <c r="P75" s="11" t="s">
        <v>198</v>
      </c>
      <c r="Q75" s="11" t="s">
        <v>198</v>
      </c>
      <c r="R75" s="11" t="s">
        <v>198</v>
      </c>
      <c r="S75" s="11" t="s">
        <v>198</v>
      </c>
      <c r="T75" s="98" t="s">
        <v>411</v>
      </c>
      <c r="U75" s="11" t="s">
        <v>198</v>
      </c>
      <c r="V75" s="98" t="s">
        <v>1516</v>
      </c>
      <c r="W75" s="101" t="s">
        <v>234</v>
      </c>
      <c r="X75" s="11" t="s">
        <v>198</v>
      </c>
      <c r="Y75" s="23"/>
      <c r="Z75" s="21" t="s">
        <v>254</v>
      </c>
      <c r="AA75" s="91"/>
      <c r="AB75" s="22"/>
      <c r="AC75" s="20" t="s">
        <v>1557</v>
      </c>
      <c r="AD75" s="20" t="s">
        <v>1566</v>
      </c>
      <c r="AE75" s="22"/>
      <c r="AF75" s="22"/>
    </row>
    <row r="76" spans="2:32" x14ac:dyDescent="0.2">
      <c r="B76" s="9" t="s">
        <v>945</v>
      </c>
      <c r="C76" s="9" t="s">
        <v>461</v>
      </c>
      <c r="D76" s="9" t="s">
        <v>945</v>
      </c>
      <c r="E76" s="11" t="s">
        <v>198</v>
      </c>
      <c r="F76" s="96" t="s">
        <v>1238</v>
      </c>
      <c r="G76" s="96" t="s">
        <v>1627</v>
      </c>
      <c r="H76" s="11" t="s">
        <v>198</v>
      </c>
      <c r="I76" s="11" t="s">
        <v>198</v>
      </c>
      <c r="J76" s="11" t="s">
        <v>198</v>
      </c>
      <c r="K76" s="11" t="s">
        <v>198</v>
      </c>
      <c r="L76" s="11" t="s">
        <v>198</v>
      </c>
      <c r="M76" s="11" t="s">
        <v>198</v>
      </c>
      <c r="N76" s="11" t="s">
        <v>198</v>
      </c>
      <c r="O76" s="11" t="s">
        <v>198</v>
      </c>
      <c r="P76" s="11" t="s">
        <v>198</v>
      </c>
      <c r="Q76" s="11" t="s">
        <v>198</v>
      </c>
      <c r="R76" s="11" t="s">
        <v>198</v>
      </c>
      <c r="S76" s="11" t="s">
        <v>198</v>
      </c>
      <c r="T76" s="98" t="s">
        <v>412</v>
      </c>
      <c r="U76" s="11" t="s">
        <v>198</v>
      </c>
      <c r="V76" s="98" t="s">
        <v>1517</v>
      </c>
      <c r="W76" s="101" t="s">
        <v>235</v>
      </c>
      <c r="X76" s="11" t="s">
        <v>198</v>
      </c>
      <c r="Y76" s="23"/>
      <c r="Z76" s="21" t="s">
        <v>254</v>
      </c>
      <c r="AA76" s="91"/>
      <c r="AB76" s="22"/>
      <c r="AC76" s="20" t="s">
        <v>1557</v>
      </c>
      <c r="AD76" s="20" t="s">
        <v>1566</v>
      </c>
      <c r="AE76" s="22"/>
      <c r="AF76" s="22"/>
    </row>
    <row r="77" spans="2:32" x14ac:dyDescent="0.2">
      <c r="B77" s="9" t="s">
        <v>946</v>
      </c>
      <c r="C77" s="9" t="s">
        <v>463</v>
      </c>
      <c r="D77" s="9" t="s">
        <v>946</v>
      </c>
      <c r="E77" s="96" t="s">
        <v>1239</v>
      </c>
      <c r="F77" s="11" t="s">
        <v>198</v>
      </c>
      <c r="G77" s="96" t="s">
        <v>1240</v>
      </c>
      <c r="H77" s="11" t="s">
        <v>198</v>
      </c>
      <c r="I77" s="96" t="s">
        <v>1241</v>
      </c>
      <c r="J77" s="96" t="s">
        <v>1242</v>
      </c>
      <c r="K77" s="11" t="s">
        <v>198</v>
      </c>
      <c r="L77" s="11" t="s">
        <v>198</v>
      </c>
      <c r="M77" s="11" t="s">
        <v>198</v>
      </c>
      <c r="N77" s="11" t="s">
        <v>198</v>
      </c>
      <c r="O77" s="11" t="s">
        <v>198</v>
      </c>
      <c r="P77" s="11" t="s">
        <v>198</v>
      </c>
      <c r="Q77" s="11" t="s">
        <v>198</v>
      </c>
      <c r="R77" s="11" t="s">
        <v>198</v>
      </c>
      <c r="S77" s="11" t="s">
        <v>198</v>
      </c>
      <c r="T77" s="98" t="s">
        <v>374</v>
      </c>
      <c r="U77" s="11" t="s">
        <v>198</v>
      </c>
      <c r="V77" s="98" t="s">
        <v>1514</v>
      </c>
      <c r="W77" s="101" t="s">
        <v>236</v>
      </c>
      <c r="X77" s="11" t="s">
        <v>198</v>
      </c>
      <c r="Y77" s="23"/>
      <c r="Z77" s="21" t="s">
        <v>254</v>
      </c>
      <c r="AA77" s="91" t="s">
        <v>1823</v>
      </c>
      <c r="AB77" s="22"/>
      <c r="AC77" s="20" t="s">
        <v>1557</v>
      </c>
      <c r="AD77" s="20" t="s">
        <v>1566</v>
      </c>
      <c r="AE77" s="22"/>
      <c r="AF77" s="22"/>
    </row>
    <row r="78" spans="2:32" x14ac:dyDescent="0.2">
      <c r="B78" s="9" t="s">
        <v>947</v>
      </c>
      <c r="C78" s="9" t="s">
        <v>465</v>
      </c>
      <c r="D78" s="9" t="s">
        <v>947</v>
      </c>
      <c r="E78" s="11" t="s">
        <v>198</v>
      </c>
      <c r="F78" s="96" t="s">
        <v>1243</v>
      </c>
      <c r="G78" s="96" t="s">
        <v>1628</v>
      </c>
      <c r="H78" s="11" t="s">
        <v>198</v>
      </c>
      <c r="I78" s="96" t="s">
        <v>1244</v>
      </c>
      <c r="J78" s="96" t="s">
        <v>1245</v>
      </c>
      <c r="K78" s="11" t="s">
        <v>198</v>
      </c>
      <c r="L78" s="11" t="s">
        <v>198</v>
      </c>
      <c r="M78" s="11" t="s">
        <v>198</v>
      </c>
      <c r="N78" s="11" t="s">
        <v>198</v>
      </c>
      <c r="O78" s="11" t="s">
        <v>198</v>
      </c>
      <c r="P78" s="11" t="s">
        <v>198</v>
      </c>
      <c r="Q78" s="11" t="s">
        <v>198</v>
      </c>
      <c r="R78" s="11" t="s">
        <v>198</v>
      </c>
      <c r="S78" s="11" t="s">
        <v>198</v>
      </c>
      <c r="T78" s="98" t="s">
        <v>375</v>
      </c>
      <c r="U78" s="11" t="s">
        <v>198</v>
      </c>
      <c r="V78" s="98" t="s">
        <v>1515</v>
      </c>
      <c r="W78" s="101" t="s">
        <v>237</v>
      </c>
      <c r="X78" s="11" t="s">
        <v>198</v>
      </c>
      <c r="Y78" s="23"/>
      <c r="Z78" s="21" t="s">
        <v>254</v>
      </c>
      <c r="AA78" s="91" t="s">
        <v>1823</v>
      </c>
      <c r="AB78" s="22"/>
      <c r="AC78" s="20" t="s">
        <v>1557</v>
      </c>
      <c r="AD78" s="20" t="s">
        <v>1566</v>
      </c>
      <c r="AE78" s="22"/>
      <c r="AF78" s="22"/>
    </row>
    <row r="79" spans="2:32" x14ac:dyDescent="0.2">
      <c r="B79" s="9" t="s">
        <v>948</v>
      </c>
      <c r="C79" s="9" t="s">
        <v>467</v>
      </c>
      <c r="D79" s="9" t="s">
        <v>948</v>
      </c>
      <c r="E79" s="96" t="s">
        <v>1246</v>
      </c>
      <c r="F79" s="11" t="s">
        <v>198</v>
      </c>
      <c r="G79" s="96" t="s">
        <v>1247</v>
      </c>
      <c r="H79" s="11" t="s">
        <v>198</v>
      </c>
      <c r="I79" s="96" t="s">
        <v>1248</v>
      </c>
      <c r="J79" s="98" t="s">
        <v>1249</v>
      </c>
      <c r="K79" s="11" t="s">
        <v>198</v>
      </c>
      <c r="L79" s="11" t="s">
        <v>198</v>
      </c>
      <c r="M79" s="11" t="s">
        <v>198</v>
      </c>
      <c r="N79" s="11" t="s">
        <v>198</v>
      </c>
      <c r="O79" s="11" t="s">
        <v>198</v>
      </c>
      <c r="P79" s="11" t="s">
        <v>198</v>
      </c>
      <c r="Q79" s="11" t="s">
        <v>198</v>
      </c>
      <c r="R79" s="11" t="s">
        <v>198</v>
      </c>
      <c r="S79" s="11" t="s">
        <v>198</v>
      </c>
      <c r="T79" s="98" t="s">
        <v>413</v>
      </c>
      <c r="U79" s="11" t="s">
        <v>198</v>
      </c>
      <c r="V79" s="98" t="s">
        <v>1518</v>
      </c>
      <c r="W79" s="101" t="s">
        <v>238</v>
      </c>
      <c r="X79" s="11" t="s">
        <v>198</v>
      </c>
      <c r="Y79" s="23"/>
      <c r="Z79" s="21" t="s">
        <v>254</v>
      </c>
      <c r="AA79" s="91" t="s">
        <v>1823</v>
      </c>
      <c r="AB79" s="22"/>
      <c r="AC79" s="20" t="s">
        <v>1557</v>
      </c>
      <c r="AD79" s="20" t="s">
        <v>1566</v>
      </c>
      <c r="AE79" s="22"/>
      <c r="AF79" s="22"/>
    </row>
    <row r="80" spans="2:32" x14ac:dyDescent="0.2">
      <c r="B80" s="9" t="s">
        <v>949</v>
      </c>
      <c r="C80" s="9" t="s">
        <v>466</v>
      </c>
      <c r="D80" s="9" t="s">
        <v>949</v>
      </c>
      <c r="E80" s="11" t="s">
        <v>198</v>
      </c>
      <c r="F80" s="96" t="s">
        <v>1250</v>
      </c>
      <c r="G80" s="96" t="s">
        <v>1629</v>
      </c>
      <c r="H80" s="11" t="s">
        <v>198</v>
      </c>
      <c r="I80" s="96" t="s">
        <v>1251</v>
      </c>
      <c r="J80" s="98" t="s">
        <v>1252</v>
      </c>
      <c r="K80" s="11" t="s">
        <v>198</v>
      </c>
      <c r="L80" s="11" t="s">
        <v>198</v>
      </c>
      <c r="M80" s="11" t="s">
        <v>198</v>
      </c>
      <c r="N80" s="11" t="s">
        <v>198</v>
      </c>
      <c r="O80" s="11" t="s">
        <v>198</v>
      </c>
      <c r="P80" s="11" t="s">
        <v>198</v>
      </c>
      <c r="Q80" s="11" t="s">
        <v>198</v>
      </c>
      <c r="R80" s="11" t="s">
        <v>198</v>
      </c>
      <c r="S80" s="11" t="s">
        <v>198</v>
      </c>
      <c r="T80" s="98" t="s">
        <v>414</v>
      </c>
      <c r="U80" s="11" t="s">
        <v>198</v>
      </c>
      <c r="V80" s="98" t="s">
        <v>1519</v>
      </c>
      <c r="W80" s="101" t="s">
        <v>239</v>
      </c>
      <c r="X80" s="11" t="s">
        <v>198</v>
      </c>
      <c r="Y80" s="23"/>
      <c r="Z80" s="21" t="s">
        <v>254</v>
      </c>
      <c r="AA80" s="91" t="s">
        <v>1823</v>
      </c>
      <c r="AB80" s="22"/>
      <c r="AC80" s="20" t="s">
        <v>1557</v>
      </c>
      <c r="AD80" s="20" t="s">
        <v>1566</v>
      </c>
      <c r="AE80" s="22"/>
      <c r="AF80" s="22"/>
    </row>
    <row r="81" spans="2:32" x14ac:dyDescent="0.2">
      <c r="B81" s="9" t="s">
        <v>105</v>
      </c>
      <c r="C81" s="9" t="s">
        <v>464</v>
      </c>
      <c r="D81" s="9" t="s">
        <v>105</v>
      </c>
      <c r="E81" s="98" t="s">
        <v>1253</v>
      </c>
      <c r="F81" s="11" t="s">
        <v>198</v>
      </c>
      <c r="G81" s="98" t="s">
        <v>1254</v>
      </c>
      <c r="H81" s="11" t="s">
        <v>198</v>
      </c>
      <c r="I81" s="11" t="s">
        <v>198</v>
      </c>
      <c r="J81" s="11" t="s">
        <v>198</v>
      </c>
      <c r="K81" s="11" t="s">
        <v>198</v>
      </c>
      <c r="L81" s="11" t="s">
        <v>198</v>
      </c>
      <c r="M81" s="11" t="s">
        <v>198</v>
      </c>
      <c r="N81" s="11" t="s">
        <v>198</v>
      </c>
      <c r="O81" s="11" t="s">
        <v>198</v>
      </c>
      <c r="P81" s="11" t="s">
        <v>198</v>
      </c>
      <c r="Q81" s="11" t="s">
        <v>198</v>
      </c>
      <c r="R81" s="11" t="s">
        <v>198</v>
      </c>
      <c r="S81" s="11" t="s">
        <v>198</v>
      </c>
      <c r="T81" s="98" t="s">
        <v>415</v>
      </c>
      <c r="U81" s="11" t="s">
        <v>198</v>
      </c>
      <c r="V81" s="98" t="s">
        <v>1520</v>
      </c>
      <c r="W81" s="101" t="s">
        <v>240</v>
      </c>
      <c r="X81" s="11" t="s">
        <v>198</v>
      </c>
      <c r="Y81" s="23"/>
      <c r="Z81" s="21" t="s">
        <v>254</v>
      </c>
      <c r="AA81" s="91"/>
      <c r="AB81" s="22"/>
      <c r="AC81" s="20" t="s">
        <v>1557</v>
      </c>
      <c r="AD81" s="20" t="s">
        <v>1566</v>
      </c>
      <c r="AE81" s="22"/>
      <c r="AF81" s="22"/>
    </row>
    <row r="82" spans="2:32" x14ac:dyDescent="0.2">
      <c r="B82" s="9" t="s">
        <v>107</v>
      </c>
      <c r="C82" s="9" t="s">
        <v>468</v>
      </c>
      <c r="D82" s="9" t="s">
        <v>107</v>
      </c>
      <c r="E82" s="11" t="s">
        <v>198</v>
      </c>
      <c r="F82" s="96" t="s">
        <v>1255</v>
      </c>
      <c r="G82" s="96" t="s">
        <v>1630</v>
      </c>
      <c r="H82" s="11" t="s">
        <v>198</v>
      </c>
      <c r="I82" s="11" t="s">
        <v>198</v>
      </c>
      <c r="J82" s="11" t="s">
        <v>198</v>
      </c>
      <c r="K82" s="11" t="s">
        <v>198</v>
      </c>
      <c r="L82" s="11" t="s">
        <v>198</v>
      </c>
      <c r="M82" s="11" t="s">
        <v>198</v>
      </c>
      <c r="N82" s="11" t="s">
        <v>198</v>
      </c>
      <c r="O82" s="11" t="s">
        <v>198</v>
      </c>
      <c r="P82" s="11" t="s">
        <v>198</v>
      </c>
      <c r="Q82" s="11" t="s">
        <v>198</v>
      </c>
      <c r="R82" s="11" t="s">
        <v>198</v>
      </c>
      <c r="S82" s="11" t="s">
        <v>198</v>
      </c>
      <c r="T82" s="98" t="s">
        <v>416</v>
      </c>
      <c r="U82" s="11" t="s">
        <v>198</v>
      </c>
      <c r="V82" s="11" t="s">
        <v>198</v>
      </c>
      <c r="W82" s="101" t="s">
        <v>241</v>
      </c>
      <c r="X82" s="11" t="s">
        <v>198</v>
      </c>
      <c r="Y82" s="23"/>
      <c r="Z82" s="21" t="s">
        <v>254</v>
      </c>
      <c r="AA82" s="91"/>
      <c r="AB82" s="22"/>
      <c r="AC82" s="20" t="s">
        <v>1557</v>
      </c>
      <c r="AD82" s="20" t="s">
        <v>1566</v>
      </c>
      <c r="AE82" s="22"/>
      <c r="AF82" s="22"/>
    </row>
    <row r="83" spans="2:32" x14ac:dyDescent="0.2">
      <c r="B83" s="9" t="s">
        <v>109</v>
      </c>
      <c r="C83" s="9" t="s">
        <v>616</v>
      </c>
      <c r="D83" s="9" t="s">
        <v>109</v>
      </c>
      <c r="E83" s="96" t="s">
        <v>1256</v>
      </c>
      <c r="F83" s="11" t="s">
        <v>198</v>
      </c>
      <c r="G83" s="96" t="s">
        <v>1257</v>
      </c>
      <c r="H83" s="11" t="s">
        <v>198</v>
      </c>
      <c r="I83" s="11" t="s">
        <v>198</v>
      </c>
      <c r="J83" s="11" t="s">
        <v>198</v>
      </c>
      <c r="K83" s="11" t="s">
        <v>198</v>
      </c>
      <c r="L83" s="11" t="s">
        <v>198</v>
      </c>
      <c r="M83" s="11" t="s">
        <v>198</v>
      </c>
      <c r="N83" s="11" t="s">
        <v>198</v>
      </c>
      <c r="O83" s="11" t="s">
        <v>198</v>
      </c>
      <c r="P83" s="11" t="s">
        <v>198</v>
      </c>
      <c r="Q83" s="11" t="s">
        <v>198</v>
      </c>
      <c r="R83" s="11" t="s">
        <v>198</v>
      </c>
      <c r="S83" s="11" t="s">
        <v>198</v>
      </c>
      <c r="T83" s="98" t="s">
        <v>417</v>
      </c>
      <c r="U83" s="11" t="s">
        <v>198</v>
      </c>
      <c r="V83" s="11" t="s">
        <v>198</v>
      </c>
      <c r="W83" s="101" t="s">
        <v>242</v>
      </c>
      <c r="X83" s="11" t="s">
        <v>198</v>
      </c>
      <c r="Y83" s="23"/>
      <c r="Z83" s="21" t="s">
        <v>254</v>
      </c>
      <c r="AA83" s="91"/>
      <c r="AB83" s="22"/>
      <c r="AC83" s="20" t="s">
        <v>1557</v>
      </c>
      <c r="AD83" s="20" t="s">
        <v>1566</v>
      </c>
      <c r="AE83" s="22"/>
      <c r="AF83" s="22"/>
    </row>
    <row r="84" spans="2:32" x14ac:dyDescent="0.2">
      <c r="B84" s="9" t="s">
        <v>111</v>
      </c>
      <c r="C84" s="9" t="s">
        <v>617</v>
      </c>
      <c r="D84" s="9" t="s">
        <v>111</v>
      </c>
      <c r="E84" s="11" t="s">
        <v>198</v>
      </c>
      <c r="F84" s="96" t="s">
        <v>1258</v>
      </c>
      <c r="G84" s="96" t="s">
        <v>1631</v>
      </c>
      <c r="H84" s="11" t="s">
        <v>198</v>
      </c>
      <c r="I84" s="11" t="s">
        <v>198</v>
      </c>
      <c r="J84" s="11" t="s">
        <v>198</v>
      </c>
      <c r="K84" s="11" t="s">
        <v>198</v>
      </c>
      <c r="L84" s="11" t="s">
        <v>198</v>
      </c>
      <c r="M84" s="11" t="s">
        <v>198</v>
      </c>
      <c r="N84" s="11" t="s">
        <v>198</v>
      </c>
      <c r="O84" s="11" t="s">
        <v>198</v>
      </c>
      <c r="P84" s="11" t="s">
        <v>198</v>
      </c>
      <c r="Q84" s="11" t="s">
        <v>198</v>
      </c>
      <c r="R84" s="11" t="s">
        <v>198</v>
      </c>
      <c r="S84" s="11" t="s">
        <v>198</v>
      </c>
      <c r="T84" s="98" t="s">
        <v>418</v>
      </c>
      <c r="U84" s="11" t="s">
        <v>198</v>
      </c>
      <c r="V84" s="11" t="s">
        <v>198</v>
      </c>
      <c r="W84" s="101" t="s">
        <v>243</v>
      </c>
      <c r="X84" s="11" t="s">
        <v>198</v>
      </c>
      <c r="Y84" s="23"/>
      <c r="Z84" s="21" t="s">
        <v>254</v>
      </c>
      <c r="AA84" s="91"/>
      <c r="AB84" s="22"/>
      <c r="AC84" s="20" t="s">
        <v>1557</v>
      </c>
      <c r="AD84" s="20" t="s">
        <v>1566</v>
      </c>
      <c r="AE84" s="22"/>
      <c r="AF84" s="22"/>
    </row>
    <row r="85" spans="2:32" x14ac:dyDescent="0.2">
      <c r="B85" s="9" t="s">
        <v>113</v>
      </c>
      <c r="C85" s="9" t="s">
        <v>480</v>
      </c>
      <c r="D85" s="9" t="s">
        <v>113</v>
      </c>
      <c r="E85" s="96" t="s">
        <v>1259</v>
      </c>
      <c r="F85" s="11" t="s">
        <v>198</v>
      </c>
      <c r="G85" s="96" t="s">
        <v>1260</v>
      </c>
      <c r="H85" s="11" t="s">
        <v>198</v>
      </c>
      <c r="I85" s="11" t="s">
        <v>198</v>
      </c>
      <c r="J85" s="11" t="s">
        <v>198</v>
      </c>
      <c r="K85" s="11" t="s">
        <v>198</v>
      </c>
      <c r="L85" s="11" t="s">
        <v>198</v>
      </c>
      <c r="M85" s="11" t="s">
        <v>198</v>
      </c>
      <c r="N85" s="11" t="s">
        <v>198</v>
      </c>
      <c r="O85" s="98" t="s">
        <v>1261</v>
      </c>
      <c r="P85" s="11" t="s">
        <v>198</v>
      </c>
      <c r="Q85" s="11" t="s">
        <v>198</v>
      </c>
      <c r="R85" s="11" t="s">
        <v>198</v>
      </c>
      <c r="S85" s="11" t="s">
        <v>198</v>
      </c>
      <c r="T85" s="98" t="s">
        <v>419</v>
      </c>
      <c r="U85" s="11" t="s">
        <v>198</v>
      </c>
      <c r="V85" s="11" t="s">
        <v>198</v>
      </c>
      <c r="W85" s="101" t="s">
        <v>244</v>
      </c>
      <c r="X85" s="11" t="s">
        <v>198</v>
      </c>
      <c r="Y85" s="23"/>
      <c r="Z85" s="21" t="s">
        <v>254</v>
      </c>
      <c r="AA85" s="91" t="s">
        <v>1823</v>
      </c>
      <c r="AB85" s="22"/>
      <c r="AC85" s="20" t="s">
        <v>1557</v>
      </c>
      <c r="AD85" s="20" t="s">
        <v>1566</v>
      </c>
      <c r="AE85" s="22"/>
      <c r="AF85" s="22"/>
    </row>
    <row r="86" spans="2:32" x14ac:dyDescent="0.2">
      <c r="B86" s="9" t="s">
        <v>115</v>
      </c>
      <c r="C86" s="9" t="s">
        <v>478</v>
      </c>
      <c r="D86" s="9" t="s">
        <v>115</v>
      </c>
      <c r="E86" s="11" t="s">
        <v>198</v>
      </c>
      <c r="F86" s="98" t="s">
        <v>1611</v>
      </c>
      <c r="G86" s="96" t="s">
        <v>1632</v>
      </c>
      <c r="H86" s="11" t="s">
        <v>198</v>
      </c>
      <c r="I86" s="11" t="s">
        <v>198</v>
      </c>
      <c r="J86" s="11" t="s">
        <v>198</v>
      </c>
      <c r="K86" s="11" t="s">
        <v>198</v>
      </c>
      <c r="L86" s="11" t="s">
        <v>198</v>
      </c>
      <c r="M86" s="11" t="s">
        <v>198</v>
      </c>
      <c r="N86" s="11" t="s">
        <v>198</v>
      </c>
      <c r="O86" s="96" t="s">
        <v>1262</v>
      </c>
      <c r="P86" s="11" t="s">
        <v>198</v>
      </c>
      <c r="Q86" s="11" t="s">
        <v>198</v>
      </c>
      <c r="R86" s="11" t="s">
        <v>198</v>
      </c>
      <c r="S86" s="11" t="s">
        <v>198</v>
      </c>
      <c r="T86" s="98" t="s">
        <v>420</v>
      </c>
      <c r="U86" s="11" t="s">
        <v>198</v>
      </c>
      <c r="V86" s="11" t="s">
        <v>198</v>
      </c>
      <c r="W86" s="101" t="s">
        <v>245</v>
      </c>
      <c r="X86" s="11" t="s">
        <v>198</v>
      </c>
      <c r="Y86" s="23"/>
      <c r="Z86" s="21" t="s">
        <v>254</v>
      </c>
      <c r="AA86" s="91" t="s">
        <v>1823</v>
      </c>
      <c r="AB86" s="22"/>
      <c r="AC86" s="20" t="s">
        <v>1557</v>
      </c>
      <c r="AD86" s="20" t="s">
        <v>1566</v>
      </c>
      <c r="AE86" s="22"/>
      <c r="AF86" s="22"/>
    </row>
    <row r="87" spans="2:32" x14ac:dyDescent="0.2">
      <c r="B87" s="9" t="s">
        <v>117</v>
      </c>
      <c r="C87" s="9" t="s">
        <v>483</v>
      </c>
      <c r="D87" s="9" t="s">
        <v>117</v>
      </c>
      <c r="E87" s="96" t="s">
        <v>1263</v>
      </c>
      <c r="F87" s="11" t="s">
        <v>198</v>
      </c>
      <c r="G87" s="96" t="s">
        <v>1633</v>
      </c>
      <c r="H87" s="11" t="s">
        <v>198</v>
      </c>
      <c r="I87" s="11" t="s">
        <v>198</v>
      </c>
      <c r="J87" s="11" t="s">
        <v>198</v>
      </c>
      <c r="K87" s="11" t="s">
        <v>198</v>
      </c>
      <c r="L87" s="11" t="s">
        <v>198</v>
      </c>
      <c r="M87" s="11" t="s">
        <v>198</v>
      </c>
      <c r="N87" s="11" t="s">
        <v>198</v>
      </c>
      <c r="O87" s="11" t="s">
        <v>198</v>
      </c>
      <c r="P87" s="11" t="s">
        <v>198</v>
      </c>
      <c r="Q87" s="11" t="s">
        <v>198</v>
      </c>
      <c r="R87" s="11" t="s">
        <v>198</v>
      </c>
      <c r="S87" s="11" t="s">
        <v>198</v>
      </c>
      <c r="T87" s="11" t="s">
        <v>198</v>
      </c>
      <c r="U87" s="11" t="s">
        <v>198</v>
      </c>
      <c r="V87" s="11" t="s">
        <v>198</v>
      </c>
      <c r="W87" s="101" t="s">
        <v>246</v>
      </c>
      <c r="X87" s="11" t="s">
        <v>198</v>
      </c>
      <c r="Y87" s="23"/>
      <c r="Z87" s="21" t="s">
        <v>254</v>
      </c>
      <c r="AA87" s="91"/>
      <c r="AB87" s="22"/>
      <c r="AC87" s="20" t="s">
        <v>1557</v>
      </c>
      <c r="AD87" s="20" t="s">
        <v>1566</v>
      </c>
      <c r="AE87" s="22"/>
      <c r="AF87" s="22"/>
    </row>
    <row r="88" spans="2:32" x14ac:dyDescent="0.2">
      <c r="B88" s="12" t="s">
        <v>118</v>
      </c>
      <c r="C88" s="9" t="s">
        <v>484</v>
      </c>
      <c r="D88" s="12" t="s">
        <v>118</v>
      </c>
      <c r="E88" s="11" t="s">
        <v>198</v>
      </c>
      <c r="F88" s="100" t="s">
        <v>1612</v>
      </c>
      <c r="G88" s="100" t="s">
        <v>1634</v>
      </c>
      <c r="H88" s="11" t="s">
        <v>198</v>
      </c>
      <c r="I88" s="11" t="s">
        <v>198</v>
      </c>
      <c r="J88" s="11" t="s">
        <v>198</v>
      </c>
      <c r="K88" s="11" t="s">
        <v>198</v>
      </c>
      <c r="L88" s="11" t="s">
        <v>198</v>
      </c>
      <c r="M88" s="11" t="s">
        <v>198</v>
      </c>
      <c r="N88" s="11" t="s">
        <v>198</v>
      </c>
      <c r="O88" s="11" t="s">
        <v>198</v>
      </c>
      <c r="P88" s="11" t="s">
        <v>198</v>
      </c>
      <c r="Q88" s="11" t="s">
        <v>198</v>
      </c>
      <c r="R88" s="11" t="s">
        <v>198</v>
      </c>
      <c r="S88" s="11" t="s">
        <v>198</v>
      </c>
      <c r="T88" s="11" t="s">
        <v>198</v>
      </c>
      <c r="U88" s="11" t="s">
        <v>198</v>
      </c>
      <c r="V88" s="11" t="s">
        <v>198</v>
      </c>
      <c r="W88" s="101" t="s">
        <v>247</v>
      </c>
      <c r="X88" s="11" t="s">
        <v>198</v>
      </c>
      <c r="Y88" s="23"/>
      <c r="Z88" s="21" t="s">
        <v>254</v>
      </c>
      <c r="AA88" s="91"/>
      <c r="AB88" s="22"/>
      <c r="AC88" s="20" t="s">
        <v>1557</v>
      </c>
      <c r="AD88" s="20" t="s">
        <v>1566</v>
      </c>
      <c r="AE88" s="22"/>
      <c r="AF88" s="22"/>
    </row>
    <row r="89" spans="2:32" x14ac:dyDescent="0.2">
      <c r="B89" s="9" t="s">
        <v>119</v>
      </c>
      <c r="C89" s="9" t="s">
        <v>577</v>
      </c>
      <c r="D89" s="9" t="s">
        <v>119</v>
      </c>
      <c r="E89" s="96" t="s">
        <v>1182</v>
      </c>
      <c r="F89" s="96" t="s">
        <v>1264</v>
      </c>
      <c r="G89" s="96" t="s">
        <v>1170</v>
      </c>
      <c r="H89" s="11" t="s">
        <v>198</v>
      </c>
      <c r="I89" s="11" t="s">
        <v>198</v>
      </c>
      <c r="J89" s="11" t="s">
        <v>198</v>
      </c>
      <c r="K89" s="11" t="s">
        <v>198</v>
      </c>
      <c r="L89" s="11" t="s">
        <v>198</v>
      </c>
      <c r="M89" s="11" t="s">
        <v>198</v>
      </c>
      <c r="N89" s="11" t="s">
        <v>198</v>
      </c>
      <c r="O89" s="11" t="s">
        <v>198</v>
      </c>
      <c r="P89" s="11" t="s">
        <v>198</v>
      </c>
      <c r="Q89" s="98" t="s">
        <v>1265</v>
      </c>
      <c r="R89" s="11" t="s">
        <v>198</v>
      </c>
      <c r="S89" s="11" t="s">
        <v>198</v>
      </c>
      <c r="T89" s="11" t="s">
        <v>198</v>
      </c>
      <c r="U89" s="11" t="s">
        <v>198</v>
      </c>
      <c r="V89" s="11" t="s">
        <v>198</v>
      </c>
      <c r="W89" s="11" t="s">
        <v>198</v>
      </c>
      <c r="X89" s="11" t="s">
        <v>198</v>
      </c>
      <c r="Y89" s="23"/>
      <c r="Z89" s="21" t="s">
        <v>254</v>
      </c>
      <c r="AA89" s="91"/>
      <c r="AB89" s="22"/>
      <c r="AC89" s="20" t="s">
        <v>570</v>
      </c>
      <c r="AD89" s="20" t="s">
        <v>1567</v>
      </c>
      <c r="AE89" s="22"/>
      <c r="AF89" s="22"/>
    </row>
    <row r="90" spans="2:32" x14ac:dyDescent="0.2">
      <c r="B90" s="9" t="s">
        <v>120</v>
      </c>
      <c r="C90" s="12" t="s">
        <v>573</v>
      </c>
      <c r="D90" s="9" t="s">
        <v>120</v>
      </c>
      <c r="E90" s="96" t="s">
        <v>1184</v>
      </c>
      <c r="F90" s="96" t="s">
        <v>1185</v>
      </c>
      <c r="G90" s="96" t="s">
        <v>1266</v>
      </c>
      <c r="H90" s="11" t="s">
        <v>198</v>
      </c>
      <c r="I90" s="11" t="s">
        <v>198</v>
      </c>
      <c r="J90" s="11" t="s">
        <v>198</v>
      </c>
      <c r="K90" s="11" t="s">
        <v>198</v>
      </c>
      <c r="L90" s="11" t="s">
        <v>198</v>
      </c>
      <c r="M90" s="11" t="s">
        <v>198</v>
      </c>
      <c r="N90" s="11" t="s">
        <v>198</v>
      </c>
      <c r="O90" s="11" t="s">
        <v>198</v>
      </c>
      <c r="P90" s="11" t="s">
        <v>198</v>
      </c>
      <c r="Q90" s="98" t="s">
        <v>1267</v>
      </c>
      <c r="R90" s="11" t="s">
        <v>198</v>
      </c>
      <c r="S90" s="11" t="s">
        <v>198</v>
      </c>
      <c r="T90" s="11" t="s">
        <v>198</v>
      </c>
      <c r="U90" s="11" t="s">
        <v>198</v>
      </c>
      <c r="V90" s="11" t="s">
        <v>198</v>
      </c>
      <c r="W90" s="11" t="s">
        <v>198</v>
      </c>
      <c r="X90" s="11" t="s">
        <v>198</v>
      </c>
      <c r="Y90" s="23"/>
      <c r="Z90" s="21" t="s">
        <v>254</v>
      </c>
      <c r="AA90" s="91"/>
      <c r="AB90" s="22"/>
      <c r="AC90" s="20" t="s">
        <v>570</v>
      </c>
      <c r="AD90" s="20" t="s">
        <v>1567</v>
      </c>
      <c r="AE90" s="22"/>
      <c r="AF90" s="22"/>
    </row>
    <row r="91" spans="2:32" x14ac:dyDescent="0.2">
      <c r="B91" s="9" t="s">
        <v>121</v>
      </c>
      <c r="C91" s="9" t="s">
        <v>579</v>
      </c>
      <c r="D91" s="9" t="s">
        <v>121</v>
      </c>
      <c r="E91" s="11" t="s">
        <v>198</v>
      </c>
      <c r="F91" s="11" t="s">
        <v>198</v>
      </c>
      <c r="G91" s="11" t="s">
        <v>198</v>
      </c>
      <c r="H91" s="11" t="s">
        <v>198</v>
      </c>
      <c r="I91" s="11" t="s">
        <v>198</v>
      </c>
      <c r="J91" s="11" t="s">
        <v>198</v>
      </c>
      <c r="K91" s="11" t="s">
        <v>198</v>
      </c>
      <c r="L91" s="11" t="s">
        <v>198</v>
      </c>
      <c r="M91" s="11" t="s">
        <v>198</v>
      </c>
      <c r="N91" s="11" t="s">
        <v>198</v>
      </c>
      <c r="O91" s="11" t="s">
        <v>198</v>
      </c>
      <c r="P91" s="11" t="s">
        <v>198</v>
      </c>
      <c r="Q91" s="98" t="s">
        <v>1268</v>
      </c>
      <c r="R91" s="11" t="s">
        <v>198</v>
      </c>
      <c r="S91" s="11" t="s">
        <v>198</v>
      </c>
      <c r="T91" s="11" t="s">
        <v>198</v>
      </c>
      <c r="U91" s="11" t="s">
        <v>198</v>
      </c>
      <c r="V91" s="11" t="s">
        <v>198</v>
      </c>
      <c r="W91" s="11" t="s">
        <v>198</v>
      </c>
      <c r="X91" s="11" t="s">
        <v>198</v>
      </c>
      <c r="Y91" s="23"/>
      <c r="Z91" s="21" t="s">
        <v>254</v>
      </c>
      <c r="AA91" s="91"/>
      <c r="AB91" s="22"/>
      <c r="AC91" s="20" t="s">
        <v>570</v>
      </c>
      <c r="AD91" s="20" t="s">
        <v>1567</v>
      </c>
      <c r="AE91" s="22"/>
      <c r="AF91" s="22"/>
    </row>
    <row r="92" spans="2:32" x14ac:dyDescent="0.2">
      <c r="B92" s="9" t="s">
        <v>122</v>
      </c>
      <c r="C92" s="9" t="s">
        <v>578</v>
      </c>
      <c r="D92" s="9" t="s">
        <v>122</v>
      </c>
      <c r="E92" s="11" t="s">
        <v>198</v>
      </c>
      <c r="F92" s="11" t="s">
        <v>198</v>
      </c>
      <c r="G92" s="11" t="s">
        <v>198</v>
      </c>
      <c r="H92" s="11" t="s">
        <v>198</v>
      </c>
      <c r="I92" s="11" t="s">
        <v>198</v>
      </c>
      <c r="J92" s="11" t="s">
        <v>198</v>
      </c>
      <c r="K92" s="98" t="s">
        <v>1270</v>
      </c>
      <c r="L92" s="98" t="s">
        <v>1271</v>
      </c>
      <c r="M92" s="11" t="s">
        <v>198</v>
      </c>
      <c r="N92" s="11" t="s">
        <v>198</v>
      </c>
      <c r="O92" s="11" t="s">
        <v>198</v>
      </c>
      <c r="P92" s="11" t="s">
        <v>198</v>
      </c>
      <c r="Q92" s="98" t="s">
        <v>1269</v>
      </c>
      <c r="R92" s="11" t="s">
        <v>198</v>
      </c>
      <c r="S92" s="11" t="s">
        <v>198</v>
      </c>
      <c r="T92" s="11" t="s">
        <v>198</v>
      </c>
      <c r="U92" s="11" t="s">
        <v>198</v>
      </c>
      <c r="V92" s="11" t="s">
        <v>198</v>
      </c>
      <c r="W92" s="11" t="s">
        <v>198</v>
      </c>
      <c r="X92" s="11" t="s">
        <v>198</v>
      </c>
      <c r="Y92" s="23"/>
      <c r="Z92" s="21" t="s">
        <v>254</v>
      </c>
      <c r="AA92" s="91"/>
      <c r="AB92" s="22"/>
      <c r="AC92" s="20" t="s">
        <v>570</v>
      </c>
      <c r="AD92" s="20" t="s">
        <v>1567</v>
      </c>
      <c r="AE92" s="22"/>
      <c r="AF92" s="22"/>
    </row>
    <row r="93" spans="2:32" x14ac:dyDescent="0.2">
      <c r="B93" s="9" t="s">
        <v>123</v>
      </c>
      <c r="C93" s="9" t="s">
        <v>580</v>
      </c>
      <c r="D93" s="9" t="s">
        <v>123</v>
      </c>
      <c r="E93" s="11" t="s">
        <v>198</v>
      </c>
      <c r="F93" s="11" t="s">
        <v>198</v>
      </c>
      <c r="G93" s="11" t="s">
        <v>198</v>
      </c>
      <c r="H93" s="11" t="s">
        <v>198</v>
      </c>
      <c r="I93" s="11" t="s">
        <v>198</v>
      </c>
      <c r="J93" s="11" t="s">
        <v>198</v>
      </c>
      <c r="K93" s="98" t="s">
        <v>1275</v>
      </c>
      <c r="L93" s="98" t="s">
        <v>1276</v>
      </c>
      <c r="M93" s="11" t="s">
        <v>198</v>
      </c>
      <c r="N93" s="11" t="s">
        <v>198</v>
      </c>
      <c r="O93" s="11" t="s">
        <v>198</v>
      </c>
      <c r="P93" s="11" t="s">
        <v>198</v>
      </c>
      <c r="Q93" s="98" t="s">
        <v>1272</v>
      </c>
      <c r="R93" s="11" t="s">
        <v>198</v>
      </c>
      <c r="S93" s="11" t="s">
        <v>198</v>
      </c>
      <c r="T93" s="11" t="s">
        <v>198</v>
      </c>
      <c r="U93" s="11" t="s">
        <v>198</v>
      </c>
      <c r="V93" s="11" t="s">
        <v>198</v>
      </c>
      <c r="W93" s="11" t="s">
        <v>198</v>
      </c>
      <c r="X93" s="11" t="s">
        <v>198</v>
      </c>
      <c r="Y93" s="23"/>
      <c r="Z93" s="21" t="s">
        <v>254</v>
      </c>
      <c r="AA93" s="91"/>
      <c r="AB93" s="22"/>
      <c r="AC93" s="20" t="s">
        <v>570</v>
      </c>
      <c r="AD93" s="20" t="s">
        <v>1567</v>
      </c>
      <c r="AE93" s="22"/>
      <c r="AF93" s="22"/>
    </row>
    <row r="94" spans="2:32" x14ac:dyDescent="0.2">
      <c r="B94" s="9" t="s">
        <v>124</v>
      </c>
      <c r="C94" s="9" t="s">
        <v>491</v>
      </c>
      <c r="D94" s="9" t="s">
        <v>124</v>
      </c>
      <c r="E94" s="11" t="s">
        <v>198</v>
      </c>
      <c r="F94" s="11" t="s">
        <v>198</v>
      </c>
      <c r="G94" s="11" t="s">
        <v>198</v>
      </c>
      <c r="H94" s="11" t="s">
        <v>198</v>
      </c>
      <c r="I94" s="11" t="s">
        <v>198</v>
      </c>
      <c r="J94" s="11" t="s">
        <v>198</v>
      </c>
      <c r="K94" s="11" t="s">
        <v>198</v>
      </c>
      <c r="L94" s="11" t="s">
        <v>198</v>
      </c>
      <c r="M94" s="11" t="s">
        <v>198</v>
      </c>
      <c r="N94" s="11" t="s">
        <v>198</v>
      </c>
      <c r="O94" s="11" t="s">
        <v>198</v>
      </c>
      <c r="P94" s="11" t="s">
        <v>198</v>
      </c>
      <c r="Q94" s="98" t="s">
        <v>1273</v>
      </c>
      <c r="R94" s="11" t="s">
        <v>198</v>
      </c>
      <c r="S94" s="11" t="s">
        <v>198</v>
      </c>
      <c r="T94" s="11" t="s">
        <v>198</v>
      </c>
      <c r="U94" s="11" t="s">
        <v>198</v>
      </c>
      <c r="V94" s="11" t="s">
        <v>198</v>
      </c>
      <c r="W94" s="11" t="s">
        <v>198</v>
      </c>
      <c r="X94" s="11" t="s">
        <v>198</v>
      </c>
      <c r="Y94" s="23"/>
      <c r="Z94" s="21" t="s">
        <v>254</v>
      </c>
      <c r="AA94" s="91"/>
      <c r="AB94" s="22"/>
      <c r="AC94" s="20" t="s">
        <v>570</v>
      </c>
      <c r="AD94" s="20" t="s">
        <v>1567</v>
      </c>
      <c r="AE94" s="22"/>
      <c r="AF94" s="22"/>
    </row>
    <row r="95" spans="2:32" x14ac:dyDescent="0.2">
      <c r="B95" s="9" t="s">
        <v>125</v>
      </c>
      <c r="C95" s="9" t="s">
        <v>492</v>
      </c>
      <c r="D95" s="9" t="s">
        <v>125</v>
      </c>
      <c r="E95" s="11" t="s">
        <v>198</v>
      </c>
      <c r="F95" s="11" t="s">
        <v>198</v>
      </c>
      <c r="G95" s="11" t="s">
        <v>198</v>
      </c>
      <c r="H95" s="11" t="s">
        <v>198</v>
      </c>
      <c r="I95" s="11" t="s">
        <v>198</v>
      </c>
      <c r="J95" s="11" t="s">
        <v>198</v>
      </c>
      <c r="K95" s="11" t="s">
        <v>198</v>
      </c>
      <c r="L95" s="11" t="s">
        <v>198</v>
      </c>
      <c r="M95" s="11" t="s">
        <v>198</v>
      </c>
      <c r="N95" s="11" t="s">
        <v>198</v>
      </c>
      <c r="O95" s="11" t="s">
        <v>198</v>
      </c>
      <c r="P95" s="11" t="s">
        <v>198</v>
      </c>
      <c r="Q95" s="98" t="s">
        <v>1274</v>
      </c>
      <c r="R95" s="11" t="s">
        <v>198</v>
      </c>
      <c r="S95" s="11" t="s">
        <v>198</v>
      </c>
      <c r="T95" s="11" t="s">
        <v>198</v>
      </c>
      <c r="U95" s="11" t="s">
        <v>198</v>
      </c>
      <c r="V95" s="11" t="s">
        <v>198</v>
      </c>
      <c r="W95" s="11" t="s">
        <v>198</v>
      </c>
      <c r="X95" s="11" t="s">
        <v>198</v>
      </c>
      <c r="Y95" s="23"/>
      <c r="Z95" s="21" t="s">
        <v>254</v>
      </c>
      <c r="AA95" s="91"/>
      <c r="AB95" s="22"/>
      <c r="AC95" s="20" t="s">
        <v>570</v>
      </c>
      <c r="AD95" s="20" t="s">
        <v>1567</v>
      </c>
      <c r="AE95" s="22"/>
      <c r="AF95" s="22"/>
    </row>
    <row r="96" spans="2:32" x14ac:dyDescent="0.2">
      <c r="B96" s="9" t="s">
        <v>127</v>
      </c>
      <c r="C96" s="9" t="s">
        <v>494</v>
      </c>
      <c r="D96" s="9" t="s">
        <v>127</v>
      </c>
      <c r="E96" s="11" t="s">
        <v>198</v>
      </c>
      <c r="F96" s="11" t="s">
        <v>198</v>
      </c>
      <c r="G96" s="11" t="s">
        <v>198</v>
      </c>
      <c r="H96" s="11" t="s">
        <v>198</v>
      </c>
      <c r="I96" s="11" t="s">
        <v>198</v>
      </c>
      <c r="J96" s="11" t="s">
        <v>198</v>
      </c>
      <c r="K96" s="11" t="s">
        <v>198</v>
      </c>
      <c r="L96" s="11" t="s">
        <v>198</v>
      </c>
      <c r="M96" s="11" t="s">
        <v>198</v>
      </c>
      <c r="N96" s="11" t="s">
        <v>198</v>
      </c>
      <c r="O96" s="11" t="s">
        <v>198</v>
      </c>
      <c r="P96" s="11" t="s">
        <v>198</v>
      </c>
      <c r="Q96" s="98" t="s">
        <v>1277</v>
      </c>
      <c r="R96" s="11" t="s">
        <v>198</v>
      </c>
      <c r="S96" s="11" t="s">
        <v>198</v>
      </c>
      <c r="T96" s="11" t="s">
        <v>198</v>
      </c>
      <c r="U96" s="11" t="s">
        <v>198</v>
      </c>
      <c r="V96" s="11" t="s">
        <v>198</v>
      </c>
      <c r="W96" s="11" t="s">
        <v>198</v>
      </c>
      <c r="X96" s="11" t="s">
        <v>198</v>
      </c>
      <c r="Y96" s="23"/>
      <c r="Z96" s="21" t="s">
        <v>254</v>
      </c>
      <c r="AA96" s="91"/>
      <c r="AB96" s="22"/>
      <c r="AC96" s="20" t="s">
        <v>570</v>
      </c>
      <c r="AD96" s="20" t="s">
        <v>1567</v>
      </c>
      <c r="AE96" s="22"/>
      <c r="AF96" s="22"/>
    </row>
    <row r="97" spans="2:32" x14ac:dyDescent="0.2">
      <c r="B97" s="9" t="s">
        <v>129</v>
      </c>
      <c r="C97" s="9" t="s">
        <v>496</v>
      </c>
      <c r="D97" s="9" t="s">
        <v>129</v>
      </c>
      <c r="E97" s="11" t="s">
        <v>198</v>
      </c>
      <c r="F97" s="11" t="s">
        <v>198</v>
      </c>
      <c r="G97" s="11" t="s">
        <v>198</v>
      </c>
      <c r="H97" s="11" t="s">
        <v>198</v>
      </c>
      <c r="I97" s="11" t="s">
        <v>198</v>
      </c>
      <c r="J97" s="11" t="s">
        <v>198</v>
      </c>
      <c r="K97" s="98" t="s">
        <v>1283</v>
      </c>
      <c r="L97" s="98" t="s">
        <v>1284</v>
      </c>
      <c r="M97" s="11" t="s">
        <v>198</v>
      </c>
      <c r="N97" s="11" t="s">
        <v>198</v>
      </c>
      <c r="O97" s="11" t="s">
        <v>198</v>
      </c>
      <c r="P97" s="11" t="s">
        <v>198</v>
      </c>
      <c r="Q97" s="98" t="s">
        <v>1278</v>
      </c>
      <c r="R97" s="11" t="s">
        <v>198</v>
      </c>
      <c r="S97" s="11" t="s">
        <v>198</v>
      </c>
      <c r="T97" s="11" t="s">
        <v>198</v>
      </c>
      <c r="U97" s="11" t="s">
        <v>198</v>
      </c>
      <c r="V97" s="11" t="s">
        <v>198</v>
      </c>
      <c r="W97" s="11" t="s">
        <v>198</v>
      </c>
      <c r="X97" s="11" t="s">
        <v>198</v>
      </c>
      <c r="Y97" s="23"/>
      <c r="Z97" s="21" t="s">
        <v>254</v>
      </c>
      <c r="AA97" s="91"/>
      <c r="AB97" s="22"/>
      <c r="AC97" s="20" t="s">
        <v>570</v>
      </c>
      <c r="AD97" s="20" t="s">
        <v>1567</v>
      </c>
      <c r="AE97" s="22"/>
      <c r="AF97" s="22"/>
    </row>
    <row r="98" spans="2:32" x14ac:dyDescent="0.2">
      <c r="B98" s="9" t="s">
        <v>131</v>
      </c>
      <c r="C98" s="9" t="s">
        <v>498</v>
      </c>
      <c r="D98" s="9" t="s">
        <v>131</v>
      </c>
      <c r="E98" s="11" t="s">
        <v>198</v>
      </c>
      <c r="F98" s="11" t="s">
        <v>198</v>
      </c>
      <c r="G98" s="11" t="s">
        <v>198</v>
      </c>
      <c r="H98" s="11" t="s">
        <v>198</v>
      </c>
      <c r="I98" s="11" t="s">
        <v>198</v>
      </c>
      <c r="J98" s="11" t="s">
        <v>198</v>
      </c>
      <c r="K98" s="98" t="s">
        <v>1285</v>
      </c>
      <c r="L98" s="98" t="s">
        <v>1286</v>
      </c>
      <c r="M98" s="11" t="s">
        <v>198</v>
      </c>
      <c r="N98" s="11" t="s">
        <v>198</v>
      </c>
      <c r="O98" s="11" t="s">
        <v>198</v>
      </c>
      <c r="P98" s="11" t="s">
        <v>198</v>
      </c>
      <c r="Q98" s="98" t="s">
        <v>1279</v>
      </c>
      <c r="R98" s="11" t="s">
        <v>198</v>
      </c>
      <c r="S98" s="11" t="s">
        <v>198</v>
      </c>
      <c r="T98" s="11" t="s">
        <v>198</v>
      </c>
      <c r="U98" s="11" t="s">
        <v>198</v>
      </c>
      <c r="V98" s="11" t="s">
        <v>198</v>
      </c>
      <c r="W98" s="11" t="s">
        <v>198</v>
      </c>
      <c r="X98" s="11" t="s">
        <v>198</v>
      </c>
      <c r="Y98" s="23"/>
      <c r="Z98" s="21" t="s">
        <v>254</v>
      </c>
      <c r="AA98" s="91"/>
      <c r="AB98" s="22"/>
      <c r="AC98" s="20" t="s">
        <v>570</v>
      </c>
      <c r="AD98" s="20" t="s">
        <v>1567</v>
      </c>
      <c r="AE98" s="22"/>
      <c r="AF98" s="22"/>
    </row>
    <row r="99" spans="2:32" x14ac:dyDescent="0.2">
      <c r="B99" s="9" t="s">
        <v>133</v>
      </c>
      <c r="C99" s="9" t="s">
        <v>500</v>
      </c>
      <c r="D99" s="9" t="s">
        <v>133</v>
      </c>
      <c r="E99" s="11" t="s">
        <v>198</v>
      </c>
      <c r="F99" s="11" t="s">
        <v>198</v>
      </c>
      <c r="G99" s="11" t="s">
        <v>198</v>
      </c>
      <c r="H99" s="11" t="s">
        <v>198</v>
      </c>
      <c r="I99" s="11" t="s">
        <v>198</v>
      </c>
      <c r="J99" s="11" t="s">
        <v>198</v>
      </c>
      <c r="K99" s="11" t="s">
        <v>198</v>
      </c>
      <c r="L99" s="11" t="s">
        <v>198</v>
      </c>
      <c r="M99" s="11" t="s">
        <v>198</v>
      </c>
      <c r="N99" s="11" t="s">
        <v>198</v>
      </c>
      <c r="O99" s="11" t="s">
        <v>198</v>
      </c>
      <c r="P99" s="11" t="s">
        <v>198</v>
      </c>
      <c r="Q99" s="98" t="s">
        <v>1280</v>
      </c>
      <c r="R99" s="11" t="s">
        <v>198</v>
      </c>
      <c r="S99" s="11" t="s">
        <v>198</v>
      </c>
      <c r="T99" s="11" t="s">
        <v>198</v>
      </c>
      <c r="U99" s="11" t="s">
        <v>198</v>
      </c>
      <c r="V99" s="11" t="s">
        <v>198</v>
      </c>
      <c r="W99" s="11" t="s">
        <v>198</v>
      </c>
      <c r="X99" s="11" t="s">
        <v>198</v>
      </c>
      <c r="Y99" s="23"/>
      <c r="Z99" s="21" t="s">
        <v>254</v>
      </c>
      <c r="AA99" s="91"/>
      <c r="AB99" s="22"/>
      <c r="AC99" s="20" t="s">
        <v>570</v>
      </c>
      <c r="AD99" s="20" t="s">
        <v>1567</v>
      </c>
      <c r="AE99" s="22"/>
      <c r="AF99" s="22"/>
    </row>
    <row r="100" spans="2:32" x14ac:dyDescent="0.2">
      <c r="B100" s="9" t="s">
        <v>134</v>
      </c>
      <c r="C100" s="9" t="s">
        <v>501</v>
      </c>
      <c r="D100" s="9" t="s">
        <v>134</v>
      </c>
      <c r="E100" s="11" t="s">
        <v>198</v>
      </c>
      <c r="F100" s="11" t="s">
        <v>198</v>
      </c>
      <c r="G100" s="11" t="s">
        <v>198</v>
      </c>
      <c r="H100" s="11" t="s">
        <v>198</v>
      </c>
      <c r="I100" s="11" t="s">
        <v>198</v>
      </c>
      <c r="J100" s="11" t="s">
        <v>198</v>
      </c>
      <c r="K100" s="11" t="s">
        <v>198</v>
      </c>
      <c r="L100" s="11" t="s">
        <v>198</v>
      </c>
      <c r="M100" s="11" t="s">
        <v>198</v>
      </c>
      <c r="N100" s="11" t="s">
        <v>198</v>
      </c>
      <c r="O100" s="11" t="s">
        <v>198</v>
      </c>
      <c r="P100" s="11" t="s">
        <v>198</v>
      </c>
      <c r="Q100" s="98" t="s">
        <v>1281</v>
      </c>
      <c r="R100" s="11" t="s">
        <v>198</v>
      </c>
      <c r="S100" s="11" t="s">
        <v>198</v>
      </c>
      <c r="T100" s="11" t="s">
        <v>198</v>
      </c>
      <c r="U100" s="11" t="s">
        <v>198</v>
      </c>
      <c r="V100" s="11" t="s">
        <v>198</v>
      </c>
      <c r="W100" s="11" t="s">
        <v>198</v>
      </c>
      <c r="X100" s="11" t="s">
        <v>198</v>
      </c>
      <c r="Y100" s="23"/>
      <c r="Z100" s="21" t="s">
        <v>254</v>
      </c>
      <c r="AA100" s="91"/>
      <c r="AB100" s="22"/>
      <c r="AC100" s="20" t="s">
        <v>570</v>
      </c>
      <c r="AD100" s="20" t="s">
        <v>1567</v>
      </c>
      <c r="AE100" s="22"/>
      <c r="AF100" s="22"/>
    </row>
    <row r="101" spans="2:32" x14ac:dyDescent="0.2">
      <c r="B101" s="9" t="s">
        <v>135</v>
      </c>
      <c r="C101" s="9" t="s">
        <v>493</v>
      </c>
      <c r="D101" s="9" t="s">
        <v>135</v>
      </c>
      <c r="E101" s="11" t="s">
        <v>198</v>
      </c>
      <c r="F101" s="11" t="s">
        <v>198</v>
      </c>
      <c r="G101" s="11" t="s">
        <v>198</v>
      </c>
      <c r="H101" s="11" t="s">
        <v>198</v>
      </c>
      <c r="I101" s="11" t="s">
        <v>198</v>
      </c>
      <c r="J101" s="11" t="s">
        <v>198</v>
      </c>
      <c r="K101" s="11" t="s">
        <v>198</v>
      </c>
      <c r="L101" s="11" t="s">
        <v>198</v>
      </c>
      <c r="M101" s="11" t="s">
        <v>198</v>
      </c>
      <c r="N101" s="11" t="s">
        <v>198</v>
      </c>
      <c r="O101" s="11" t="s">
        <v>198</v>
      </c>
      <c r="P101" s="11" t="s">
        <v>198</v>
      </c>
      <c r="Q101" s="98" t="s">
        <v>1282</v>
      </c>
      <c r="R101" s="11" t="s">
        <v>198</v>
      </c>
      <c r="S101" s="11" t="s">
        <v>198</v>
      </c>
      <c r="T101" s="11" t="s">
        <v>198</v>
      </c>
      <c r="U101" s="11" t="s">
        <v>198</v>
      </c>
      <c r="V101" s="11" t="s">
        <v>198</v>
      </c>
      <c r="W101" s="11" t="s">
        <v>198</v>
      </c>
      <c r="X101" s="11" t="s">
        <v>198</v>
      </c>
      <c r="Y101" s="23"/>
      <c r="Z101" s="21" t="s">
        <v>254</v>
      </c>
      <c r="AA101" s="91"/>
      <c r="AB101" s="22"/>
      <c r="AC101" s="20" t="s">
        <v>570</v>
      </c>
      <c r="AD101" s="20" t="s">
        <v>1567</v>
      </c>
      <c r="AE101" s="22"/>
      <c r="AF101" s="22"/>
    </row>
    <row r="102" spans="2:32" x14ac:dyDescent="0.2">
      <c r="B102" s="9" t="s">
        <v>136</v>
      </c>
      <c r="C102" s="9" t="s">
        <v>495</v>
      </c>
      <c r="D102" s="9" t="s">
        <v>136</v>
      </c>
      <c r="E102" s="11" t="s">
        <v>198</v>
      </c>
      <c r="F102" s="11" t="s">
        <v>198</v>
      </c>
      <c r="G102" s="11" t="s">
        <v>198</v>
      </c>
      <c r="H102" s="11" t="s">
        <v>198</v>
      </c>
      <c r="I102" s="11" t="s">
        <v>198</v>
      </c>
      <c r="J102" s="11" t="s">
        <v>198</v>
      </c>
      <c r="K102" s="98" t="s">
        <v>1290</v>
      </c>
      <c r="L102" s="98" t="s">
        <v>1291</v>
      </c>
      <c r="M102" s="11" t="s">
        <v>198</v>
      </c>
      <c r="N102" s="11" t="s">
        <v>198</v>
      </c>
      <c r="O102" s="11" t="s">
        <v>198</v>
      </c>
      <c r="P102" s="11" t="s">
        <v>198</v>
      </c>
      <c r="Q102" s="98" t="s">
        <v>1287</v>
      </c>
      <c r="R102" s="11" t="s">
        <v>198</v>
      </c>
      <c r="S102" s="11" t="s">
        <v>198</v>
      </c>
      <c r="T102" s="11" t="s">
        <v>198</v>
      </c>
      <c r="U102" s="11" t="s">
        <v>198</v>
      </c>
      <c r="V102" s="11" t="s">
        <v>198</v>
      </c>
      <c r="W102" s="11" t="s">
        <v>198</v>
      </c>
      <c r="X102" s="11" t="s">
        <v>198</v>
      </c>
      <c r="Y102" s="23"/>
      <c r="Z102" s="21" t="s">
        <v>254</v>
      </c>
      <c r="AA102" s="91"/>
      <c r="AB102" s="22"/>
      <c r="AC102" s="20" t="s">
        <v>570</v>
      </c>
      <c r="AD102" s="20" t="s">
        <v>1567</v>
      </c>
      <c r="AE102" s="22"/>
      <c r="AF102" s="22"/>
    </row>
    <row r="103" spans="2:32" x14ac:dyDescent="0.2">
      <c r="B103" s="9" t="s">
        <v>137</v>
      </c>
      <c r="C103" s="9" t="s">
        <v>497</v>
      </c>
      <c r="D103" s="9" t="s">
        <v>137</v>
      </c>
      <c r="E103" s="11" t="s">
        <v>198</v>
      </c>
      <c r="F103" s="11" t="s">
        <v>198</v>
      </c>
      <c r="G103" s="11" t="s">
        <v>198</v>
      </c>
      <c r="H103" s="11" t="s">
        <v>198</v>
      </c>
      <c r="I103" s="11" t="s">
        <v>198</v>
      </c>
      <c r="J103" s="11" t="s">
        <v>198</v>
      </c>
      <c r="K103" s="98" t="s">
        <v>1292</v>
      </c>
      <c r="L103" s="98" t="s">
        <v>1293</v>
      </c>
      <c r="M103" s="98" t="s">
        <v>101</v>
      </c>
      <c r="N103" s="11" t="s">
        <v>198</v>
      </c>
      <c r="O103" s="11" t="s">
        <v>198</v>
      </c>
      <c r="P103" s="11" t="s">
        <v>198</v>
      </c>
      <c r="Q103" s="98" t="s">
        <v>1288</v>
      </c>
      <c r="R103" s="11" t="s">
        <v>198</v>
      </c>
      <c r="S103" s="11" t="s">
        <v>198</v>
      </c>
      <c r="T103" s="11" t="s">
        <v>198</v>
      </c>
      <c r="U103" s="11" t="s">
        <v>198</v>
      </c>
      <c r="V103" s="11" t="s">
        <v>198</v>
      </c>
      <c r="W103" s="11" t="s">
        <v>198</v>
      </c>
      <c r="X103" s="11" t="s">
        <v>198</v>
      </c>
      <c r="Y103" s="23"/>
      <c r="Z103" s="21" t="s">
        <v>254</v>
      </c>
      <c r="AA103" s="91"/>
      <c r="AB103" s="22"/>
      <c r="AC103" s="20" t="s">
        <v>570</v>
      </c>
      <c r="AD103" s="20" t="s">
        <v>1567</v>
      </c>
      <c r="AE103" s="22"/>
      <c r="AF103" s="22"/>
    </row>
    <row r="104" spans="2:32" x14ac:dyDescent="0.2">
      <c r="B104" s="9" t="s">
        <v>138</v>
      </c>
      <c r="C104" s="9" t="s">
        <v>502</v>
      </c>
      <c r="D104" s="9" t="s">
        <v>138</v>
      </c>
      <c r="E104" s="11" t="s">
        <v>198</v>
      </c>
      <c r="F104" s="11" t="s">
        <v>198</v>
      </c>
      <c r="G104" s="11" t="s">
        <v>198</v>
      </c>
      <c r="H104" s="11" t="s">
        <v>198</v>
      </c>
      <c r="I104" s="11" t="s">
        <v>198</v>
      </c>
      <c r="J104" s="11" t="s">
        <v>198</v>
      </c>
      <c r="K104" s="98" t="s">
        <v>1294</v>
      </c>
      <c r="L104" s="98" t="s">
        <v>1295</v>
      </c>
      <c r="M104" s="96" t="s">
        <v>1542</v>
      </c>
      <c r="N104" s="11" t="s">
        <v>198</v>
      </c>
      <c r="O104" s="11" t="s">
        <v>198</v>
      </c>
      <c r="P104" s="11" t="s">
        <v>198</v>
      </c>
      <c r="Q104" s="98" t="s">
        <v>1289</v>
      </c>
      <c r="R104" s="11" t="s">
        <v>198</v>
      </c>
      <c r="S104" s="11" t="s">
        <v>198</v>
      </c>
      <c r="T104" s="11" t="s">
        <v>198</v>
      </c>
      <c r="U104" s="11" t="s">
        <v>198</v>
      </c>
      <c r="V104" s="11" t="s">
        <v>198</v>
      </c>
      <c r="W104" s="11" t="s">
        <v>198</v>
      </c>
      <c r="X104" s="11" t="s">
        <v>198</v>
      </c>
      <c r="Y104" s="23"/>
      <c r="Z104" s="21" t="s">
        <v>254</v>
      </c>
      <c r="AA104" s="91"/>
      <c r="AB104" s="22"/>
      <c r="AC104" s="20" t="s">
        <v>570</v>
      </c>
      <c r="AD104" s="20" t="s">
        <v>1567</v>
      </c>
      <c r="AE104" s="22"/>
      <c r="AF104" s="22"/>
    </row>
    <row r="105" spans="2:32" x14ac:dyDescent="0.2">
      <c r="B105" s="9" t="s">
        <v>140</v>
      </c>
      <c r="C105" s="9" t="s">
        <v>504</v>
      </c>
      <c r="D105" s="9" t="s">
        <v>140</v>
      </c>
      <c r="E105" s="96" t="s">
        <v>1298</v>
      </c>
      <c r="F105" s="96" t="s">
        <v>1168</v>
      </c>
      <c r="G105" s="96" t="s">
        <v>1169</v>
      </c>
      <c r="H105" s="11" t="s">
        <v>198</v>
      </c>
      <c r="I105" s="11" t="s">
        <v>198</v>
      </c>
      <c r="J105" s="11" t="s">
        <v>198</v>
      </c>
      <c r="K105" s="98" t="s">
        <v>1296</v>
      </c>
      <c r="L105" s="96" t="s">
        <v>1297</v>
      </c>
      <c r="M105" s="11" t="s">
        <v>198</v>
      </c>
      <c r="N105" s="11" t="s">
        <v>198</v>
      </c>
      <c r="O105" s="96" t="s">
        <v>176</v>
      </c>
      <c r="P105" s="11" t="s">
        <v>198</v>
      </c>
      <c r="Q105" s="11" t="s">
        <v>198</v>
      </c>
      <c r="R105" s="98" t="s">
        <v>1299</v>
      </c>
      <c r="S105" s="98" t="s">
        <v>1300</v>
      </c>
      <c r="T105" s="98" t="s">
        <v>1301</v>
      </c>
      <c r="U105" s="11" t="s">
        <v>198</v>
      </c>
      <c r="V105" s="11" t="s">
        <v>198</v>
      </c>
      <c r="W105" s="11" t="s">
        <v>198</v>
      </c>
      <c r="X105" s="11" t="s">
        <v>198</v>
      </c>
      <c r="Y105" s="23"/>
      <c r="Z105" s="21" t="s">
        <v>254</v>
      </c>
      <c r="AA105" s="91"/>
      <c r="AB105" s="22"/>
      <c r="AC105" s="20" t="s">
        <v>1558</v>
      </c>
      <c r="AD105" s="20" t="s">
        <v>1567</v>
      </c>
      <c r="AE105" s="22"/>
      <c r="AF105" s="22"/>
    </row>
    <row r="106" spans="2:32" x14ac:dyDescent="0.2">
      <c r="B106" s="9" t="s">
        <v>141</v>
      </c>
      <c r="C106" s="9" t="s">
        <v>520</v>
      </c>
      <c r="D106" s="9" t="s">
        <v>141</v>
      </c>
      <c r="E106" s="96" t="s">
        <v>1302</v>
      </c>
      <c r="F106" s="96" t="s">
        <v>1613</v>
      </c>
      <c r="G106" s="96" t="s">
        <v>1635</v>
      </c>
      <c r="H106" s="11" t="s">
        <v>198</v>
      </c>
      <c r="I106" s="11" t="s">
        <v>198</v>
      </c>
      <c r="J106" s="11" t="s">
        <v>198</v>
      </c>
      <c r="K106" s="11" t="s">
        <v>198</v>
      </c>
      <c r="L106" s="11" t="s">
        <v>198</v>
      </c>
      <c r="M106" s="11" t="s">
        <v>198</v>
      </c>
      <c r="N106" s="98" t="s">
        <v>1767</v>
      </c>
      <c r="O106" s="11" t="s">
        <v>198</v>
      </c>
      <c r="P106" s="11" t="s">
        <v>198</v>
      </c>
      <c r="Q106" s="11" t="s">
        <v>198</v>
      </c>
      <c r="R106" s="96" t="s">
        <v>1304</v>
      </c>
      <c r="S106" s="98" t="s">
        <v>1303</v>
      </c>
      <c r="T106" s="98" t="s">
        <v>1305</v>
      </c>
      <c r="U106" s="11" t="s">
        <v>198</v>
      </c>
      <c r="V106" s="11" t="s">
        <v>198</v>
      </c>
      <c r="W106" s="11" t="s">
        <v>198</v>
      </c>
      <c r="X106" s="11" t="s">
        <v>198</v>
      </c>
      <c r="Y106" s="23"/>
      <c r="Z106" s="21" t="s">
        <v>254</v>
      </c>
      <c r="AA106" s="91"/>
      <c r="AB106" s="22"/>
      <c r="AC106" s="20" t="s">
        <v>1558</v>
      </c>
      <c r="AD106" s="20" t="s">
        <v>1567</v>
      </c>
      <c r="AE106" s="22"/>
      <c r="AF106" s="22"/>
    </row>
    <row r="107" spans="2:32" x14ac:dyDescent="0.2">
      <c r="B107" s="9" t="s">
        <v>950</v>
      </c>
      <c r="C107" s="9" t="s">
        <v>505</v>
      </c>
      <c r="D107" s="9" t="s">
        <v>950</v>
      </c>
      <c r="E107" s="96" t="s">
        <v>1306</v>
      </c>
      <c r="F107" s="96" t="s">
        <v>1307</v>
      </c>
      <c r="G107" s="96" t="s">
        <v>1636</v>
      </c>
      <c r="H107" s="11" t="s">
        <v>198</v>
      </c>
      <c r="I107" s="11" t="s">
        <v>198</v>
      </c>
      <c r="J107" s="11" t="s">
        <v>198</v>
      </c>
      <c r="K107" s="11" t="s">
        <v>198</v>
      </c>
      <c r="L107" s="11" t="s">
        <v>198</v>
      </c>
      <c r="M107" s="11" t="s">
        <v>198</v>
      </c>
      <c r="N107" s="11" t="s">
        <v>198</v>
      </c>
      <c r="O107" s="98" t="s">
        <v>176</v>
      </c>
      <c r="P107" s="98" t="s">
        <v>1740</v>
      </c>
      <c r="Q107" s="11" t="s">
        <v>198</v>
      </c>
      <c r="R107" s="96" t="s">
        <v>1309</v>
      </c>
      <c r="S107" s="98" t="s">
        <v>1308</v>
      </c>
      <c r="T107" s="98" t="s">
        <v>1076</v>
      </c>
      <c r="U107" s="11" t="s">
        <v>198</v>
      </c>
      <c r="V107" s="11" t="s">
        <v>198</v>
      </c>
      <c r="W107" s="11" t="s">
        <v>198</v>
      </c>
      <c r="X107" s="11" t="s">
        <v>198</v>
      </c>
      <c r="Y107" s="23"/>
      <c r="Z107" s="21" t="s">
        <v>254</v>
      </c>
      <c r="AA107" s="91"/>
      <c r="AB107" s="22"/>
      <c r="AC107" s="20" t="s">
        <v>1558</v>
      </c>
      <c r="AD107" s="20" t="s">
        <v>1567</v>
      </c>
      <c r="AE107" s="22"/>
      <c r="AF107" s="22"/>
    </row>
    <row r="108" spans="2:32" x14ac:dyDescent="0.2">
      <c r="B108" s="9" t="s">
        <v>951</v>
      </c>
      <c r="C108" s="9" t="s">
        <v>506</v>
      </c>
      <c r="D108" s="9" t="s">
        <v>951</v>
      </c>
      <c r="E108" s="96" t="s">
        <v>1310</v>
      </c>
      <c r="F108" s="96" t="s">
        <v>1614</v>
      </c>
      <c r="G108" s="96" t="s">
        <v>1311</v>
      </c>
      <c r="H108" s="96" t="s">
        <v>1315</v>
      </c>
      <c r="I108" s="11" t="s">
        <v>198</v>
      </c>
      <c r="J108" s="11" t="s">
        <v>198</v>
      </c>
      <c r="K108" s="11" t="s">
        <v>198</v>
      </c>
      <c r="L108" s="11" t="s">
        <v>198</v>
      </c>
      <c r="M108" s="11" t="s">
        <v>198</v>
      </c>
      <c r="N108" s="98" t="s">
        <v>1754</v>
      </c>
      <c r="O108" s="11" t="s">
        <v>198</v>
      </c>
      <c r="P108" s="11" t="s">
        <v>198</v>
      </c>
      <c r="Q108" s="98" t="s">
        <v>1312</v>
      </c>
      <c r="R108" s="98" t="s">
        <v>1313</v>
      </c>
      <c r="S108" s="96" t="s">
        <v>1314</v>
      </c>
      <c r="T108" s="11" t="s">
        <v>198</v>
      </c>
      <c r="U108" s="11" t="s">
        <v>198</v>
      </c>
      <c r="V108" s="11" t="s">
        <v>198</v>
      </c>
      <c r="W108" s="11" t="s">
        <v>198</v>
      </c>
      <c r="X108" s="11" t="s">
        <v>198</v>
      </c>
      <c r="Y108" s="23"/>
      <c r="Z108" s="21" t="s">
        <v>254</v>
      </c>
      <c r="AA108" s="91" t="s">
        <v>1823</v>
      </c>
      <c r="AB108" s="22"/>
      <c r="AC108" s="20" t="s">
        <v>1558</v>
      </c>
      <c r="AD108" s="20" t="s">
        <v>1567</v>
      </c>
      <c r="AE108" s="22"/>
      <c r="AF108" s="22"/>
    </row>
    <row r="109" spans="2:32" x14ac:dyDescent="0.2">
      <c r="B109" s="9" t="s">
        <v>952</v>
      </c>
      <c r="C109" s="9" t="s">
        <v>507</v>
      </c>
      <c r="D109" s="9" t="s">
        <v>952</v>
      </c>
      <c r="E109" s="96" t="s">
        <v>1045</v>
      </c>
      <c r="F109" s="96" t="s">
        <v>1118</v>
      </c>
      <c r="G109" s="96" t="s">
        <v>1113</v>
      </c>
      <c r="H109" s="11" t="s">
        <v>198</v>
      </c>
      <c r="I109" s="96" t="s">
        <v>1316</v>
      </c>
      <c r="J109" s="98" t="s">
        <v>1317</v>
      </c>
      <c r="K109" s="96" t="s">
        <v>1321</v>
      </c>
      <c r="L109" s="11" t="s">
        <v>198</v>
      </c>
      <c r="M109" s="11" t="s">
        <v>198</v>
      </c>
      <c r="N109" s="11" t="s">
        <v>198</v>
      </c>
      <c r="O109" s="98" t="s">
        <v>1318</v>
      </c>
      <c r="P109" s="98" t="s">
        <v>1768</v>
      </c>
      <c r="Q109" s="98" t="s">
        <v>1319</v>
      </c>
      <c r="R109" s="98" t="s">
        <v>1320</v>
      </c>
      <c r="S109" s="11" t="s">
        <v>198</v>
      </c>
      <c r="T109" s="98" t="s">
        <v>126</v>
      </c>
      <c r="U109" s="11" t="s">
        <v>198</v>
      </c>
      <c r="V109" s="11" t="s">
        <v>198</v>
      </c>
      <c r="W109" s="11" t="s">
        <v>198</v>
      </c>
      <c r="X109" s="11" t="s">
        <v>198</v>
      </c>
      <c r="Y109" s="23"/>
      <c r="Z109" s="21" t="s">
        <v>254</v>
      </c>
      <c r="AA109" s="91" t="s">
        <v>1823</v>
      </c>
      <c r="AB109" s="22"/>
      <c r="AC109" s="20" t="s">
        <v>1558</v>
      </c>
      <c r="AD109" s="20" t="s">
        <v>1567</v>
      </c>
      <c r="AE109" s="22"/>
      <c r="AF109" s="22"/>
    </row>
    <row r="110" spans="2:32" ht="10" customHeight="1" x14ac:dyDescent="0.2">
      <c r="B110" s="9" t="s">
        <v>953</v>
      </c>
      <c r="C110" s="9" t="s">
        <v>508</v>
      </c>
      <c r="D110" s="9" t="s">
        <v>953</v>
      </c>
      <c r="E110" s="96" t="s">
        <v>1057</v>
      </c>
      <c r="F110" s="96" t="s">
        <v>1039</v>
      </c>
      <c r="G110" s="96" t="s">
        <v>1124</v>
      </c>
      <c r="H110" s="96" t="s">
        <v>1327</v>
      </c>
      <c r="I110" s="96" t="s">
        <v>1322</v>
      </c>
      <c r="J110" s="96" t="s">
        <v>1323</v>
      </c>
      <c r="K110" s="98" t="s">
        <v>1328</v>
      </c>
      <c r="L110" s="11" t="s">
        <v>198</v>
      </c>
      <c r="M110" s="98" t="s">
        <v>1324</v>
      </c>
      <c r="N110" s="96" t="s">
        <v>1755</v>
      </c>
      <c r="O110" s="98" t="s">
        <v>1325</v>
      </c>
      <c r="P110" s="98" t="s">
        <v>1742</v>
      </c>
      <c r="Q110" s="98" t="s">
        <v>1326</v>
      </c>
      <c r="R110" s="11" t="s">
        <v>198</v>
      </c>
      <c r="S110" s="11" t="s">
        <v>198</v>
      </c>
      <c r="T110" s="98" t="s">
        <v>128</v>
      </c>
      <c r="U110" s="11" t="s">
        <v>198</v>
      </c>
      <c r="V110" s="11" t="s">
        <v>198</v>
      </c>
      <c r="W110" s="11" t="s">
        <v>198</v>
      </c>
      <c r="X110" s="11" t="s">
        <v>198</v>
      </c>
      <c r="Y110" s="23"/>
      <c r="Z110" s="21" t="s">
        <v>254</v>
      </c>
      <c r="AA110" s="91" t="s">
        <v>1823</v>
      </c>
      <c r="AB110" s="22"/>
      <c r="AC110" s="20" t="s">
        <v>1558</v>
      </c>
      <c r="AD110" s="20" t="s">
        <v>1567</v>
      </c>
      <c r="AE110" s="22"/>
      <c r="AF110" s="22"/>
    </row>
    <row r="111" spans="2:32" x14ac:dyDescent="0.2">
      <c r="B111" s="9" t="s">
        <v>142</v>
      </c>
      <c r="C111" s="9" t="s">
        <v>509</v>
      </c>
      <c r="D111" s="9" t="s">
        <v>1340</v>
      </c>
      <c r="E111" s="96" t="s">
        <v>1341</v>
      </c>
      <c r="F111" s="96" t="s">
        <v>1332</v>
      </c>
      <c r="G111" s="96" t="s">
        <v>1333</v>
      </c>
      <c r="H111" s="96" t="s">
        <v>1330</v>
      </c>
      <c r="I111" s="96" t="s">
        <v>1334</v>
      </c>
      <c r="J111" s="96" t="s">
        <v>1335</v>
      </c>
      <c r="K111" s="96" t="s">
        <v>1331</v>
      </c>
      <c r="L111" s="11" t="s">
        <v>198</v>
      </c>
      <c r="M111" s="98" t="s">
        <v>1336</v>
      </c>
      <c r="N111" s="96" t="s">
        <v>1756</v>
      </c>
      <c r="O111" s="98" t="s">
        <v>1337</v>
      </c>
      <c r="P111" s="98" t="s">
        <v>1743</v>
      </c>
      <c r="Q111" s="98" t="s">
        <v>1338</v>
      </c>
      <c r="R111" s="11" t="s">
        <v>198</v>
      </c>
      <c r="S111" s="11" t="s">
        <v>198</v>
      </c>
      <c r="T111" s="98" t="s">
        <v>1339</v>
      </c>
      <c r="U111" s="11" t="s">
        <v>198</v>
      </c>
      <c r="V111" s="11" t="s">
        <v>198</v>
      </c>
      <c r="W111" s="11" t="s">
        <v>198</v>
      </c>
      <c r="X111" s="11" t="s">
        <v>198</v>
      </c>
      <c r="Y111" s="23"/>
      <c r="Z111" s="21" t="s">
        <v>254</v>
      </c>
      <c r="AA111" s="91" t="s">
        <v>1823</v>
      </c>
      <c r="AB111" s="22"/>
      <c r="AC111" s="20" t="s">
        <v>1558</v>
      </c>
      <c r="AD111" s="20" t="s">
        <v>1567</v>
      </c>
      <c r="AE111" s="22"/>
      <c r="AF111" s="22"/>
    </row>
    <row r="112" spans="2:32" x14ac:dyDescent="0.2">
      <c r="B112" s="9" t="s">
        <v>143</v>
      </c>
      <c r="C112" s="9" t="s">
        <v>510</v>
      </c>
      <c r="D112" s="9" t="s">
        <v>143</v>
      </c>
      <c r="E112" s="96" t="s">
        <v>1159</v>
      </c>
      <c r="F112" s="96" t="s">
        <v>1064</v>
      </c>
      <c r="G112" s="96" t="s">
        <v>1058</v>
      </c>
      <c r="H112" s="96" t="s">
        <v>1346</v>
      </c>
      <c r="I112" s="96" t="s">
        <v>1342</v>
      </c>
      <c r="J112" s="96" t="s">
        <v>1343</v>
      </c>
      <c r="K112" s="96" t="s">
        <v>1347</v>
      </c>
      <c r="L112" s="11" t="s">
        <v>198</v>
      </c>
      <c r="M112" s="11" t="s">
        <v>198</v>
      </c>
      <c r="N112" s="98" t="s">
        <v>1757</v>
      </c>
      <c r="O112" s="98" t="s">
        <v>1344</v>
      </c>
      <c r="P112" s="98" t="s">
        <v>1744</v>
      </c>
      <c r="Q112" s="98" t="s">
        <v>1345</v>
      </c>
      <c r="R112" s="11" t="s">
        <v>198</v>
      </c>
      <c r="S112" s="11" t="s">
        <v>198</v>
      </c>
      <c r="T112" s="98" t="s">
        <v>139</v>
      </c>
      <c r="U112" s="11" t="s">
        <v>198</v>
      </c>
      <c r="V112" s="11" t="s">
        <v>198</v>
      </c>
      <c r="W112" s="11" t="s">
        <v>198</v>
      </c>
      <c r="X112" s="11" t="s">
        <v>198</v>
      </c>
      <c r="Y112" s="23"/>
      <c r="Z112" s="21" t="s">
        <v>254</v>
      </c>
      <c r="AA112" s="91" t="s">
        <v>1823</v>
      </c>
      <c r="AB112" s="22"/>
      <c r="AC112" s="20" t="s">
        <v>1558</v>
      </c>
      <c r="AD112" s="20" t="s">
        <v>1567</v>
      </c>
      <c r="AE112" s="22"/>
      <c r="AF112" s="22"/>
    </row>
    <row r="113" spans="2:32" x14ac:dyDescent="0.2">
      <c r="B113" s="9" t="s">
        <v>144</v>
      </c>
      <c r="C113" s="9" t="s">
        <v>518</v>
      </c>
      <c r="D113" s="9" t="s">
        <v>144</v>
      </c>
      <c r="E113" s="96" t="s">
        <v>1073</v>
      </c>
      <c r="F113" s="96" t="s">
        <v>1164</v>
      </c>
      <c r="G113" s="96" t="s">
        <v>1069</v>
      </c>
      <c r="H113" s="96" t="s">
        <v>1352</v>
      </c>
      <c r="I113" s="96" t="s">
        <v>1348</v>
      </c>
      <c r="J113" s="96" t="s">
        <v>1349</v>
      </c>
      <c r="K113" s="98" t="s">
        <v>1353</v>
      </c>
      <c r="L113" s="11" t="s">
        <v>198</v>
      </c>
      <c r="M113" s="11" t="s">
        <v>198</v>
      </c>
      <c r="N113" s="98" t="s">
        <v>1758</v>
      </c>
      <c r="O113" s="98" t="s">
        <v>1350</v>
      </c>
      <c r="P113" s="98" t="s">
        <v>1745</v>
      </c>
      <c r="Q113" s="98" t="s">
        <v>1351</v>
      </c>
      <c r="R113" s="11" t="s">
        <v>198</v>
      </c>
      <c r="S113" s="11" t="s">
        <v>198</v>
      </c>
      <c r="T113" s="98" t="s">
        <v>149</v>
      </c>
      <c r="U113" s="11" t="s">
        <v>198</v>
      </c>
      <c r="V113" s="11" t="s">
        <v>198</v>
      </c>
      <c r="W113" s="11" t="s">
        <v>198</v>
      </c>
      <c r="X113" s="11" t="s">
        <v>198</v>
      </c>
      <c r="Y113" s="23"/>
      <c r="Z113" s="21" t="s">
        <v>254</v>
      </c>
      <c r="AA113" s="91" t="s">
        <v>1823</v>
      </c>
      <c r="AB113" s="22"/>
      <c r="AC113" s="20" t="s">
        <v>1558</v>
      </c>
      <c r="AD113" s="20" t="s">
        <v>1567</v>
      </c>
      <c r="AE113" s="22"/>
      <c r="AF113" s="22"/>
    </row>
    <row r="114" spans="2:32" x14ac:dyDescent="0.2">
      <c r="B114" s="9" t="s">
        <v>145</v>
      </c>
      <c r="C114" s="9" t="s">
        <v>513</v>
      </c>
      <c r="D114" s="9" t="s">
        <v>145</v>
      </c>
      <c r="E114" s="96" t="s">
        <v>1080</v>
      </c>
      <c r="F114" s="96" t="s">
        <v>1166</v>
      </c>
      <c r="G114" s="96" t="s">
        <v>1167</v>
      </c>
      <c r="H114" s="96" t="s">
        <v>1357</v>
      </c>
      <c r="I114" s="96" t="s">
        <v>1354</v>
      </c>
      <c r="J114" s="98" t="s">
        <v>1355</v>
      </c>
      <c r="K114" s="98" t="s">
        <v>1358</v>
      </c>
      <c r="L114" s="11" t="s">
        <v>198</v>
      </c>
      <c r="M114" s="11" t="s">
        <v>198</v>
      </c>
      <c r="N114" s="98" t="s">
        <v>1759</v>
      </c>
      <c r="O114" s="98" t="s">
        <v>1356</v>
      </c>
      <c r="P114" s="98" t="s">
        <v>1746</v>
      </c>
      <c r="Q114" s="11" t="s">
        <v>198</v>
      </c>
      <c r="R114" s="11" t="s">
        <v>198</v>
      </c>
      <c r="S114" s="11" t="s">
        <v>198</v>
      </c>
      <c r="T114" s="98" t="s">
        <v>150</v>
      </c>
      <c r="U114" s="11" t="s">
        <v>198</v>
      </c>
      <c r="V114" s="11" t="s">
        <v>198</v>
      </c>
      <c r="W114" s="11" t="s">
        <v>198</v>
      </c>
      <c r="X114" s="11" t="s">
        <v>198</v>
      </c>
      <c r="Y114" s="23"/>
      <c r="Z114" s="21" t="s">
        <v>254</v>
      </c>
      <c r="AA114" s="91"/>
      <c r="AB114" s="22"/>
      <c r="AC114" s="20" t="s">
        <v>1558</v>
      </c>
      <c r="AD114" s="20" t="s">
        <v>1567</v>
      </c>
      <c r="AE114" s="22"/>
      <c r="AF114" s="22"/>
    </row>
    <row r="115" spans="2:32" x14ac:dyDescent="0.2">
      <c r="B115" s="9" t="s">
        <v>378</v>
      </c>
      <c r="C115" s="9" t="s">
        <v>512</v>
      </c>
      <c r="D115" s="9" t="s">
        <v>378</v>
      </c>
      <c r="E115" s="96" t="s">
        <v>1084</v>
      </c>
      <c r="F115" s="96" t="s">
        <v>1077</v>
      </c>
      <c r="G115" s="96" t="s">
        <v>1074</v>
      </c>
      <c r="H115" s="96" t="s">
        <v>1361</v>
      </c>
      <c r="I115" s="96" t="s">
        <v>1359</v>
      </c>
      <c r="J115" s="98" t="s">
        <v>1360</v>
      </c>
      <c r="K115" s="98" t="s">
        <v>1362</v>
      </c>
      <c r="L115" s="11" t="s">
        <v>198</v>
      </c>
      <c r="M115" s="11" t="s">
        <v>198</v>
      </c>
      <c r="N115" s="98" t="s">
        <v>1760</v>
      </c>
      <c r="O115" s="98" t="s">
        <v>1543</v>
      </c>
      <c r="P115" s="98" t="s">
        <v>1747</v>
      </c>
      <c r="Q115" s="11" t="s">
        <v>198</v>
      </c>
      <c r="R115" s="11" t="s">
        <v>198</v>
      </c>
      <c r="S115" s="11" t="s">
        <v>198</v>
      </c>
      <c r="T115" s="11" t="s">
        <v>198</v>
      </c>
      <c r="U115" s="11" t="s">
        <v>198</v>
      </c>
      <c r="V115" s="11" t="s">
        <v>198</v>
      </c>
      <c r="W115" s="11" t="s">
        <v>198</v>
      </c>
      <c r="X115" s="11" t="s">
        <v>198</v>
      </c>
      <c r="Y115" s="23"/>
      <c r="Z115" s="21" t="s">
        <v>254</v>
      </c>
      <c r="AA115" s="91"/>
      <c r="AB115" s="22"/>
      <c r="AC115" s="20" t="s">
        <v>1558</v>
      </c>
      <c r="AD115" s="20" t="s">
        <v>1567</v>
      </c>
      <c r="AE115" s="22"/>
      <c r="AF115" s="22"/>
    </row>
    <row r="116" spans="2:32" x14ac:dyDescent="0.2">
      <c r="B116" s="9" t="s">
        <v>379</v>
      </c>
      <c r="C116" s="9" t="s">
        <v>511</v>
      </c>
      <c r="D116" s="9" t="s">
        <v>379</v>
      </c>
      <c r="E116" s="96" t="s">
        <v>1087</v>
      </c>
      <c r="F116" s="96" t="s">
        <v>1083</v>
      </c>
      <c r="G116" s="96" t="s">
        <v>1081</v>
      </c>
      <c r="H116" s="96" t="s">
        <v>1367</v>
      </c>
      <c r="I116" s="96" t="s">
        <v>1363</v>
      </c>
      <c r="J116" s="98" t="s">
        <v>1364</v>
      </c>
      <c r="K116" s="98" t="s">
        <v>1368</v>
      </c>
      <c r="L116" s="11" t="s">
        <v>198</v>
      </c>
      <c r="M116" s="11" t="s">
        <v>198</v>
      </c>
      <c r="N116" s="98" t="s">
        <v>1761</v>
      </c>
      <c r="O116" s="11" t="s">
        <v>198</v>
      </c>
      <c r="P116" s="98" t="s">
        <v>1748</v>
      </c>
      <c r="Q116" s="98" t="s">
        <v>1365</v>
      </c>
      <c r="R116" s="98" t="s">
        <v>1366</v>
      </c>
      <c r="S116" s="11" t="s">
        <v>198</v>
      </c>
      <c r="T116" s="11" t="s">
        <v>198</v>
      </c>
      <c r="U116" s="11" t="s">
        <v>198</v>
      </c>
      <c r="V116" s="11" t="s">
        <v>198</v>
      </c>
      <c r="W116" s="11" t="s">
        <v>198</v>
      </c>
      <c r="X116" s="11" t="s">
        <v>198</v>
      </c>
      <c r="Y116" s="23"/>
      <c r="Z116" s="21" t="s">
        <v>254</v>
      </c>
      <c r="AA116" s="91" t="s">
        <v>1823</v>
      </c>
      <c r="AB116" s="22"/>
      <c r="AC116" s="20" t="s">
        <v>1558</v>
      </c>
      <c r="AD116" s="20" t="s">
        <v>1567</v>
      </c>
      <c r="AE116" s="22"/>
      <c r="AF116" s="22"/>
    </row>
    <row r="117" spans="2:32" x14ac:dyDescent="0.2">
      <c r="B117" s="12" t="s">
        <v>380</v>
      </c>
      <c r="C117" s="9" t="s">
        <v>515</v>
      </c>
      <c r="D117" s="12" t="s">
        <v>380</v>
      </c>
      <c r="E117" s="100" t="s">
        <v>1094</v>
      </c>
      <c r="F117" s="100" t="s">
        <v>1086</v>
      </c>
      <c r="G117" s="100" t="s">
        <v>1085</v>
      </c>
      <c r="H117" s="100" t="s">
        <v>1371</v>
      </c>
      <c r="I117" s="11" t="s">
        <v>198</v>
      </c>
      <c r="J117" s="11" t="s">
        <v>198</v>
      </c>
      <c r="K117" s="11" t="s">
        <v>198</v>
      </c>
      <c r="L117" s="11" t="s">
        <v>198</v>
      </c>
      <c r="M117" s="11" t="s">
        <v>198</v>
      </c>
      <c r="N117" s="98" t="s">
        <v>1762</v>
      </c>
      <c r="O117" s="11" t="s">
        <v>198</v>
      </c>
      <c r="P117" s="98" t="s">
        <v>1749</v>
      </c>
      <c r="Q117" s="98" t="s">
        <v>1369</v>
      </c>
      <c r="R117" s="98" t="s">
        <v>1370</v>
      </c>
      <c r="S117" s="98" t="s">
        <v>1314</v>
      </c>
      <c r="T117" s="11" t="s">
        <v>198</v>
      </c>
      <c r="U117" s="11" t="s">
        <v>198</v>
      </c>
      <c r="V117" s="11" t="s">
        <v>198</v>
      </c>
      <c r="W117" s="11" t="s">
        <v>198</v>
      </c>
      <c r="X117" s="11" t="s">
        <v>198</v>
      </c>
      <c r="Y117" s="23"/>
      <c r="Z117" s="21" t="s">
        <v>254</v>
      </c>
      <c r="AA117" s="91" t="s">
        <v>1823</v>
      </c>
      <c r="AB117" s="22"/>
      <c r="AC117" s="20" t="s">
        <v>1558</v>
      </c>
      <c r="AD117" s="20" t="s">
        <v>1567</v>
      </c>
      <c r="AE117" s="22"/>
      <c r="AF117" s="22"/>
    </row>
    <row r="118" spans="2:32" x14ac:dyDescent="0.2">
      <c r="B118" s="9" t="s">
        <v>381</v>
      </c>
      <c r="C118" s="9" t="s">
        <v>514</v>
      </c>
      <c r="D118" s="9" t="s">
        <v>381</v>
      </c>
      <c r="E118" s="96" t="s">
        <v>1103</v>
      </c>
      <c r="F118" s="96" t="s">
        <v>1092</v>
      </c>
      <c r="G118" s="96" t="s">
        <v>1088</v>
      </c>
      <c r="H118" s="11" t="s">
        <v>198</v>
      </c>
      <c r="I118" s="11" t="s">
        <v>198</v>
      </c>
      <c r="J118" s="11" t="s">
        <v>198</v>
      </c>
      <c r="K118" s="11" t="s">
        <v>198</v>
      </c>
      <c r="L118" s="11" t="s">
        <v>198</v>
      </c>
      <c r="M118" s="98" t="s">
        <v>1324</v>
      </c>
      <c r="N118" s="98" t="s">
        <v>1763</v>
      </c>
      <c r="O118" s="11" t="s">
        <v>198</v>
      </c>
      <c r="P118" s="98" t="s">
        <v>1750</v>
      </c>
      <c r="Q118" s="11" t="s">
        <v>198</v>
      </c>
      <c r="R118" s="98" t="s">
        <v>1372</v>
      </c>
      <c r="S118" s="98" t="s">
        <v>1300</v>
      </c>
      <c r="T118" s="98" t="s">
        <v>1373</v>
      </c>
      <c r="U118" s="11" t="s">
        <v>198</v>
      </c>
      <c r="V118" s="11" t="s">
        <v>198</v>
      </c>
      <c r="W118" s="11" t="s">
        <v>198</v>
      </c>
      <c r="X118" s="11" t="s">
        <v>198</v>
      </c>
      <c r="Y118" s="23"/>
      <c r="Z118" s="21" t="s">
        <v>254</v>
      </c>
      <c r="AA118" s="91" t="s">
        <v>1823</v>
      </c>
      <c r="AB118" s="22"/>
      <c r="AC118" s="20" t="s">
        <v>1558</v>
      </c>
      <c r="AD118" s="20" t="s">
        <v>1567</v>
      </c>
      <c r="AE118" s="22"/>
      <c r="AF118" s="22"/>
    </row>
    <row r="119" spans="2:32" x14ac:dyDescent="0.2">
      <c r="B119" s="9" t="s">
        <v>146</v>
      </c>
      <c r="C119" s="9" t="s">
        <v>516</v>
      </c>
      <c r="D119" s="9" t="s">
        <v>146</v>
      </c>
      <c r="E119" s="96" t="s">
        <v>1112</v>
      </c>
      <c r="F119" s="96" t="s">
        <v>1099</v>
      </c>
      <c r="G119" s="96" t="s">
        <v>1095</v>
      </c>
      <c r="H119" s="11" t="s">
        <v>198</v>
      </c>
      <c r="I119" s="11" t="s">
        <v>198</v>
      </c>
      <c r="J119" s="11" t="s">
        <v>198</v>
      </c>
      <c r="K119" s="11" t="s">
        <v>198</v>
      </c>
      <c r="L119" s="11" t="s">
        <v>198</v>
      </c>
      <c r="M119" s="98" t="s">
        <v>1329</v>
      </c>
      <c r="N119" s="98" t="s">
        <v>1764</v>
      </c>
      <c r="O119" s="11" t="s">
        <v>198</v>
      </c>
      <c r="P119" s="98" t="s">
        <v>1751</v>
      </c>
      <c r="Q119" s="11" t="s">
        <v>198</v>
      </c>
      <c r="R119" s="98" t="s">
        <v>1378</v>
      </c>
      <c r="S119" s="98" t="s">
        <v>1303</v>
      </c>
      <c r="T119" s="98" t="s">
        <v>1374</v>
      </c>
      <c r="U119" s="11" t="s">
        <v>198</v>
      </c>
      <c r="V119" s="11" t="s">
        <v>198</v>
      </c>
      <c r="W119" s="11" t="s">
        <v>198</v>
      </c>
      <c r="X119" s="11" t="s">
        <v>198</v>
      </c>
      <c r="Y119" s="23"/>
      <c r="Z119" s="21" t="s">
        <v>254</v>
      </c>
      <c r="AA119" s="91" t="s">
        <v>1823</v>
      </c>
      <c r="AB119" s="22"/>
      <c r="AC119" s="20" t="s">
        <v>1558</v>
      </c>
      <c r="AD119" s="20" t="s">
        <v>1567</v>
      </c>
      <c r="AE119" s="22"/>
      <c r="AF119" s="22"/>
    </row>
    <row r="120" spans="2:32" x14ac:dyDescent="0.2">
      <c r="B120" s="9" t="s">
        <v>151</v>
      </c>
      <c r="C120" s="9" t="s">
        <v>519</v>
      </c>
      <c r="D120" s="9" t="s">
        <v>151</v>
      </c>
      <c r="E120" s="96" t="s">
        <v>1182</v>
      </c>
      <c r="F120" s="96" t="s">
        <v>1118</v>
      </c>
      <c r="G120" s="96" t="s">
        <v>1113</v>
      </c>
      <c r="H120" s="96" t="s">
        <v>1379</v>
      </c>
      <c r="I120" s="11" t="s">
        <v>198</v>
      </c>
      <c r="J120" s="11" t="s">
        <v>198</v>
      </c>
      <c r="K120" s="11" t="s">
        <v>198</v>
      </c>
      <c r="L120" s="11" t="s">
        <v>198</v>
      </c>
      <c r="M120" s="11" t="s">
        <v>198</v>
      </c>
      <c r="N120" s="98" t="s">
        <v>1765</v>
      </c>
      <c r="O120" s="11" t="s">
        <v>198</v>
      </c>
      <c r="P120" s="98" t="s">
        <v>1752</v>
      </c>
      <c r="Q120" s="98" t="s">
        <v>1375</v>
      </c>
      <c r="R120" s="98" t="s">
        <v>1376</v>
      </c>
      <c r="S120" s="98" t="s">
        <v>1377</v>
      </c>
      <c r="T120" s="98" t="s">
        <v>1380</v>
      </c>
      <c r="U120" s="11" t="s">
        <v>198</v>
      </c>
      <c r="V120" s="11" t="s">
        <v>198</v>
      </c>
      <c r="W120" s="11" t="s">
        <v>198</v>
      </c>
      <c r="X120" s="11" t="s">
        <v>198</v>
      </c>
      <c r="Y120" s="23"/>
      <c r="Z120" s="21" t="s">
        <v>254</v>
      </c>
      <c r="AA120" s="91" t="s">
        <v>1823</v>
      </c>
      <c r="AB120" s="22"/>
      <c r="AC120" s="20" t="s">
        <v>1558</v>
      </c>
      <c r="AD120" s="20" t="s">
        <v>1567</v>
      </c>
      <c r="AE120" s="22"/>
      <c r="AF120" s="22"/>
    </row>
    <row r="121" spans="2:32" x14ac:dyDescent="0.2">
      <c r="B121" s="9" t="s">
        <v>152</v>
      </c>
      <c r="C121" s="9" t="s">
        <v>517</v>
      </c>
      <c r="D121" s="9" t="s">
        <v>152</v>
      </c>
      <c r="E121" s="96" t="s">
        <v>1184</v>
      </c>
      <c r="F121" s="96" t="s">
        <v>1185</v>
      </c>
      <c r="G121" s="96" t="s">
        <v>1124</v>
      </c>
      <c r="H121" s="96" t="s">
        <v>1384</v>
      </c>
      <c r="I121" s="11" t="s">
        <v>198</v>
      </c>
      <c r="J121" s="11" t="s">
        <v>198</v>
      </c>
      <c r="K121" s="11" t="s">
        <v>198</v>
      </c>
      <c r="L121" s="11" t="s">
        <v>198</v>
      </c>
      <c r="M121" s="11" t="s">
        <v>198</v>
      </c>
      <c r="N121" s="98" t="s">
        <v>1766</v>
      </c>
      <c r="O121" s="11" t="s">
        <v>198</v>
      </c>
      <c r="P121" s="98" t="s">
        <v>1753</v>
      </c>
      <c r="Q121" s="98" t="s">
        <v>1381</v>
      </c>
      <c r="R121" s="98" t="s">
        <v>1382</v>
      </c>
      <c r="S121" s="98" t="s">
        <v>1383</v>
      </c>
      <c r="T121" s="98" t="s">
        <v>1385</v>
      </c>
      <c r="U121" s="11" t="s">
        <v>198</v>
      </c>
      <c r="V121" s="11" t="s">
        <v>198</v>
      </c>
      <c r="W121" s="11" t="s">
        <v>198</v>
      </c>
      <c r="X121" s="11" t="s">
        <v>198</v>
      </c>
      <c r="Y121" s="23"/>
      <c r="Z121" s="21" t="s">
        <v>254</v>
      </c>
      <c r="AA121" s="91" t="s">
        <v>1823</v>
      </c>
      <c r="AB121" s="22"/>
      <c r="AC121" s="20" t="s">
        <v>1558</v>
      </c>
      <c r="AD121" s="20" t="s">
        <v>1567</v>
      </c>
      <c r="AE121" s="22"/>
      <c r="AF121" s="22"/>
    </row>
    <row r="122" spans="2:32" x14ac:dyDescent="0.2">
      <c r="B122" s="9" t="s">
        <v>153</v>
      </c>
      <c r="C122" s="9" t="s">
        <v>522</v>
      </c>
      <c r="D122" s="9" t="s">
        <v>153</v>
      </c>
      <c r="E122" s="96" t="s">
        <v>1298</v>
      </c>
      <c r="F122" s="96" t="s">
        <v>1168</v>
      </c>
      <c r="G122" s="96" t="s">
        <v>1169</v>
      </c>
      <c r="H122" s="96" t="s">
        <v>1389</v>
      </c>
      <c r="I122" s="11" t="s">
        <v>198</v>
      </c>
      <c r="J122" s="11" t="s">
        <v>198</v>
      </c>
      <c r="K122" s="11" t="s">
        <v>198</v>
      </c>
      <c r="L122" s="11" t="s">
        <v>198</v>
      </c>
      <c r="M122" s="11" t="s">
        <v>198</v>
      </c>
      <c r="N122" s="96" t="s">
        <v>1766</v>
      </c>
      <c r="O122" s="11" t="s">
        <v>198</v>
      </c>
      <c r="P122" s="98" t="s">
        <v>1753</v>
      </c>
      <c r="Q122" s="98" t="s">
        <v>1386</v>
      </c>
      <c r="R122" s="98" t="s">
        <v>1387</v>
      </c>
      <c r="S122" s="98" t="s">
        <v>1388</v>
      </c>
      <c r="T122" s="11" t="s">
        <v>198</v>
      </c>
      <c r="U122" s="11" t="s">
        <v>198</v>
      </c>
      <c r="V122" s="11" t="s">
        <v>198</v>
      </c>
      <c r="W122" s="11" t="s">
        <v>198</v>
      </c>
      <c r="X122" s="11" t="s">
        <v>198</v>
      </c>
      <c r="Y122" s="23"/>
      <c r="Z122" s="21" t="s">
        <v>254</v>
      </c>
      <c r="AA122" s="91" t="s">
        <v>1823</v>
      </c>
      <c r="AB122" s="22"/>
      <c r="AC122" s="20" t="s">
        <v>1558</v>
      </c>
      <c r="AD122" s="20" t="s">
        <v>1567</v>
      </c>
      <c r="AE122" s="22"/>
      <c r="AF122" s="22"/>
    </row>
    <row r="123" spans="2:32" x14ac:dyDescent="0.2">
      <c r="B123" s="9" t="s">
        <v>154</v>
      </c>
      <c r="C123" s="9" t="s">
        <v>524</v>
      </c>
      <c r="D123" s="9" t="s">
        <v>154</v>
      </c>
      <c r="E123" s="96" t="s">
        <v>1191</v>
      </c>
      <c r="F123" s="96" t="s">
        <v>1264</v>
      </c>
      <c r="G123" s="96" t="s">
        <v>1170</v>
      </c>
      <c r="H123" s="96" t="s">
        <v>1393</v>
      </c>
      <c r="I123" s="11" t="s">
        <v>198</v>
      </c>
      <c r="J123" s="11" t="s">
        <v>198</v>
      </c>
      <c r="K123" s="11" t="s">
        <v>198</v>
      </c>
      <c r="L123" s="11" t="s">
        <v>198</v>
      </c>
      <c r="M123" s="11" t="s">
        <v>198</v>
      </c>
      <c r="N123" s="96" t="s">
        <v>1765</v>
      </c>
      <c r="O123" s="11" t="s">
        <v>198</v>
      </c>
      <c r="P123" s="98" t="s">
        <v>1752</v>
      </c>
      <c r="Q123" s="98" t="s">
        <v>1390</v>
      </c>
      <c r="R123" s="98" t="s">
        <v>1391</v>
      </c>
      <c r="S123" s="98" t="s">
        <v>1392</v>
      </c>
      <c r="T123" s="11" t="s">
        <v>198</v>
      </c>
      <c r="U123" s="11" t="s">
        <v>198</v>
      </c>
      <c r="V123" s="11" t="s">
        <v>198</v>
      </c>
      <c r="W123" s="11" t="s">
        <v>198</v>
      </c>
      <c r="X123" s="11" t="s">
        <v>198</v>
      </c>
      <c r="Y123" s="23"/>
      <c r="Z123" s="21" t="s">
        <v>254</v>
      </c>
      <c r="AA123" s="91" t="s">
        <v>1823</v>
      </c>
      <c r="AB123" s="22"/>
      <c r="AC123" s="20" t="s">
        <v>1558</v>
      </c>
      <c r="AD123" s="20" t="s">
        <v>1567</v>
      </c>
      <c r="AE123" s="22"/>
      <c r="AF123" s="22"/>
    </row>
    <row r="124" spans="2:32" x14ac:dyDescent="0.2">
      <c r="B124" s="9" t="s">
        <v>155</v>
      </c>
      <c r="C124" s="9" t="s">
        <v>523</v>
      </c>
      <c r="D124" s="9" t="s">
        <v>155</v>
      </c>
      <c r="E124" s="96" t="s">
        <v>1205</v>
      </c>
      <c r="F124" s="96" t="s">
        <v>1199</v>
      </c>
      <c r="G124" s="96" t="s">
        <v>1266</v>
      </c>
      <c r="H124" s="96" t="s">
        <v>1397</v>
      </c>
      <c r="I124" s="11" t="s">
        <v>198</v>
      </c>
      <c r="J124" s="11" t="s">
        <v>198</v>
      </c>
      <c r="K124" s="11" t="s">
        <v>198</v>
      </c>
      <c r="L124" s="11" t="s">
        <v>198</v>
      </c>
      <c r="M124" s="11" t="s">
        <v>198</v>
      </c>
      <c r="N124" s="98" t="s">
        <v>1764</v>
      </c>
      <c r="O124" s="11" t="s">
        <v>198</v>
      </c>
      <c r="P124" s="98" t="s">
        <v>1751</v>
      </c>
      <c r="Q124" s="98" t="s">
        <v>1394</v>
      </c>
      <c r="R124" s="98" t="s">
        <v>1395</v>
      </c>
      <c r="S124" s="98" t="s">
        <v>1396</v>
      </c>
      <c r="T124" s="98" t="s">
        <v>1398</v>
      </c>
      <c r="U124" s="11" t="s">
        <v>198</v>
      </c>
      <c r="V124" s="11" t="s">
        <v>198</v>
      </c>
      <c r="W124" s="11" t="s">
        <v>198</v>
      </c>
      <c r="X124" s="11" t="s">
        <v>198</v>
      </c>
      <c r="Y124" s="23"/>
      <c r="Z124" s="21" t="s">
        <v>254</v>
      </c>
      <c r="AA124" s="91" t="s">
        <v>1823</v>
      </c>
      <c r="AB124" s="22"/>
      <c r="AC124" s="20" t="s">
        <v>1558</v>
      </c>
      <c r="AD124" s="20" t="s">
        <v>1567</v>
      </c>
      <c r="AE124" s="22"/>
      <c r="AF124" s="22"/>
    </row>
    <row r="125" spans="2:32" x14ac:dyDescent="0.2">
      <c r="B125" s="9" t="s">
        <v>156</v>
      </c>
      <c r="C125" s="9" t="s">
        <v>521</v>
      </c>
      <c r="D125" s="9" t="s">
        <v>156</v>
      </c>
      <c r="E125" s="96" t="s">
        <v>1217</v>
      </c>
      <c r="F125" s="96" t="s">
        <v>1212</v>
      </c>
      <c r="G125" s="96" t="s">
        <v>1193</v>
      </c>
      <c r="H125" s="11" t="s">
        <v>198</v>
      </c>
      <c r="I125" s="11" t="s">
        <v>198</v>
      </c>
      <c r="J125" s="11" t="s">
        <v>198</v>
      </c>
      <c r="K125" s="11" t="s">
        <v>198</v>
      </c>
      <c r="L125" s="11" t="s">
        <v>198</v>
      </c>
      <c r="M125" s="11" t="s">
        <v>198</v>
      </c>
      <c r="N125" s="96" t="s">
        <v>1763</v>
      </c>
      <c r="O125" s="11" t="s">
        <v>198</v>
      </c>
      <c r="P125" s="98" t="s">
        <v>1750</v>
      </c>
      <c r="Q125" s="98" t="s">
        <v>1399</v>
      </c>
      <c r="R125" s="98" t="s">
        <v>1400</v>
      </c>
      <c r="S125" s="96" t="s">
        <v>1401</v>
      </c>
      <c r="T125" s="98" t="s">
        <v>1402</v>
      </c>
      <c r="U125" s="11" t="s">
        <v>198</v>
      </c>
      <c r="V125" s="11" t="s">
        <v>198</v>
      </c>
      <c r="W125" s="11" t="s">
        <v>198</v>
      </c>
      <c r="X125" s="11" t="s">
        <v>198</v>
      </c>
      <c r="Y125" s="23"/>
      <c r="Z125" s="21" t="s">
        <v>254</v>
      </c>
      <c r="AA125" s="91" t="s">
        <v>1823</v>
      </c>
      <c r="AB125" s="22"/>
      <c r="AC125" s="20" t="s">
        <v>1558</v>
      </c>
      <c r="AD125" s="20" t="s">
        <v>1567</v>
      </c>
      <c r="AE125" s="22"/>
      <c r="AF125" s="22"/>
    </row>
    <row r="126" spans="2:32" x14ac:dyDescent="0.2">
      <c r="B126" s="9" t="s">
        <v>157</v>
      </c>
      <c r="C126" s="9" t="s">
        <v>527</v>
      </c>
      <c r="D126" s="9" t="s">
        <v>157</v>
      </c>
      <c r="E126" s="96" t="s">
        <v>1045</v>
      </c>
      <c r="F126" s="96" t="s">
        <v>1223</v>
      </c>
      <c r="G126" s="96" t="s">
        <v>1206</v>
      </c>
      <c r="H126" s="11" t="s">
        <v>198</v>
      </c>
      <c r="I126" s="11" t="s">
        <v>198</v>
      </c>
      <c r="J126" s="11" t="s">
        <v>198</v>
      </c>
      <c r="K126" s="11" t="s">
        <v>198</v>
      </c>
      <c r="L126" s="11" t="s">
        <v>198</v>
      </c>
      <c r="M126" s="11" t="s">
        <v>198</v>
      </c>
      <c r="N126" s="96" t="s">
        <v>1762</v>
      </c>
      <c r="O126" s="11" t="s">
        <v>198</v>
      </c>
      <c r="P126" s="98" t="s">
        <v>1749</v>
      </c>
      <c r="Q126" s="98" t="s">
        <v>1403</v>
      </c>
      <c r="R126" s="98" t="s">
        <v>1404</v>
      </c>
      <c r="S126" s="96" t="s">
        <v>1405</v>
      </c>
      <c r="T126" s="11" t="s">
        <v>198</v>
      </c>
      <c r="U126" s="11" t="s">
        <v>198</v>
      </c>
      <c r="V126" s="11" t="s">
        <v>198</v>
      </c>
      <c r="W126" s="11" t="s">
        <v>198</v>
      </c>
      <c r="X126" s="11" t="s">
        <v>198</v>
      </c>
      <c r="Y126" s="23"/>
      <c r="Z126" s="21" t="s">
        <v>254</v>
      </c>
      <c r="AA126" s="91" t="s">
        <v>1823</v>
      </c>
      <c r="AB126" s="22"/>
      <c r="AC126" s="20" t="s">
        <v>1558</v>
      </c>
      <c r="AD126" s="20" t="s">
        <v>1567</v>
      </c>
      <c r="AE126" s="22"/>
      <c r="AF126" s="22"/>
    </row>
    <row r="127" spans="2:32" x14ac:dyDescent="0.2">
      <c r="B127" s="9" t="s">
        <v>158</v>
      </c>
      <c r="C127" s="9" t="s">
        <v>525</v>
      </c>
      <c r="D127" s="9" t="s">
        <v>158</v>
      </c>
      <c r="E127" s="96" t="s">
        <v>1057</v>
      </c>
      <c r="F127" s="96" t="s">
        <v>1039</v>
      </c>
      <c r="G127" s="96" t="s">
        <v>1218</v>
      </c>
      <c r="H127" s="11" t="s">
        <v>198</v>
      </c>
      <c r="I127" s="11" t="s">
        <v>198</v>
      </c>
      <c r="J127" s="11" t="s">
        <v>198</v>
      </c>
      <c r="K127" s="11" t="s">
        <v>198</v>
      </c>
      <c r="L127" s="11" t="s">
        <v>198</v>
      </c>
      <c r="M127" s="11" t="s">
        <v>198</v>
      </c>
      <c r="N127" s="96" t="s">
        <v>1761</v>
      </c>
      <c r="O127" s="11" t="s">
        <v>198</v>
      </c>
      <c r="P127" s="98" t="s">
        <v>1748</v>
      </c>
      <c r="Q127" s="98" t="s">
        <v>1406</v>
      </c>
      <c r="R127" s="98" t="s">
        <v>1407</v>
      </c>
      <c r="S127" s="98" t="s">
        <v>1408</v>
      </c>
      <c r="T127" s="11" t="s">
        <v>198</v>
      </c>
      <c r="U127" s="11" t="s">
        <v>198</v>
      </c>
      <c r="V127" s="11" t="s">
        <v>198</v>
      </c>
      <c r="W127" s="11" t="s">
        <v>198</v>
      </c>
      <c r="X127" s="11" t="s">
        <v>198</v>
      </c>
      <c r="Y127" s="23"/>
      <c r="Z127" s="21" t="s">
        <v>254</v>
      </c>
      <c r="AA127" s="91" t="s">
        <v>1823</v>
      </c>
      <c r="AB127" s="22"/>
      <c r="AC127" s="20" t="s">
        <v>1558</v>
      </c>
      <c r="AD127" s="20" t="s">
        <v>1567</v>
      </c>
      <c r="AE127" s="22"/>
      <c r="AF127" s="22"/>
    </row>
    <row r="128" spans="2:32" x14ac:dyDescent="0.2">
      <c r="B128" s="9" t="s">
        <v>159</v>
      </c>
      <c r="C128" s="9" t="s">
        <v>528</v>
      </c>
      <c r="D128" s="9" t="s">
        <v>159</v>
      </c>
      <c r="E128" s="96" t="s">
        <v>1068</v>
      </c>
      <c r="F128" s="96" t="s">
        <v>1052</v>
      </c>
      <c r="G128" s="96" t="s">
        <v>1046</v>
      </c>
      <c r="H128" s="11" t="s">
        <v>198</v>
      </c>
      <c r="I128" s="11" t="s">
        <v>198</v>
      </c>
      <c r="J128" s="11" t="s">
        <v>198</v>
      </c>
      <c r="K128" s="11" t="s">
        <v>198</v>
      </c>
      <c r="L128" s="11" t="s">
        <v>198</v>
      </c>
      <c r="M128" s="11" t="s">
        <v>198</v>
      </c>
      <c r="N128" s="96" t="s">
        <v>1760</v>
      </c>
      <c r="O128" s="11" t="s">
        <v>198</v>
      </c>
      <c r="P128" s="98" t="s">
        <v>1747</v>
      </c>
      <c r="Q128" s="96" t="s">
        <v>1409</v>
      </c>
      <c r="R128" s="96" t="s">
        <v>1410</v>
      </c>
      <c r="S128" s="11" t="s">
        <v>198</v>
      </c>
      <c r="T128" s="11" t="s">
        <v>198</v>
      </c>
      <c r="U128" s="11" t="s">
        <v>198</v>
      </c>
      <c r="V128" s="11" t="s">
        <v>198</v>
      </c>
      <c r="W128" s="11" t="s">
        <v>198</v>
      </c>
      <c r="X128" s="11" t="s">
        <v>198</v>
      </c>
      <c r="Y128" s="23"/>
      <c r="Z128" s="21" t="s">
        <v>254</v>
      </c>
      <c r="AA128" s="91" t="s">
        <v>1823</v>
      </c>
      <c r="AB128" s="22"/>
      <c r="AC128" s="20" t="s">
        <v>1558</v>
      </c>
      <c r="AD128" s="20" t="s">
        <v>1567</v>
      </c>
      <c r="AE128" s="22"/>
      <c r="AF128" s="22"/>
    </row>
    <row r="129" spans="2:32" x14ac:dyDescent="0.2">
      <c r="B129" s="9" t="s">
        <v>160</v>
      </c>
      <c r="C129" s="9" t="s">
        <v>526</v>
      </c>
      <c r="D129" s="9" t="s">
        <v>160</v>
      </c>
      <c r="E129" s="96" t="s">
        <v>1159</v>
      </c>
      <c r="F129" s="96" t="s">
        <v>1064</v>
      </c>
      <c r="G129" s="96" t="s">
        <v>1058</v>
      </c>
      <c r="H129" s="11" t="s">
        <v>198</v>
      </c>
      <c r="I129" s="11" t="s">
        <v>198</v>
      </c>
      <c r="J129" s="11" t="s">
        <v>198</v>
      </c>
      <c r="K129" s="11" t="s">
        <v>198</v>
      </c>
      <c r="L129" s="11" t="s">
        <v>198</v>
      </c>
      <c r="M129" s="11" t="s">
        <v>198</v>
      </c>
      <c r="N129" s="96" t="s">
        <v>1759</v>
      </c>
      <c r="O129" s="11" t="s">
        <v>198</v>
      </c>
      <c r="P129" s="98" t="s">
        <v>1746</v>
      </c>
      <c r="Q129" s="96" t="s">
        <v>1411</v>
      </c>
      <c r="R129" s="96" t="s">
        <v>1412</v>
      </c>
      <c r="S129" s="11" t="s">
        <v>198</v>
      </c>
      <c r="T129" s="11" t="s">
        <v>198</v>
      </c>
      <c r="U129" s="11" t="s">
        <v>198</v>
      </c>
      <c r="V129" s="11" t="s">
        <v>198</v>
      </c>
      <c r="W129" s="11" t="s">
        <v>198</v>
      </c>
      <c r="X129" s="11" t="s">
        <v>198</v>
      </c>
      <c r="Y129" s="23"/>
      <c r="Z129" s="21" t="s">
        <v>254</v>
      </c>
      <c r="AA129" s="91" t="s">
        <v>1823</v>
      </c>
      <c r="AB129" s="22"/>
      <c r="AC129" s="20" t="s">
        <v>1558</v>
      </c>
      <c r="AD129" s="20" t="s">
        <v>1567</v>
      </c>
      <c r="AE129" s="22"/>
      <c r="AF129" s="22"/>
    </row>
    <row r="130" spans="2:32" x14ac:dyDescent="0.2">
      <c r="B130" s="9" t="s">
        <v>161</v>
      </c>
      <c r="C130" s="9" t="s">
        <v>532</v>
      </c>
      <c r="D130" s="9" t="s">
        <v>161</v>
      </c>
      <c r="E130" s="96" t="s">
        <v>1073</v>
      </c>
      <c r="F130" s="96" t="s">
        <v>1164</v>
      </c>
      <c r="G130" s="96" t="s">
        <v>1069</v>
      </c>
      <c r="H130" s="11" t="s">
        <v>198</v>
      </c>
      <c r="I130" s="11" t="s">
        <v>198</v>
      </c>
      <c r="J130" s="11" t="s">
        <v>198</v>
      </c>
      <c r="K130" s="11" t="s">
        <v>198</v>
      </c>
      <c r="L130" s="11" t="s">
        <v>198</v>
      </c>
      <c r="M130" s="11" t="s">
        <v>198</v>
      </c>
      <c r="N130" s="96" t="s">
        <v>1758</v>
      </c>
      <c r="O130" s="11" t="s">
        <v>198</v>
      </c>
      <c r="P130" s="98" t="s">
        <v>1745</v>
      </c>
      <c r="Q130" s="96" t="s">
        <v>1413</v>
      </c>
      <c r="R130" s="96" t="s">
        <v>1414</v>
      </c>
      <c r="S130" s="96" t="s">
        <v>1415</v>
      </c>
      <c r="T130" s="96" t="s">
        <v>1416</v>
      </c>
      <c r="U130" s="11" t="s">
        <v>198</v>
      </c>
      <c r="V130" s="11" t="s">
        <v>198</v>
      </c>
      <c r="W130" s="11" t="s">
        <v>198</v>
      </c>
      <c r="X130" s="11" t="s">
        <v>198</v>
      </c>
      <c r="Y130" s="23"/>
      <c r="Z130" s="21" t="s">
        <v>254</v>
      </c>
      <c r="AA130" s="91" t="s">
        <v>1823</v>
      </c>
      <c r="AB130" s="22"/>
      <c r="AC130" s="20" t="s">
        <v>1558</v>
      </c>
      <c r="AD130" s="20" t="s">
        <v>1567</v>
      </c>
      <c r="AE130" s="22"/>
      <c r="AF130" s="22"/>
    </row>
    <row r="131" spans="2:32" x14ac:dyDescent="0.2">
      <c r="B131" s="9" t="s">
        <v>162</v>
      </c>
      <c r="C131" s="9" t="s">
        <v>530</v>
      </c>
      <c r="D131" s="9" t="s">
        <v>162</v>
      </c>
      <c r="E131" s="96" t="s">
        <v>1080</v>
      </c>
      <c r="F131" s="96" t="s">
        <v>1166</v>
      </c>
      <c r="G131" s="96" t="s">
        <v>1167</v>
      </c>
      <c r="H131" s="11" t="s">
        <v>198</v>
      </c>
      <c r="I131" s="11" t="s">
        <v>198</v>
      </c>
      <c r="J131" s="11" t="s">
        <v>198</v>
      </c>
      <c r="K131" s="11" t="s">
        <v>198</v>
      </c>
      <c r="L131" s="11" t="s">
        <v>198</v>
      </c>
      <c r="M131" s="11" t="s">
        <v>198</v>
      </c>
      <c r="N131" s="96" t="s">
        <v>1757</v>
      </c>
      <c r="O131" s="11" t="s">
        <v>198</v>
      </c>
      <c r="P131" s="98" t="s">
        <v>1744</v>
      </c>
      <c r="Q131" s="96" t="s">
        <v>1417</v>
      </c>
      <c r="R131" s="96" t="s">
        <v>1418</v>
      </c>
      <c r="S131" s="96" t="s">
        <v>1419</v>
      </c>
      <c r="T131" s="96" t="s">
        <v>1429</v>
      </c>
      <c r="U131" s="11" t="s">
        <v>198</v>
      </c>
      <c r="V131" s="11" t="s">
        <v>198</v>
      </c>
      <c r="W131" s="11" t="s">
        <v>198</v>
      </c>
      <c r="X131" s="11" t="s">
        <v>198</v>
      </c>
      <c r="Y131" s="23"/>
      <c r="Z131" s="21" t="s">
        <v>254</v>
      </c>
      <c r="AA131" s="91" t="s">
        <v>1823</v>
      </c>
      <c r="AB131" s="22"/>
      <c r="AC131" s="20" t="s">
        <v>1558</v>
      </c>
      <c r="AD131" s="20" t="s">
        <v>1567</v>
      </c>
      <c r="AE131" s="22"/>
      <c r="AF131" s="22"/>
    </row>
    <row r="132" spans="2:32" x14ac:dyDescent="0.2">
      <c r="B132" s="9" t="s">
        <v>164</v>
      </c>
      <c r="C132" s="9" t="s">
        <v>531</v>
      </c>
      <c r="D132" s="9" t="s">
        <v>164</v>
      </c>
      <c r="E132" s="96" t="s">
        <v>1084</v>
      </c>
      <c r="F132" s="96" t="s">
        <v>1077</v>
      </c>
      <c r="G132" s="96" t="s">
        <v>1074</v>
      </c>
      <c r="H132" s="11" t="s">
        <v>198</v>
      </c>
      <c r="I132" s="11" t="s">
        <v>198</v>
      </c>
      <c r="J132" s="11" t="s">
        <v>198</v>
      </c>
      <c r="K132" s="11" t="s">
        <v>198</v>
      </c>
      <c r="L132" s="11" t="s">
        <v>198</v>
      </c>
      <c r="M132" s="11" t="s">
        <v>198</v>
      </c>
      <c r="N132" s="96" t="s">
        <v>1756</v>
      </c>
      <c r="O132" s="11" t="s">
        <v>198</v>
      </c>
      <c r="P132" s="98" t="s">
        <v>1743</v>
      </c>
      <c r="Q132" s="96" t="s">
        <v>1420</v>
      </c>
      <c r="R132" s="96" t="s">
        <v>1421</v>
      </c>
      <c r="S132" s="96" t="s">
        <v>1422</v>
      </c>
      <c r="T132" s="11" t="s">
        <v>198</v>
      </c>
      <c r="U132" s="11" t="s">
        <v>198</v>
      </c>
      <c r="V132" s="11" t="s">
        <v>198</v>
      </c>
      <c r="W132" s="11" t="s">
        <v>198</v>
      </c>
      <c r="X132" s="11" t="s">
        <v>198</v>
      </c>
      <c r="Y132" s="23"/>
      <c r="Z132" s="21" t="s">
        <v>198</v>
      </c>
      <c r="AA132" s="91" t="s">
        <v>1823</v>
      </c>
      <c r="AB132" s="22"/>
      <c r="AC132" s="20" t="s">
        <v>1558</v>
      </c>
      <c r="AD132" s="20" t="s">
        <v>1567</v>
      </c>
      <c r="AE132" s="22"/>
      <c r="AF132" s="22"/>
    </row>
    <row r="133" spans="2:32" x14ac:dyDescent="0.2">
      <c r="B133" s="9" t="s">
        <v>954</v>
      </c>
      <c r="C133" s="9" t="s">
        <v>529</v>
      </c>
      <c r="D133" s="9" t="s">
        <v>954</v>
      </c>
      <c r="E133" s="96" t="s">
        <v>1087</v>
      </c>
      <c r="F133" s="96" t="s">
        <v>1083</v>
      </c>
      <c r="G133" s="96" t="s">
        <v>1081</v>
      </c>
      <c r="H133" s="11" t="s">
        <v>198</v>
      </c>
      <c r="I133" s="11" t="s">
        <v>198</v>
      </c>
      <c r="J133" s="11" t="s">
        <v>198</v>
      </c>
      <c r="K133" s="11" t="s">
        <v>198</v>
      </c>
      <c r="L133" s="11" t="s">
        <v>198</v>
      </c>
      <c r="M133" s="11" t="s">
        <v>198</v>
      </c>
      <c r="N133" s="96" t="s">
        <v>1755</v>
      </c>
      <c r="O133" s="11" t="s">
        <v>198</v>
      </c>
      <c r="P133" s="98" t="s">
        <v>1742</v>
      </c>
      <c r="Q133" s="96" t="s">
        <v>1423</v>
      </c>
      <c r="R133" s="96" t="s">
        <v>1424</v>
      </c>
      <c r="S133" s="96" t="s">
        <v>1425</v>
      </c>
      <c r="T133" s="11" t="s">
        <v>198</v>
      </c>
      <c r="U133" s="11" t="s">
        <v>198</v>
      </c>
      <c r="V133" s="11" t="s">
        <v>198</v>
      </c>
      <c r="W133" s="11" t="s">
        <v>198</v>
      </c>
      <c r="X133" s="11" t="s">
        <v>198</v>
      </c>
      <c r="Y133" s="23"/>
      <c r="Z133" s="21" t="s">
        <v>198</v>
      </c>
      <c r="AA133" s="91" t="s">
        <v>1823</v>
      </c>
      <c r="AB133" s="22"/>
      <c r="AC133" s="20" t="s">
        <v>1558</v>
      </c>
      <c r="AD133" s="20" t="s">
        <v>1567</v>
      </c>
      <c r="AE133" s="22"/>
      <c r="AF133" s="22"/>
    </row>
    <row r="134" spans="2:32" x14ac:dyDescent="0.2">
      <c r="B134" s="9" t="s">
        <v>955</v>
      </c>
      <c r="C134" s="9" t="s">
        <v>534</v>
      </c>
      <c r="D134" s="9" t="s">
        <v>955</v>
      </c>
      <c r="E134" s="96" t="s">
        <v>1094</v>
      </c>
      <c r="F134" s="96" t="s">
        <v>1086</v>
      </c>
      <c r="G134" s="96" t="s">
        <v>1085</v>
      </c>
      <c r="H134" s="11" t="s">
        <v>198</v>
      </c>
      <c r="I134" s="11" t="s">
        <v>198</v>
      </c>
      <c r="J134" s="11" t="s">
        <v>198</v>
      </c>
      <c r="K134" s="11" t="s">
        <v>198</v>
      </c>
      <c r="L134" s="11" t="s">
        <v>198</v>
      </c>
      <c r="M134" s="11" t="s">
        <v>198</v>
      </c>
      <c r="N134" s="96" t="s">
        <v>1754</v>
      </c>
      <c r="O134" s="11" t="s">
        <v>198</v>
      </c>
      <c r="P134" s="11" t="s">
        <v>198</v>
      </c>
      <c r="Q134" s="96" t="s">
        <v>1426</v>
      </c>
      <c r="R134" s="96" t="s">
        <v>1427</v>
      </c>
      <c r="S134" s="11" t="s">
        <v>198</v>
      </c>
      <c r="T134" s="11" t="s">
        <v>198</v>
      </c>
      <c r="U134" s="11" t="s">
        <v>198</v>
      </c>
      <c r="V134" s="11" t="s">
        <v>198</v>
      </c>
      <c r="W134" s="11" t="s">
        <v>198</v>
      </c>
      <c r="X134" s="11" t="s">
        <v>198</v>
      </c>
      <c r="Y134" s="23"/>
      <c r="Z134" s="21" t="s">
        <v>198</v>
      </c>
      <c r="AA134" s="91" t="s">
        <v>1823</v>
      </c>
      <c r="AB134" s="22"/>
      <c r="AC134" s="20" t="s">
        <v>1558</v>
      </c>
      <c r="AD134" s="20" t="s">
        <v>1567</v>
      </c>
      <c r="AE134" s="22"/>
      <c r="AF134" s="22"/>
    </row>
    <row r="135" spans="2:32" x14ac:dyDescent="0.2">
      <c r="B135" s="9" t="s">
        <v>956</v>
      </c>
      <c r="C135" s="9" t="s">
        <v>533</v>
      </c>
      <c r="D135" s="9" t="s">
        <v>956</v>
      </c>
      <c r="E135" s="96" t="s">
        <v>1103</v>
      </c>
      <c r="F135" s="96" t="s">
        <v>1092</v>
      </c>
      <c r="G135" s="96" t="s">
        <v>1088</v>
      </c>
      <c r="H135" s="11" t="s">
        <v>198</v>
      </c>
      <c r="I135" s="11" t="s">
        <v>198</v>
      </c>
      <c r="J135" s="11" t="s">
        <v>198</v>
      </c>
      <c r="K135" s="11" t="s">
        <v>198</v>
      </c>
      <c r="L135" s="11" t="s">
        <v>198</v>
      </c>
      <c r="M135" s="11" t="s">
        <v>198</v>
      </c>
      <c r="N135" s="11" t="s">
        <v>198</v>
      </c>
      <c r="O135" s="11" t="s">
        <v>198</v>
      </c>
      <c r="P135" s="98" t="s">
        <v>1740</v>
      </c>
      <c r="Q135" s="96" t="s">
        <v>1428</v>
      </c>
      <c r="R135" s="11" t="s">
        <v>198</v>
      </c>
      <c r="S135" s="11" t="s">
        <v>198</v>
      </c>
      <c r="T135" s="96" t="s">
        <v>34</v>
      </c>
      <c r="U135" s="11" t="s">
        <v>198</v>
      </c>
      <c r="V135" s="11" t="s">
        <v>198</v>
      </c>
      <c r="W135" s="11" t="s">
        <v>198</v>
      </c>
      <c r="X135" s="11" t="s">
        <v>198</v>
      </c>
      <c r="Y135" s="23"/>
      <c r="Z135" s="21" t="s">
        <v>198</v>
      </c>
      <c r="AA135" s="91"/>
      <c r="AB135" s="22"/>
      <c r="AC135" s="20" t="s">
        <v>1558</v>
      </c>
      <c r="AD135" s="20" t="s">
        <v>1567</v>
      </c>
      <c r="AE135" s="22"/>
      <c r="AF135" s="22"/>
    </row>
    <row r="136" spans="2:32" x14ac:dyDescent="0.2">
      <c r="B136" s="9" t="s">
        <v>165</v>
      </c>
      <c r="C136" s="9" t="s">
        <v>582</v>
      </c>
      <c r="D136" s="9" t="s">
        <v>165</v>
      </c>
      <c r="E136" s="96" t="s">
        <v>1112</v>
      </c>
      <c r="F136" s="96" t="s">
        <v>1099</v>
      </c>
      <c r="G136" s="96" t="s">
        <v>1095</v>
      </c>
      <c r="H136" s="11" t="s">
        <v>198</v>
      </c>
      <c r="I136" s="11" t="s">
        <v>198</v>
      </c>
      <c r="J136" s="11" t="s">
        <v>198</v>
      </c>
      <c r="K136" s="11" t="s">
        <v>198</v>
      </c>
      <c r="L136" s="11" t="s">
        <v>198</v>
      </c>
      <c r="M136" s="11" t="s">
        <v>198</v>
      </c>
      <c r="N136" s="96" t="s">
        <v>1767</v>
      </c>
      <c r="O136" s="11" t="s">
        <v>198</v>
      </c>
      <c r="P136" s="11" t="s">
        <v>198</v>
      </c>
      <c r="Q136" s="96" t="s">
        <v>1430</v>
      </c>
      <c r="R136" s="11" t="s">
        <v>198</v>
      </c>
      <c r="S136" s="11" t="s">
        <v>198</v>
      </c>
      <c r="T136" s="96" t="s">
        <v>37</v>
      </c>
      <c r="U136" s="11" t="s">
        <v>198</v>
      </c>
      <c r="V136" s="11" t="s">
        <v>198</v>
      </c>
      <c r="W136" s="11" t="s">
        <v>198</v>
      </c>
      <c r="X136" s="11" t="s">
        <v>198</v>
      </c>
      <c r="Y136" s="23"/>
      <c r="Z136" s="21" t="s">
        <v>198</v>
      </c>
      <c r="AA136" s="91"/>
      <c r="AB136" s="22"/>
      <c r="AC136" s="20" t="s">
        <v>1558</v>
      </c>
      <c r="AD136" s="20" t="s">
        <v>1567</v>
      </c>
      <c r="AE136" s="22"/>
      <c r="AF136" s="22"/>
    </row>
    <row r="137" spans="2:32" x14ac:dyDescent="0.2">
      <c r="B137" s="9" t="s">
        <v>166</v>
      </c>
      <c r="C137" s="9" t="s">
        <v>581</v>
      </c>
      <c r="D137" s="9" t="s">
        <v>166</v>
      </c>
      <c r="E137" s="96" t="s">
        <v>1123</v>
      </c>
      <c r="F137" s="96" t="s">
        <v>1107</v>
      </c>
      <c r="G137" s="96" t="s">
        <v>1104</v>
      </c>
      <c r="H137" s="11" t="s">
        <v>198</v>
      </c>
      <c r="I137" s="11" t="s">
        <v>198</v>
      </c>
      <c r="J137" s="11" t="s">
        <v>198</v>
      </c>
      <c r="K137" s="11" t="s">
        <v>198</v>
      </c>
      <c r="L137" s="11" t="s">
        <v>198</v>
      </c>
      <c r="M137" s="11" t="s">
        <v>198</v>
      </c>
      <c r="N137" s="11" t="s">
        <v>198</v>
      </c>
      <c r="O137" s="11" t="s">
        <v>198</v>
      </c>
      <c r="P137" s="98" t="s">
        <v>1741</v>
      </c>
      <c r="Q137" s="96" t="s">
        <v>1431</v>
      </c>
      <c r="R137" s="11" t="s">
        <v>198</v>
      </c>
      <c r="S137" s="11" t="s">
        <v>198</v>
      </c>
      <c r="T137" s="96" t="s">
        <v>40</v>
      </c>
      <c r="U137" s="11" t="s">
        <v>198</v>
      </c>
      <c r="V137" s="11" t="s">
        <v>198</v>
      </c>
      <c r="W137" s="11" t="s">
        <v>198</v>
      </c>
      <c r="X137" s="11" t="s">
        <v>198</v>
      </c>
      <c r="Y137" s="23"/>
      <c r="Z137" s="21" t="s">
        <v>198</v>
      </c>
      <c r="AA137" s="91"/>
      <c r="AB137" s="22"/>
      <c r="AC137" s="20" t="s">
        <v>1558</v>
      </c>
      <c r="AD137" s="20" t="s">
        <v>1567</v>
      </c>
      <c r="AE137" s="22"/>
      <c r="AF137" s="22"/>
    </row>
    <row r="138" spans="2:32" x14ac:dyDescent="0.2">
      <c r="B138" s="9" t="s">
        <v>167</v>
      </c>
      <c r="C138" s="9" t="s">
        <v>585</v>
      </c>
      <c r="D138" s="9" t="s">
        <v>167</v>
      </c>
      <c r="E138" s="96" t="s">
        <v>1182</v>
      </c>
      <c r="F138" s="96" t="s">
        <v>1118</v>
      </c>
      <c r="G138" s="96" t="s">
        <v>1113</v>
      </c>
      <c r="H138" s="11" t="s">
        <v>198</v>
      </c>
      <c r="I138" s="96" t="s">
        <v>1432</v>
      </c>
      <c r="J138" s="96" t="s">
        <v>1433</v>
      </c>
      <c r="K138" s="98" t="s">
        <v>1434</v>
      </c>
      <c r="L138" s="11" t="s">
        <v>198</v>
      </c>
      <c r="M138" s="11" t="s">
        <v>198</v>
      </c>
      <c r="N138" s="11" t="s">
        <v>198</v>
      </c>
      <c r="O138" s="11" t="s">
        <v>198</v>
      </c>
      <c r="P138" s="11" t="s">
        <v>198</v>
      </c>
      <c r="Q138" s="96" t="s">
        <v>1435</v>
      </c>
      <c r="R138" s="11" t="s">
        <v>198</v>
      </c>
      <c r="S138" s="11" t="s">
        <v>198</v>
      </c>
      <c r="T138" s="96" t="s">
        <v>42</v>
      </c>
      <c r="U138" s="11" t="s">
        <v>198</v>
      </c>
      <c r="V138" s="11" t="s">
        <v>198</v>
      </c>
      <c r="W138" s="11" t="s">
        <v>198</v>
      </c>
      <c r="X138" s="11" t="s">
        <v>198</v>
      </c>
      <c r="Y138" s="23"/>
      <c r="Z138" s="21" t="s">
        <v>198</v>
      </c>
      <c r="AA138" s="91" t="s">
        <v>1823</v>
      </c>
      <c r="AB138" s="22"/>
      <c r="AC138" s="20" t="s">
        <v>1558</v>
      </c>
      <c r="AD138" s="20" t="s">
        <v>1567</v>
      </c>
      <c r="AE138" s="22"/>
      <c r="AF138" s="22"/>
    </row>
    <row r="139" spans="2:32" x14ac:dyDescent="0.2">
      <c r="B139" s="9" t="s">
        <v>168</v>
      </c>
      <c r="C139" s="9" t="s">
        <v>583</v>
      </c>
      <c r="D139" s="9" t="s">
        <v>168</v>
      </c>
      <c r="E139" s="96" t="s">
        <v>1184</v>
      </c>
      <c r="F139" s="96" t="s">
        <v>1185</v>
      </c>
      <c r="G139" s="96" t="s">
        <v>1124</v>
      </c>
      <c r="H139" s="11" t="s">
        <v>198</v>
      </c>
      <c r="I139" s="96" t="s">
        <v>1436</v>
      </c>
      <c r="J139" s="96" t="s">
        <v>1437</v>
      </c>
      <c r="K139" s="98" t="s">
        <v>1439</v>
      </c>
      <c r="L139" s="11" t="s">
        <v>198</v>
      </c>
      <c r="M139" s="11" t="s">
        <v>198</v>
      </c>
      <c r="N139" s="11" t="s">
        <v>198</v>
      </c>
      <c r="O139" s="11" t="s">
        <v>198</v>
      </c>
      <c r="P139" s="11" t="s">
        <v>198</v>
      </c>
      <c r="Q139" s="96" t="s">
        <v>1438</v>
      </c>
      <c r="R139" s="11" t="s">
        <v>198</v>
      </c>
      <c r="S139" s="11" t="s">
        <v>198</v>
      </c>
      <c r="T139" s="96" t="s">
        <v>44</v>
      </c>
      <c r="U139" s="11" t="s">
        <v>198</v>
      </c>
      <c r="V139" s="11" t="s">
        <v>198</v>
      </c>
      <c r="W139" s="11" t="s">
        <v>198</v>
      </c>
      <c r="X139" s="11" t="s">
        <v>198</v>
      </c>
      <c r="Y139" s="23"/>
      <c r="Z139" s="21" t="s">
        <v>198</v>
      </c>
      <c r="AA139" s="91" t="s">
        <v>1823</v>
      </c>
      <c r="AB139" s="22"/>
      <c r="AC139" s="20" t="s">
        <v>1558</v>
      </c>
      <c r="AD139" s="20" t="s">
        <v>1567</v>
      </c>
      <c r="AE139" s="22"/>
      <c r="AF139" s="22"/>
    </row>
    <row r="140" spans="2:32" x14ac:dyDescent="0.2">
      <c r="B140" s="9" t="s">
        <v>169</v>
      </c>
      <c r="C140" s="9" t="s">
        <v>586</v>
      </c>
      <c r="D140" s="9" t="s">
        <v>169</v>
      </c>
      <c r="E140" s="96" t="s">
        <v>1298</v>
      </c>
      <c r="F140" s="96" t="s">
        <v>1168</v>
      </c>
      <c r="G140" s="96" t="s">
        <v>1169</v>
      </c>
      <c r="H140" s="11" t="s">
        <v>198</v>
      </c>
      <c r="I140" s="96" t="s">
        <v>1440</v>
      </c>
      <c r="J140" s="96" t="s">
        <v>1441</v>
      </c>
      <c r="K140" s="96" t="s">
        <v>1442</v>
      </c>
      <c r="L140" s="11" t="s">
        <v>198</v>
      </c>
      <c r="M140" s="11" t="s">
        <v>198</v>
      </c>
      <c r="N140" s="11" t="s">
        <v>198</v>
      </c>
      <c r="O140" s="11" t="s">
        <v>198</v>
      </c>
      <c r="P140" s="11" t="s">
        <v>198</v>
      </c>
      <c r="Q140" s="96" t="s">
        <v>1443</v>
      </c>
      <c r="R140" s="11" t="s">
        <v>198</v>
      </c>
      <c r="S140" s="11" t="s">
        <v>198</v>
      </c>
      <c r="T140" s="96" t="s">
        <v>46</v>
      </c>
      <c r="U140" s="11" t="s">
        <v>198</v>
      </c>
      <c r="V140" s="11" t="s">
        <v>198</v>
      </c>
      <c r="W140" s="11" t="s">
        <v>198</v>
      </c>
      <c r="X140" s="11" t="s">
        <v>198</v>
      </c>
      <c r="Y140" s="23"/>
      <c r="Z140" s="21" t="s">
        <v>198</v>
      </c>
      <c r="AA140" s="91" t="s">
        <v>1823</v>
      </c>
      <c r="AB140" s="22"/>
      <c r="AC140" s="20" t="s">
        <v>1558</v>
      </c>
      <c r="AD140" s="20" t="s">
        <v>1567</v>
      </c>
      <c r="AE140" s="22"/>
      <c r="AF140" s="22"/>
    </row>
    <row r="141" spans="2:32" x14ac:dyDescent="0.2">
      <c r="B141" s="9" t="s">
        <v>170</v>
      </c>
      <c r="C141" s="9" t="s">
        <v>584</v>
      </c>
      <c r="D141" s="9" t="s">
        <v>170</v>
      </c>
      <c r="E141" s="96" t="s">
        <v>1191</v>
      </c>
      <c r="F141" s="96" t="s">
        <v>1264</v>
      </c>
      <c r="G141" s="96" t="s">
        <v>1170</v>
      </c>
      <c r="H141" s="11" t="s">
        <v>198</v>
      </c>
      <c r="I141" s="96" t="s">
        <v>1444</v>
      </c>
      <c r="J141" s="96" t="s">
        <v>1445</v>
      </c>
      <c r="K141" s="98" t="s">
        <v>1447</v>
      </c>
      <c r="L141" s="11" t="s">
        <v>198</v>
      </c>
      <c r="M141" s="11" t="s">
        <v>198</v>
      </c>
      <c r="N141" s="11" t="s">
        <v>198</v>
      </c>
      <c r="O141" s="11" t="s">
        <v>198</v>
      </c>
      <c r="P141" s="11" t="s">
        <v>198</v>
      </c>
      <c r="Q141" s="96" t="s">
        <v>1448</v>
      </c>
      <c r="R141" s="96" t="s">
        <v>1446</v>
      </c>
      <c r="S141" s="11" t="s">
        <v>198</v>
      </c>
      <c r="T141" s="96" t="s">
        <v>48</v>
      </c>
      <c r="U141" s="11" t="s">
        <v>198</v>
      </c>
      <c r="V141" s="11" t="s">
        <v>198</v>
      </c>
      <c r="W141" s="11" t="s">
        <v>198</v>
      </c>
      <c r="X141" s="11" t="s">
        <v>198</v>
      </c>
      <c r="Y141" s="23"/>
      <c r="Z141" s="21" t="s">
        <v>198</v>
      </c>
      <c r="AA141" s="91" t="s">
        <v>1823</v>
      </c>
      <c r="AB141" s="22"/>
      <c r="AC141" s="20" t="s">
        <v>1558</v>
      </c>
      <c r="AD141" s="20" t="s">
        <v>1567</v>
      </c>
      <c r="AE141" s="22"/>
      <c r="AF141" s="22"/>
    </row>
    <row r="142" spans="2:32" x14ac:dyDescent="0.2">
      <c r="B142" s="9" t="s">
        <v>171</v>
      </c>
      <c r="C142" s="9" t="s">
        <v>590</v>
      </c>
      <c r="D142" s="9" t="s">
        <v>171</v>
      </c>
      <c r="E142" s="96" t="s">
        <v>1205</v>
      </c>
      <c r="F142" s="96" t="s">
        <v>1199</v>
      </c>
      <c r="G142" s="96" t="s">
        <v>1266</v>
      </c>
      <c r="H142" s="11" t="s">
        <v>198</v>
      </c>
      <c r="I142" s="96" t="s">
        <v>1449</v>
      </c>
      <c r="J142" s="96" t="s">
        <v>1450</v>
      </c>
      <c r="K142" s="98" t="s">
        <v>1453</v>
      </c>
      <c r="L142" s="11" t="s">
        <v>198</v>
      </c>
      <c r="M142" s="11" t="s">
        <v>198</v>
      </c>
      <c r="N142" s="11" t="s">
        <v>198</v>
      </c>
      <c r="O142" s="11" t="s">
        <v>198</v>
      </c>
      <c r="P142" s="11" t="s">
        <v>198</v>
      </c>
      <c r="Q142" s="96" t="s">
        <v>1454</v>
      </c>
      <c r="R142" s="96" t="s">
        <v>1451</v>
      </c>
      <c r="S142" s="96" t="s">
        <v>1452</v>
      </c>
      <c r="T142" s="96" t="s">
        <v>78</v>
      </c>
      <c r="U142" s="11" t="s">
        <v>198</v>
      </c>
      <c r="V142" s="11" t="s">
        <v>198</v>
      </c>
      <c r="W142" s="11" t="s">
        <v>198</v>
      </c>
      <c r="X142" s="11" t="s">
        <v>198</v>
      </c>
      <c r="Y142" s="23"/>
      <c r="Z142" s="21" t="s">
        <v>198</v>
      </c>
      <c r="AA142" s="91" t="s">
        <v>1823</v>
      </c>
      <c r="AB142" s="22"/>
      <c r="AC142" s="20" t="s">
        <v>1558</v>
      </c>
      <c r="AD142" s="20" t="s">
        <v>1567</v>
      </c>
      <c r="AE142" s="22"/>
      <c r="AF142" s="22"/>
    </row>
    <row r="143" spans="2:32" x14ac:dyDescent="0.2">
      <c r="B143" s="9" t="s">
        <v>172</v>
      </c>
      <c r="C143" s="9" t="s">
        <v>588</v>
      </c>
      <c r="D143" s="9" t="s">
        <v>172</v>
      </c>
      <c r="E143" s="96" t="s">
        <v>1217</v>
      </c>
      <c r="F143" s="96" t="s">
        <v>1212</v>
      </c>
      <c r="G143" s="96" t="s">
        <v>1193</v>
      </c>
      <c r="H143" s="11" t="s">
        <v>198</v>
      </c>
      <c r="I143" s="96" t="s">
        <v>1455</v>
      </c>
      <c r="J143" s="96" t="s">
        <v>1456</v>
      </c>
      <c r="K143" s="98" t="s">
        <v>1459</v>
      </c>
      <c r="L143" s="11" t="s">
        <v>198</v>
      </c>
      <c r="M143" s="11" t="s">
        <v>198</v>
      </c>
      <c r="N143" s="11" t="s">
        <v>198</v>
      </c>
      <c r="O143" s="11" t="s">
        <v>198</v>
      </c>
      <c r="P143" s="11" t="s">
        <v>198</v>
      </c>
      <c r="Q143" s="96" t="s">
        <v>1460</v>
      </c>
      <c r="R143" s="96" t="s">
        <v>1457</v>
      </c>
      <c r="S143" s="96" t="s">
        <v>1458</v>
      </c>
      <c r="T143" s="96" t="s">
        <v>80</v>
      </c>
      <c r="U143" s="11" t="s">
        <v>198</v>
      </c>
      <c r="V143" s="11" t="s">
        <v>198</v>
      </c>
      <c r="W143" s="11" t="s">
        <v>198</v>
      </c>
      <c r="X143" s="11" t="s">
        <v>198</v>
      </c>
      <c r="Y143" s="23"/>
      <c r="Z143" s="21" t="s">
        <v>198</v>
      </c>
      <c r="AA143" s="91" t="s">
        <v>1823</v>
      </c>
      <c r="AB143" s="22"/>
      <c r="AC143" s="20" t="s">
        <v>1558</v>
      </c>
      <c r="AD143" s="20" t="s">
        <v>1567</v>
      </c>
      <c r="AE143" s="22"/>
      <c r="AF143" s="22"/>
    </row>
    <row r="144" spans="2:32" x14ac:dyDescent="0.2">
      <c r="B144" s="9" t="s">
        <v>173</v>
      </c>
      <c r="C144" s="9" t="s">
        <v>589</v>
      </c>
      <c r="D144" s="9" t="s">
        <v>173</v>
      </c>
      <c r="E144" s="96" t="s">
        <v>1045</v>
      </c>
      <c r="F144" s="96" t="s">
        <v>1223</v>
      </c>
      <c r="G144" s="96" t="s">
        <v>1206</v>
      </c>
      <c r="H144" s="11" t="s">
        <v>198</v>
      </c>
      <c r="I144" s="96" t="s">
        <v>1461</v>
      </c>
      <c r="J144" s="98" t="s">
        <v>1462</v>
      </c>
      <c r="K144" s="98" t="s">
        <v>1463</v>
      </c>
      <c r="L144" s="11" t="s">
        <v>198</v>
      </c>
      <c r="M144" s="11" t="s">
        <v>198</v>
      </c>
      <c r="N144" s="11" t="s">
        <v>198</v>
      </c>
      <c r="O144" s="11" t="s">
        <v>198</v>
      </c>
      <c r="P144" s="11" t="s">
        <v>198</v>
      </c>
      <c r="Q144" s="96" t="s">
        <v>1464</v>
      </c>
      <c r="R144" s="96" t="s">
        <v>1465</v>
      </c>
      <c r="S144" s="96" t="s">
        <v>1466</v>
      </c>
      <c r="T144" s="96" t="s">
        <v>1467</v>
      </c>
      <c r="U144" s="11" t="s">
        <v>198</v>
      </c>
      <c r="V144" s="11" t="s">
        <v>198</v>
      </c>
      <c r="W144" s="11" t="s">
        <v>198</v>
      </c>
      <c r="X144" s="11" t="s">
        <v>198</v>
      </c>
      <c r="Y144" s="23"/>
      <c r="Z144" s="21" t="s">
        <v>198</v>
      </c>
      <c r="AA144" s="91" t="s">
        <v>1823</v>
      </c>
      <c r="AB144" s="22"/>
      <c r="AC144" s="20" t="s">
        <v>1558</v>
      </c>
      <c r="AD144" s="20" t="s">
        <v>1567</v>
      </c>
      <c r="AE144" s="22"/>
      <c r="AF144" s="22"/>
    </row>
    <row r="145" spans="2:32" x14ac:dyDescent="0.2">
      <c r="B145" s="12" t="s">
        <v>174</v>
      </c>
      <c r="C145" s="9" t="s">
        <v>587</v>
      </c>
      <c r="D145" s="12" t="s">
        <v>174</v>
      </c>
      <c r="E145" s="100" t="s">
        <v>1057</v>
      </c>
      <c r="F145" s="100" t="s">
        <v>1039</v>
      </c>
      <c r="G145" s="100" t="s">
        <v>1218</v>
      </c>
      <c r="H145" s="11" t="s">
        <v>198</v>
      </c>
      <c r="I145" s="100" t="s">
        <v>1468</v>
      </c>
      <c r="J145" s="98" t="s">
        <v>1469</v>
      </c>
      <c r="K145" s="98" t="s">
        <v>1470</v>
      </c>
      <c r="L145" s="11" t="s">
        <v>198</v>
      </c>
      <c r="M145" s="11" t="s">
        <v>198</v>
      </c>
      <c r="N145" s="11" t="s">
        <v>198</v>
      </c>
      <c r="O145" s="11" t="s">
        <v>198</v>
      </c>
      <c r="P145" s="11" t="s">
        <v>198</v>
      </c>
      <c r="Q145" s="96" t="s">
        <v>1545</v>
      </c>
      <c r="R145" s="96" t="s">
        <v>1471</v>
      </c>
      <c r="S145" s="96" t="s">
        <v>1472</v>
      </c>
      <c r="T145" s="96" t="s">
        <v>1473</v>
      </c>
      <c r="U145" s="11" t="s">
        <v>198</v>
      </c>
      <c r="V145" s="11" t="s">
        <v>198</v>
      </c>
      <c r="W145" s="11" t="s">
        <v>198</v>
      </c>
      <c r="X145" s="11" t="s">
        <v>198</v>
      </c>
      <c r="Y145" s="23"/>
      <c r="Z145" s="21" t="s">
        <v>198</v>
      </c>
      <c r="AA145" s="91" t="s">
        <v>1823</v>
      </c>
      <c r="AB145" s="22"/>
      <c r="AC145" s="20" t="s">
        <v>1558</v>
      </c>
      <c r="AD145" s="20" t="s">
        <v>1567</v>
      </c>
      <c r="AE145" s="22"/>
      <c r="AF145" s="22"/>
    </row>
    <row r="146" spans="2:32" x14ac:dyDescent="0.2">
      <c r="B146" s="9" t="s">
        <v>175</v>
      </c>
      <c r="C146" s="9" t="s">
        <v>592</v>
      </c>
      <c r="D146" s="9" t="s">
        <v>175</v>
      </c>
      <c r="E146" s="96" t="s">
        <v>1068</v>
      </c>
      <c r="F146" s="96" t="s">
        <v>1052</v>
      </c>
      <c r="G146" s="96" t="s">
        <v>1046</v>
      </c>
      <c r="H146" s="11" t="s">
        <v>198</v>
      </c>
      <c r="I146" s="11" t="s">
        <v>198</v>
      </c>
      <c r="J146" s="11" t="s">
        <v>198</v>
      </c>
      <c r="K146" s="11" t="s">
        <v>198</v>
      </c>
      <c r="L146" s="11" t="s">
        <v>198</v>
      </c>
      <c r="M146" s="11" t="s">
        <v>198</v>
      </c>
      <c r="N146" s="11" t="s">
        <v>198</v>
      </c>
      <c r="O146" s="11" t="s">
        <v>198</v>
      </c>
      <c r="P146" s="11" t="s">
        <v>198</v>
      </c>
      <c r="Q146" s="96" t="s">
        <v>1738</v>
      </c>
      <c r="R146" s="96" t="s">
        <v>130</v>
      </c>
      <c r="S146" s="11" t="s">
        <v>198</v>
      </c>
      <c r="T146" s="11" t="s">
        <v>198</v>
      </c>
      <c r="U146" s="11" t="s">
        <v>198</v>
      </c>
      <c r="V146" s="11" t="s">
        <v>198</v>
      </c>
      <c r="W146" s="11" t="s">
        <v>198</v>
      </c>
      <c r="X146" s="11" t="s">
        <v>198</v>
      </c>
      <c r="Y146" s="23"/>
      <c r="Z146" s="21" t="s">
        <v>198</v>
      </c>
      <c r="AA146" s="91" t="s">
        <v>1823</v>
      </c>
      <c r="AB146" s="22"/>
      <c r="AC146" s="20" t="s">
        <v>1558</v>
      </c>
      <c r="AD146" s="20" t="s">
        <v>1567</v>
      </c>
      <c r="AE146" s="22"/>
      <c r="AF146" s="22"/>
    </row>
    <row r="147" spans="2:32" x14ac:dyDescent="0.2">
      <c r="B147" s="9" t="s">
        <v>177</v>
      </c>
      <c r="C147" s="9" t="s">
        <v>591</v>
      </c>
      <c r="D147" s="9" t="s">
        <v>177</v>
      </c>
      <c r="E147" s="96" t="s">
        <v>1159</v>
      </c>
      <c r="F147" s="96" t="s">
        <v>1064</v>
      </c>
      <c r="G147" s="96" t="s">
        <v>1058</v>
      </c>
      <c r="H147" s="11" t="s">
        <v>198</v>
      </c>
      <c r="I147" s="11" t="s">
        <v>198</v>
      </c>
      <c r="J147" s="11" t="s">
        <v>198</v>
      </c>
      <c r="K147" s="11" t="s">
        <v>198</v>
      </c>
      <c r="L147" s="11" t="s">
        <v>198</v>
      </c>
      <c r="M147" s="11" t="s">
        <v>198</v>
      </c>
      <c r="N147" s="11" t="s">
        <v>198</v>
      </c>
      <c r="O147" s="11" t="s">
        <v>198</v>
      </c>
      <c r="P147" s="11" t="s">
        <v>198</v>
      </c>
      <c r="Q147" s="96" t="s">
        <v>1546</v>
      </c>
      <c r="R147" s="96" t="s">
        <v>132</v>
      </c>
      <c r="S147" s="11" t="s">
        <v>198</v>
      </c>
      <c r="T147" s="11" t="s">
        <v>198</v>
      </c>
      <c r="U147" s="11" t="s">
        <v>198</v>
      </c>
      <c r="V147" s="11" t="s">
        <v>198</v>
      </c>
      <c r="W147" s="11" t="s">
        <v>198</v>
      </c>
      <c r="X147" s="11" t="s">
        <v>198</v>
      </c>
      <c r="Y147" s="23"/>
      <c r="Z147" s="21" t="s">
        <v>198</v>
      </c>
      <c r="AA147" s="91" t="s">
        <v>1823</v>
      </c>
      <c r="AB147" s="22"/>
      <c r="AC147" s="20" t="s">
        <v>1558</v>
      </c>
      <c r="AD147" s="20" t="s">
        <v>1567</v>
      </c>
      <c r="AE147" s="22"/>
      <c r="AF147" s="22"/>
    </row>
    <row r="148" spans="2:32" x14ac:dyDescent="0.2">
      <c r="B148" s="9" t="s">
        <v>178</v>
      </c>
      <c r="C148" s="9" t="s">
        <v>469</v>
      </c>
      <c r="D148" s="9" t="s">
        <v>178</v>
      </c>
      <c r="E148" s="11" t="s">
        <v>198</v>
      </c>
      <c r="F148" s="11" t="s">
        <v>198</v>
      </c>
      <c r="G148" s="11" t="s">
        <v>198</v>
      </c>
      <c r="H148" s="11" t="s">
        <v>198</v>
      </c>
      <c r="I148" s="11" t="s">
        <v>198</v>
      </c>
      <c r="J148" s="11" t="s">
        <v>198</v>
      </c>
      <c r="K148" s="11" t="s">
        <v>198</v>
      </c>
      <c r="L148" s="11" t="s">
        <v>198</v>
      </c>
      <c r="M148" s="11" t="s">
        <v>198</v>
      </c>
      <c r="N148" s="11" t="s">
        <v>198</v>
      </c>
      <c r="O148" s="11" t="s">
        <v>198</v>
      </c>
      <c r="P148" s="11" t="s">
        <v>198</v>
      </c>
      <c r="Q148" s="11" t="s">
        <v>198</v>
      </c>
      <c r="R148" s="11" t="s">
        <v>198</v>
      </c>
      <c r="S148" s="11" t="s">
        <v>198</v>
      </c>
      <c r="T148" s="96" t="s">
        <v>1638</v>
      </c>
      <c r="U148" s="11" t="s">
        <v>198</v>
      </c>
      <c r="V148" s="11" t="s">
        <v>198</v>
      </c>
      <c r="W148" s="11" t="s">
        <v>198</v>
      </c>
      <c r="X148" s="11" t="s">
        <v>198</v>
      </c>
      <c r="Y148" s="23"/>
      <c r="Z148" s="21" t="s">
        <v>198</v>
      </c>
      <c r="AA148" s="91"/>
      <c r="AB148" s="22"/>
      <c r="AC148" s="20" t="s">
        <v>1559</v>
      </c>
      <c r="AD148" s="20" t="s">
        <v>1568</v>
      </c>
      <c r="AE148" s="22"/>
      <c r="AF148" s="22"/>
    </row>
    <row r="149" spans="2:32" x14ac:dyDescent="0.2">
      <c r="B149" s="9" t="s">
        <v>179</v>
      </c>
      <c r="C149" s="9" t="s">
        <v>470</v>
      </c>
      <c r="D149" s="9" t="s">
        <v>179</v>
      </c>
      <c r="E149" s="11" t="s">
        <v>198</v>
      </c>
      <c r="F149" s="11" t="s">
        <v>198</v>
      </c>
      <c r="G149" s="11" t="s">
        <v>198</v>
      </c>
      <c r="H149" s="11" t="s">
        <v>198</v>
      </c>
      <c r="I149" s="11" t="s">
        <v>198</v>
      </c>
      <c r="J149" s="11" t="s">
        <v>198</v>
      </c>
      <c r="K149" s="11" t="s">
        <v>198</v>
      </c>
      <c r="L149" s="11" t="s">
        <v>198</v>
      </c>
      <c r="M149" s="11" t="s">
        <v>198</v>
      </c>
      <c r="N149" s="11" t="s">
        <v>198</v>
      </c>
      <c r="O149" s="11" t="s">
        <v>198</v>
      </c>
      <c r="P149" s="11" t="s">
        <v>198</v>
      </c>
      <c r="Q149" s="11" t="s">
        <v>198</v>
      </c>
      <c r="R149" s="11" t="s">
        <v>198</v>
      </c>
      <c r="S149" s="11" t="s">
        <v>198</v>
      </c>
      <c r="T149" s="96" t="s">
        <v>1639</v>
      </c>
      <c r="U149" s="11" t="s">
        <v>198</v>
      </c>
      <c r="V149" s="11" t="s">
        <v>198</v>
      </c>
      <c r="W149" s="11" t="s">
        <v>198</v>
      </c>
      <c r="X149" s="11" t="s">
        <v>198</v>
      </c>
      <c r="Y149" s="23"/>
      <c r="Z149" s="21" t="s">
        <v>198</v>
      </c>
      <c r="AA149" s="91"/>
      <c r="AB149" s="22"/>
      <c r="AC149" s="20" t="s">
        <v>1559</v>
      </c>
      <c r="AD149" s="20" t="s">
        <v>1568</v>
      </c>
      <c r="AE149" s="22"/>
      <c r="AF149" s="22"/>
    </row>
    <row r="150" spans="2:32" x14ac:dyDescent="0.2">
      <c r="B150" s="9" t="s">
        <v>180</v>
      </c>
      <c r="C150" s="9" t="s">
        <v>471</v>
      </c>
      <c r="D150" s="9" t="s">
        <v>180</v>
      </c>
      <c r="E150" s="11" t="s">
        <v>198</v>
      </c>
      <c r="F150" s="11" t="s">
        <v>198</v>
      </c>
      <c r="G150" s="11" t="s">
        <v>198</v>
      </c>
      <c r="H150" s="11" t="s">
        <v>198</v>
      </c>
      <c r="I150" s="11" t="s">
        <v>198</v>
      </c>
      <c r="J150" s="11" t="s">
        <v>198</v>
      </c>
      <c r="K150" s="11" t="s">
        <v>198</v>
      </c>
      <c r="L150" s="11" t="s">
        <v>198</v>
      </c>
      <c r="M150" s="11" t="s">
        <v>198</v>
      </c>
      <c r="N150" s="11" t="s">
        <v>198</v>
      </c>
      <c r="O150" s="11" t="s">
        <v>198</v>
      </c>
      <c r="P150" s="11" t="s">
        <v>198</v>
      </c>
      <c r="Q150" s="11" t="s">
        <v>198</v>
      </c>
      <c r="R150" s="11" t="s">
        <v>198</v>
      </c>
      <c r="S150" s="11" t="s">
        <v>198</v>
      </c>
      <c r="T150" s="96" t="s">
        <v>1640</v>
      </c>
      <c r="U150" s="11" t="s">
        <v>198</v>
      </c>
      <c r="V150" s="11" t="s">
        <v>198</v>
      </c>
      <c r="W150" s="11" t="s">
        <v>198</v>
      </c>
      <c r="X150" s="11" t="s">
        <v>198</v>
      </c>
      <c r="Y150" s="23"/>
      <c r="Z150" s="21" t="s">
        <v>198</v>
      </c>
      <c r="AA150" s="91"/>
      <c r="AB150" s="22"/>
      <c r="AC150" s="20" t="s">
        <v>1559</v>
      </c>
      <c r="AD150" s="20" t="s">
        <v>1568</v>
      </c>
      <c r="AE150" s="22"/>
      <c r="AF150" s="22"/>
    </row>
    <row r="151" spans="2:32" x14ac:dyDescent="0.2">
      <c r="B151" s="9" t="s">
        <v>181</v>
      </c>
      <c r="C151" s="9" t="s">
        <v>613</v>
      </c>
      <c r="D151" s="9" t="s">
        <v>181</v>
      </c>
      <c r="E151" s="11" t="s">
        <v>198</v>
      </c>
      <c r="F151" s="11" t="s">
        <v>198</v>
      </c>
      <c r="G151" s="11" t="s">
        <v>198</v>
      </c>
      <c r="H151" s="11" t="s">
        <v>198</v>
      </c>
      <c r="I151" s="11" t="s">
        <v>198</v>
      </c>
      <c r="J151" s="11" t="s">
        <v>198</v>
      </c>
      <c r="K151" s="11" t="s">
        <v>198</v>
      </c>
      <c r="L151" s="11" t="s">
        <v>198</v>
      </c>
      <c r="M151" s="11" t="s">
        <v>198</v>
      </c>
      <c r="N151" s="11" t="s">
        <v>198</v>
      </c>
      <c r="O151" s="11" t="s">
        <v>198</v>
      </c>
      <c r="P151" s="11" t="s">
        <v>198</v>
      </c>
      <c r="Q151" s="11" t="s">
        <v>198</v>
      </c>
      <c r="R151" s="11" t="s">
        <v>198</v>
      </c>
      <c r="S151" s="11" t="s">
        <v>198</v>
      </c>
      <c r="T151" s="96" t="s">
        <v>1641</v>
      </c>
      <c r="U151" s="11" t="s">
        <v>198</v>
      </c>
      <c r="V151" s="11" t="s">
        <v>198</v>
      </c>
      <c r="W151" s="11" t="s">
        <v>198</v>
      </c>
      <c r="X151" s="11" t="s">
        <v>198</v>
      </c>
      <c r="Y151" s="23"/>
      <c r="Z151" s="21" t="s">
        <v>198</v>
      </c>
      <c r="AA151" s="91"/>
      <c r="AB151" s="22"/>
      <c r="AC151" s="20" t="s">
        <v>1559</v>
      </c>
      <c r="AD151" s="20" t="s">
        <v>1568</v>
      </c>
      <c r="AE151" s="22"/>
      <c r="AF151" s="22"/>
    </row>
    <row r="152" spans="2:32" x14ac:dyDescent="0.2">
      <c r="B152" s="9" t="s">
        <v>183</v>
      </c>
      <c r="C152" s="12" t="s">
        <v>614</v>
      </c>
      <c r="D152" s="9" t="s">
        <v>183</v>
      </c>
      <c r="E152" s="11" t="s">
        <v>198</v>
      </c>
      <c r="F152" s="11" t="s">
        <v>198</v>
      </c>
      <c r="G152" s="11" t="s">
        <v>198</v>
      </c>
      <c r="H152" s="11" t="s">
        <v>198</v>
      </c>
      <c r="I152" s="11" t="s">
        <v>198</v>
      </c>
      <c r="J152" s="11" t="s">
        <v>198</v>
      </c>
      <c r="K152" s="11" t="s">
        <v>198</v>
      </c>
      <c r="L152" s="11" t="s">
        <v>198</v>
      </c>
      <c r="M152" s="11" t="s">
        <v>198</v>
      </c>
      <c r="N152" s="11" t="s">
        <v>198</v>
      </c>
      <c r="O152" s="11" t="s">
        <v>198</v>
      </c>
      <c r="P152" s="11" t="s">
        <v>198</v>
      </c>
      <c r="Q152" s="11" t="s">
        <v>198</v>
      </c>
      <c r="R152" s="11" t="s">
        <v>198</v>
      </c>
      <c r="S152" s="11" t="s">
        <v>198</v>
      </c>
      <c r="T152" s="96" t="s">
        <v>1474</v>
      </c>
      <c r="U152" s="11" t="s">
        <v>198</v>
      </c>
      <c r="V152" s="11" t="s">
        <v>198</v>
      </c>
      <c r="W152" s="11" t="s">
        <v>198</v>
      </c>
      <c r="X152" s="11" t="s">
        <v>198</v>
      </c>
      <c r="Y152" s="23"/>
      <c r="Z152" s="21" t="s">
        <v>198</v>
      </c>
      <c r="AA152" s="91"/>
      <c r="AB152" s="22"/>
      <c r="AC152" s="20" t="s">
        <v>1559</v>
      </c>
      <c r="AD152" s="20" t="s">
        <v>1568</v>
      </c>
      <c r="AE152" s="22"/>
      <c r="AF152" s="22"/>
    </row>
    <row r="153" spans="2:32" x14ac:dyDescent="0.2">
      <c r="B153" s="9" t="s">
        <v>384</v>
      </c>
      <c r="C153" s="9" t="s">
        <v>476</v>
      </c>
      <c r="D153" s="9" t="s">
        <v>384</v>
      </c>
      <c r="E153" s="11" t="s">
        <v>198</v>
      </c>
      <c r="F153" s="11" t="s">
        <v>198</v>
      </c>
      <c r="G153" s="11" t="s">
        <v>198</v>
      </c>
      <c r="H153" s="11" t="s">
        <v>198</v>
      </c>
      <c r="I153" s="11" t="s">
        <v>198</v>
      </c>
      <c r="J153" s="11" t="s">
        <v>198</v>
      </c>
      <c r="K153" s="11" t="s">
        <v>198</v>
      </c>
      <c r="L153" s="11" t="s">
        <v>198</v>
      </c>
      <c r="M153" s="11" t="s">
        <v>198</v>
      </c>
      <c r="N153" s="11" t="s">
        <v>198</v>
      </c>
      <c r="O153" s="11" t="s">
        <v>198</v>
      </c>
      <c r="P153" s="11" t="s">
        <v>198</v>
      </c>
      <c r="Q153" s="11" t="s">
        <v>198</v>
      </c>
      <c r="R153" s="11" t="s">
        <v>198</v>
      </c>
      <c r="S153" s="11" t="s">
        <v>198</v>
      </c>
      <c r="T153" s="96" t="s">
        <v>1475</v>
      </c>
      <c r="U153" s="11" t="s">
        <v>198</v>
      </c>
      <c r="V153" s="11" t="s">
        <v>198</v>
      </c>
      <c r="W153" s="11" t="s">
        <v>198</v>
      </c>
      <c r="X153" s="11" t="s">
        <v>198</v>
      </c>
      <c r="Y153" s="23"/>
      <c r="Z153" s="21" t="s">
        <v>198</v>
      </c>
      <c r="AA153" s="91"/>
      <c r="AB153" s="22"/>
      <c r="AC153" s="20" t="s">
        <v>1560</v>
      </c>
      <c r="AD153" s="20" t="s">
        <v>1568</v>
      </c>
      <c r="AE153" s="22"/>
      <c r="AF153" s="22"/>
    </row>
    <row r="154" spans="2:32" x14ac:dyDescent="0.2">
      <c r="B154" s="9" t="s">
        <v>385</v>
      </c>
      <c r="C154" s="9" t="s">
        <v>477</v>
      </c>
      <c r="D154" s="9" t="s">
        <v>385</v>
      </c>
      <c r="E154" s="11" t="s">
        <v>198</v>
      </c>
      <c r="F154" s="11" t="s">
        <v>198</v>
      </c>
      <c r="G154" s="11" t="s">
        <v>198</v>
      </c>
      <c r="H154" s="11" t="s">
        <v>198</v>
      </c>
      <c r="I154" s="11" t="s">
        <v>198</v>
      </c>
      <c r="J154" s="11" t="s">
        <v>198</v>
      </c>
      <c r="K154" s="11" t="s">
        <v>198</v>
      </c>
      <c r="L154" s="11" t="s">
        <v>198</v>
      </c>
      <c r="M154" s="11" t="s">
        <v>198</v>
      </c>
      <c r="N154" s="11" t="s">
        <v>198</v>
      </c>
      <c r="O154" s="11" t="s">
        <v>198</v>
      </c>
      <c r="P154" s="11" t="s">
        <v>198</v>
      </c>
      <c r="Q154" s="11" t="s">
        <v>198</v>
      </c>
      <c r="R154" s="11" t="s">
        <v>198</v>
      </c>
      <c r="S154" s="11" t="s">
        <v>198</v>
      </c>
      <c r="T154" s="96" t="s">
        <v>1476</v>
      </c>
      <c r="U154" s="11" t="s">
        <v>198</v>
      </c>
      <c r="V154" s="11" t="s">
        <v>198</v>
      </c>
      <c r="W154" s="11" t="s">
        <v>198</v>
      </c>
      <c r="X154" s="11" t="s">
        <v>198</v>
      </c>
      <c r="Y154" s="23"/>
      <c r="Z154" s="21" t="s">
        <v>198</v>
      </c>
      <c r="AA154" s="91"/>
      <c r="AB154" s="22"/>
      <c r="AC154" s="20" t="s">
        <v>1560</v>
      </c>
      <c r="AD154" s="20" t="s">
        <v>1568</v>
      </c>
      <c r="AE154" s="22"/>
      <c r="AF154" s="22"/>
    </row>
    <row r="155" spans="2:32" x14ac:dyDescent="0.2">
      <c r="B155" s="9" t="s">
        <v>386</v>
      </c>
      <c r="C155" s="9" t="s">
        <v>473</v>
      </c>
      <c r="D155" s="9" t="s">
        <v>386</v>
      </c>
      <c r="E155" s="11" t="s">
        <v>198</v>
      </c>
      <c r="F155" s="11" t="s">
        <v>198</v>
      </c>
      <c r="G155" s="11" t="s">
        <v>198</v>
      </c>
      <c r="H155" s="11" t="s">
        <v>198</v>
      </c>
      <c r="I155" s="11" t="s">
        <v>198</v>
      </c>
      <c r="J155" s="11" t="s">
        <v>198</v>
      </c>
      <c r="K155" s="11" t="s">
        <v>198</v>
      </c>
      <c r="L155" s="11" t="s">
        <v>198</v>
      </c>
      <c r="M155" s="11" t="s">
        <v>198</v>
      </c>
      <c r="N155" s="11" t="s">
        <v>198</v>
      </c>
      <c r="O155" s="11" t="s">
        <v>198</v>
      </c>
      <c r="P155" s="11" t="s">
        <v>198</v>
      </c>
      <c r="Q155" s="11" t="s">
        <v>198</v>
      </c>
      <c r="R155" s="11" t="s">
        <v>198</v>
      </c>
      <c r="S155" s="11" t="s">
        <v>198</v>
      </c>
      <c r="T155" s="96" t="s">
        <v>1642</v>
      </c>
      <c r="U155" s="11" t="s">
        <v>198</v>
      </c>
      <c r="V155" s="11" t="s">
        <v>198</v>
      </c>
      <c r="W155" s="11" t="s">
        <v>198</v>
      </c>
      <c r="X155" s="11" t="s">
        <v>198</v>
      </c>
      <c r="Y155" s="23"/>
      <c r="Z155" s="21" t="s">
        <v>198</v>
      </c>
      <c r="AA155" s="91"/>
      <c r="AB155" s="22"/>
      <c r="AC155" s="20" t="s">
        <v>1559</v>
      </c>
      <c r="AD155" s="20" t="s">
        <v>1568</v>
      </c>
      <c r="AE155" s="22"/>
      <c r="AF155" s="22"/>
    </row>
    <row r="156" spans="2:32" x14ac:dyDescent="0.2">
      <c r="B156" s="9" t="s">
        <v>387</v>
      </c>
      <c r="C156" s="9" t="s">
        <v>475</v>
      </c>
      <c r="D156" s="9" t="s">
        <v>387</v>
      </c>
      <c r="E156" s="11" t="s">
        <v>198</v>
      </c>
      <c r="F156" s="11" t="s">
        <v>198</v>
      </c>
      <c r="G156" s="11" t="s">
        <v>198</v>
      </c>
      <c r="H156" s="11" t="s">
        <v>198</v>
      </c>
      <c r="I156" s="11" t="s">
        <v>198</v>
      </c>
      <c r="J156" s="11" t="s">
        <v>198</v>
      </c>
      <c r="K156" s="11" t="s">
        <v>198</v>
      </c>
      <c r="L156" s="11" t="s">
        <v>198</v>
      </c>
      <c r="M156" s="11" t="s">
        <v>198</v>
      </c>
      <c r="N156" s="11" t="s">
        <v>198</v>
      </c>
      <c r="O156" s="11" t="s">
        <v>198</v>
      </c>
      <c r="P156" s="11" t="s">
        <v>198</v>
      </c>
      <c r="Q156" s="11" t="s">
        <v>198</v>
      </c>
      <c r="R156" s="11" t="s">
        <v>198</v>
      </c>
      <c r="S156" s="11" t="s">
        <v>198</v>
      </c>
      <c r="T156" s="96" t="s">
        <v>1643</v>
      </c>
      <c r="U156" s="11" t="s">
        <v>198</v>
      </c>
      <c r="V156" s="11" t="s">
        <v>198</v>
      </c>
      <c r="W156" s="11" t="s">
        <v>198</v>
      </c>
      <c r="X156" s="11" t="s">
        <v>198</v>
      </c>
      <c r="Y156" s="23"/>
      <c r="Z156" s="21" t="s">
        <v>198</v>
      </c>
      <c r="AA156" s="91"/>
      <c r="AB156" s="22"/>
      <c r="AC156" s="20" t="s">
        <v>1559</v>
      </c>
      <c r="AD156" s="20" t="s">
        <v>1568</v>
      </c>
      <c r="AE156" s="22"/>
      <c r="AF156" s="22"/>
    </row>
    <row r="157" spans="2:32" x14ac:dyDescent="0.2">
      <c r="B157" s="9" t="s">
        <v>388</v>
      </c>
      <c r="C157" s="9" t="s">
        <v>615</v>
      </c>
      <c r="D157" s="9" t="s">
        <v>388</v>
      </c>
      <c r="E157" s="11" t="s">
        <v>198</v>
      </c>
      <c r="F157" s="11" t="s">
        <v>198</v>
      </c>
      <c r="G157" s="11" t="s">
        <v>198</v>
      </c>
      <c r="H157" s="11" t="s">
        <v>198</v>
      </c>
      <c r="I157" s="11" t="s">
        <v>198</v>
      </c>
      <c r="J157" s="11" t="s">
        <v>198</v>
      </c>
      <c r="K157" s="11" t="s">
        <v>198</v>
      </c>
      <c r="L157" s="11" t="s">
        <v>198</v>
      </c>
      <c r="M157" s="11" t="s">
        <v>198</v>
      </c>
      <c r="N157" s="11" t="s">
        <v>198</v>
      </c>
      <c r="O157" s="11" t="s">
        <v>198</v>
      </c>
      <c r="P157" s="11" t="s">
        <v>198</v>
      </c>
      <c r="Q157" s="11" t="s">
        <v>198</v>
      </c>
      <c r="R157" s="11" t="s">
        <v>198</v>
      </c>
      <c r="S157" s="11" t="s">
        <v>198</v>
      </c>
      <c r="T157" s="96" t="s">
        <v>1644</v>
      </c>
      <c r="U157" s="11" t="s">
        <v>198</v>
      </c>
      <c r="V157" s="11" t="s">
        <v>198</v>
      </c>
      <c r="W157" s="11" t="s">
        <v>198</v>
      </c>
      <c r="X157" s="11" t="s">
        <v>198</v>
      </c>
      <c r="Y157" s="23"/>
      <c r="Z157" s="21" t="s">
        <v>198</v>
      </c>
      <c r="AA157" s="91"/>
      <c r="AB157" s="22"/>
      <c r="AC157" s="20" t="s">
        <v>1559</v>
      </c>
      <c r="AD157" s="20" t="s">
        <v>1568</v>
      </c>
      <c r="AE157" s="22"/>
      <c r="AF157" s="22"/>
    </row>
    <row r="158" spans="2:32" x14ac:dyDescent="0.2">
      <c r="B158" s="9" t="s">
        <v>389</v>
      </c>
      <c r="C158" s="9" t="s">
        <v>472</v>
      </c>
      <c r="D158" s="9" t="s">
        <v>389</v>
      </c>
      <c r="E158" s="11" t="s">
        <v>198</v>
      </c>
      <c r="F158" s="11" t="s">
        <v>198</v>
      </c>
      <c r="G158" s="11" t="s">
        <v>198</v>
      </c>
      <c r="H158" s="11" t="s">
        <v>198</v>
      </c>
      <c r="I158" s="11" t="s">
        <v>198</v>
      </c>
      <c r="J158" s="11" t="s">
        <v>198</v>
      </c>
      <c r="K158" s="11" t="s">
        <v>198</v>
      </c>
      <c r="L158" s="11" t="s">
        <v>198</v>
      </c>
      <c r="M158" s="11" t="s">
        <v>198</v>
      </c>
      <c r="N158" s="11" t="s">
        <v>198</v>
      </c>
      <c r="O158" s="11" t="s">
        <v>198</v>
      </c>
      <c r="P158" s="11" t="s">
        <v>198</v>
      </c>
      <c r="Q158" s="11" t="s">
        <v>198</v>
      </c>
      <c r="R158" s="11" t="s">
        <v>198</v>
      </c>
      <c r="S158" s="11" t="s">
        <v>198</v>
      </c>
      <c r="T158" s="96" t="s">
        <v>1645</v>
      </c>
      <c r="U158" s="11" t="s">
        <v>198</v>
      </c>
      <c r="V158" s="11" t="s">
        <v>198</v>
      </c>
      <c r="W158" s="11" t="s">
        <v>198</v>
      </c>
      <c r="X158" s="11" t="s">
        <v>198</v>
      </c>
      <c r="Y158" s="23"/>
      <c r="Z158" s="21" t="s">
        <v>198</v>
      </c>
      <c r="AA158" s="91"/>
      <c r="AB158" s="22"/>
      <c r="AC158" s="20" t="s">
        <v>1559</v>
      </c>
      <c r="AD158" s="20" t="s">
        <v>1568</v>
      </c>
      <c r="AE158" s="22"/>
      <c r="AF158" s="22"/>
    </row>
    <row r="159" spans="2:32" x14ac:dyDescent="0.2">
      <c r="B159" s="9" t="s">
        <v>390</v>
      </c>
      <c r="C159" s="9" t="s">
        <v>474</v>
      </c>
      <c r="D159" s="9" t="s">
        <v>390</v>
      </c>
      <c r="E159" s="11" t="s">
        <v>198</v>
      </c>
      <c r="F159" s="11" t="s">
        <v>198</v>
      </c>
      <c r="G159" s="11" t="s">
        <v>198</v>
      </c>
      <c r="H159" s="11" t="s">
        <v>198</v>
      </c>
      <c r="I159" s="11" t="s">
        <v>198</v>
      </c>
      <c r="J159" s="11" t="s">
        <v>198</v>
      </c>
      <c r="K159" s="11" t="s">
        <v>198</v>
      </c>
      <c r="L159" s="11" t="s">
        <v>198</v>
      </c>
      <c r="M159" s="11" t="s">
        <v>198</v>
      </c>
      <c r="N159" s="11" t="s">
        <v>198</v>
      </c>
      <c r="O159" s="11" t="s">
        <v>198</v>
      </c>
      <c r="P159" s="11" t="s">
        <v>198</v>
      </c>
      <c r="Q159" s="11" t="s">
        <v>198</v>
      </c>
      <c r="R159" s="11" t="s">
        <v>198</v>
      </c>
      <c r="S159" s="11" t="s">
        <v>198</v>
      </c>
      <c r="T159" s="96" t="s">
        <v>1646</v>
      </c>
      <c r="U159" s="11" t="s">
        <v>198</v>
      </c>
      <c r="V159" s="11" t="s">
        <v>198</v>
      </c>
      <c r="W159" s="11" t="s">
        <v>198</v>
      </c>
      <c r="X159" s="11" t="s">
        <v>198</v>
      </c>
      <c r="Y159" s="23"/>
      <c r="Z159" s="21" t="s">
        <v>198</v>
      </c>
      <c r="AA159" s="91"/>
      <c r="AB159" s="22"/>
      <c r="AC159" s="20" t="s">
        <v>1559</v>
      </c>
      <c r="AD159" s="20" t="s">
        <v>1568</v>
      </c>
      <c r="AE159" s="22"/>
      <c r="AF159" s="22"/>
    </row>
    <row r="160" spans="2:32" x14ac:dyDescent="0.2">
      <c r="B160" s="9" t="s">
        <v>391</v>
      </c>
      <c r="C160" s="9" t="s">
        <v>479</v>
      </c>
      <c r="D160" s="9" t="s">
        <v>391</v>
      </c>
      <c r="E160" s="11" t="s">
        <v>198</v>
      </c>
      <c r="F160" s="11" t="s">
        <v>198</v>
      </c>
      <c r="G160" s="11" t="s">
        <v>198</v>
      </c>
      <c r="H160" s="11" t="s">
        <v>198</v>
      </c>
      <c r="I160" s="11" t="s">
        <v>198</v>
      </c>
      <c r="J160" s="11" t="s">
        <v>198</v>
      </c>
      <c r="K160" s="11" t="s">
        <v>198</v>
      </c>
      <c r="L160" s="11" t="s">
        <v>198</v>
      </c>
      <c r="M160" s="11" t="s">
        <v>198</v>
      </c>
      <c r="N160" s="11" t="s">
        <v>198</v>
      </c>
      <c r="O160" s="11" t="s">
        <v>198</v>
      </c>
      <c r="P160" s="11" t="s">
        <v>198</v>
      </c>
      <c r="Q160" s="11" t="s">
        <v>198</v>
      </c>
      <c r="R160" s="11" t="s">
        <v>198</v>
      </c>
      <c r="S160" s="11" t="s">
        <v>198</v>
      </c>
      <c r="T160" s="96" t="s">
        <v>1647</v>
      </c>
      <c r="U160" s="11" t="s">
        <v>198</v>
      </c>
      <c r="V160" s="11" t="s">
        <v>198</v>
      </c>
      <c r="W160" s="11" t="s">
        <v>198</v>
      </c>
      <c r="X160" s="11" t="s">
        <v>198</v>
      </c>
      <c r="Y160" s="23"/>
      <c r="Z160" s="21" t="s">
        <v>198</v>
      </c>
      <c r="AA160" s="91"/>
      <c r="AB160" s="22"/>
      <c r="AC160" s="20" t="s">
        <v>1559</v>
      </c>
      <c r="AD160" s="20" t="s">
        <v>1568</v>
      </c>
      <c r="AE160" s="22"/>
      <c r="AF160" s="22"/>
    </row>
    <row r="161" spans="2:32" x14ac:dyDescent="0.2">
      <c r="B161" s="9" t="s">
        <v>392</v>
      </c>
      <c r="C161" s="9" t="s">
        <v>481</v>
      </c>
      <c r="D161" s="9" t="s">
        <v>392</v>
      </c>
      <c r="E161" s="11" t="s">
        <v>198</v>
      </c>
      <c r="F161" s="11" t="s">
        <v>198</v>
      </c>
      <c r="G161" s="11" t="s">
        <v>198</v>
      </c>
      <c r="H161" s="11" t="s">
        <v>198</v>
      </c>
      <c r="I161" s="11" t="s">
        <v>198</v>
      </c>
      <c r="J161" s="11" t="s">
        <v>198</v>
      </c>
      <c r="K161" s="11" t="s">
        <v>198</v>
      </c>
      <c r="L161" s="11" t="s">
        <v>198</v>
      </c>
      <c r="M161" s="11" t="s">
        <v>198</v>
      </c>
      <c r="N161" s="11" t="s">
        <v>198</v>
      </c>
      <c r="O161" s="11" t="s">
        <v>198</v>
      </c>
      <c r="P161" s="11" t="s">
        <v>198</v>
      </c>
      <c r="Q161" s="11" t="s">
        <v>198</v>
      </c>
      <c r="R161" s="11" t="s">
        <v>198</v>
      </c>
      <c r="S161" s="11" t="s">
        <v>198</v>
      </c>
      <c r="T161" s="96" t="s">
        <v>1663</v>
      </c>
      <c r="U161" s="11" t="s">
        <v>198</v>
      </c>
      <c r="V161" s="11" t="s">
        <v>198</v>
      </c>
      <c r="W161" s="11" t="s">
        <v>198</v>
      </c>
      <c r="X161" s="11" t="s">
        <v>198</v>
      </c>
      <c r="Y161" s="23"/>
      <c r="Z161" s="21" t="s">
        <v>198</v>
      </c>
      <c r="AA161" s="91"/>
      <c r="AB161" s="22"/>
      <c r="AC161" s="20" t="s">
        <v>1559</v>
      </c>
      <c r="AD161" s="20" t="s">
        <v>1568</v>
      </c>
      <c r="AE161" s="22"/>
      <c r="AF161" s="22"/>
    </row>
    <row r="162" spans="2:32" x14ac:dyDescent="0.2">
      <c r="B162" s="9" t="s">
        <v>393</v>
      </c>
      <c r="C162" s="9" t="s">
        <v>482</v>
      </c>
      <c r="D162" s="9" t="s">
        <v>393</v>
      </c>
      <c r="E162" s="11" t="s">
        <v>198</v>
      </c>
      <c r="F162" s="11" t="s">
        <v>198</v>
      </c>
      <c r="G162" s="11" t="s">
        <v>198</v>
      </c>
      <c r="H162" s="11" t="s">
        <v>198</v>
      </c>
      <c r="I162" s="11" t="s">
        <v>198</v>
      </c>
      <c r="J162" s="11" t="s">
        <v>198</v>
      </c>
      <c r="K162" s="11" t="s">
        <v>198</v>
      </c>
      <c r="L162" s="11" t="s">
        <v>198</v>
      </c>
      <c r="M162" s="11" t="s">
        <v>198</v>
      </c>
      <c r="N162" s="11" t="s">
        <v>198</v>
      </c>
      <c r="O162" s="11" t="s">
        <v>198</v>
      </c>
      <c r="P162" s="11" t="s">
        <v>198</v>
      </c>
      <c r="Q162" s="11" t="s">
        <v>198</v>
      </c>
      <c r="R162" s="11" t="s">
        <v>198</v>
      </c>
      <c r="S162" s="11" t="s">
        <v>198</v>
      </c>
      <c r="T162" s="96" t="s">
        <v>1648</v>
      </c>
      <c r="U162" s="11" t="s">
        <v>198</v>
      </c>
      <c r="V162" s="11" t="s">
        <v>198</v>
      </c>
      <c r="W162" s="11" t="s">
        <v>198</v>
      </c>
      <c r="X162" s="11" t="s">
        <v>198</v>
      </c>
      <c r="Y162" s="23"/>
      <c r="Z162" s="21" t="s">
        <v>198</v>
      </c>
      <c r="AA162" s="91"/>
      <c r="AB162" s="22"/>
      <c r="AC162" s="20" t="s">
        <v>1559</v>
      </c>
      <c r="AD162" s="20" t="s">
        <v>1568</v>
      </c>
      <c r="AE162" s="22"/>
      <c r="AF162" s="22"/>
    </row>
    <row r="163" spans="2:32" x14ac:dyDescent="0.2">
      <c r="B163" s="9" t="s">
        <v>394</v>
      </c>
      <c r="C163" s="9" t="s">
        <v>485</v>
      </c>
      <c r="D163" s="9" t="s">
        <v>394</v>
      </c>
      <c r="E163" s="11" t="s">
        <v>198</v>
      </c>
      <c r="F163" s="11" t="s">
        <v>198</v>
      </c>
      <c r="G163" s="11" t="s">
        <v>198</v>
      </c>
      <c r="H163" s="11" t="s">
        <v>198</v>
      </c>
      <c r="I163" s="11" t="s">
        <v>198</v>
      </c>
      <c r="J163" s="11" t="s">
        <v>198</v>
      </c>
      <c r="K163" s="11" t="s">
        <v>198</v>
      </c>
      <c r="L163" s="11" t="s">
        <v>198</v>
      </c>
      <c r="M163" s="11" t="s">
        <v>198</v>
      </c>
      <c r="N163" s="11" t="s">
        <v>198</v>
      </c>
      <c r="O163" s="11" t="s">
        <v>198</v>
      </c>
      <c r="P163" s="11" t="s">
        <v>198</v>
      </c>
      <c r="Q163" s="11" t="s">
        <v>198</v>
      </c>
      <c r="R163" s="11" t="s">
        <v>198</v>
      </c>
      <c r="S163" s="11" t="s">
        <v>198</v>
      </c>
      <c r="T163" s="96" t="s">
        <v>1649</v>
      </c>
      <c r="U163" s="11" t="s">
        <v>198</v>
      </c>
      <c r="V163" s="11" t="s">
        <v>198</v>
      </c>
      <c r="W163" s="11" t="s">
        <v>198</v>
      </c>
      <c r="X163" s="11" t="s">
        <v>198</v>
      </c>
      <c r="Y163" s="23"/>
      <c r="Z163" s="21" t="s">
        <v>198</v>
      </c>
      <c r="AA163" s="91"/>
      <c r="AB163" s="22"/>
      <c r="AC163" s="20" t="s">
        <v>1559</v>
      </c>
      <c r="AD163" s="20" t="s">
        <v>1568</v>
      </c>
      <c r="AE163" s="22"/>
      <c r="AF163" s="22"/>
    </row>
    <row r="164" spans="2:32" x14ac:dyDescent="0.2">
      <c r="B164" s="9" t="s">
        <v>395</v>
      </c>
      <c r="C164" s="9" t="s">
        <v>486</v>
      </c>
      <c r="D164" s="9" t="s">
        <v>395</v>
      </c>
      <c r="E164" s="11" t="s">
        <v>198</v>
      </c>
      <c r="F164" s="11" t="s">
        <v>198</v>
      </c>
      <c r="G164" s="11" t="s">
        <v>198</v>
      </c>
      <c r="H164" s="11" t="s">
        <v>198</v>
      </c>
      <c r="I164" s="11" t="s">
        <v>198</v>
      </c>
      <c r="J164" s="11" t="s">
        <v>198</v>
      </c>
      <c r="K164" s="11" t="s">
        <v>198</v>
      </c>
      <c r="L164" s="11" t="s">
        <v>198</v>
      </c>
      <c r="M164" s="11" t="s">
        <v>198</v>
      </c>
      <c r="N164" s="11" t="s">
        <v>198</v>
      </c>
      <c r="O164" s="11" t="s">
        <v>198</v>
      </c>
      <c r="P164" s="11" t="s">
        <v>198</v>
      </c>
      <c r="Q164" s="11" t="s">
        <v>198</v>
      </c>
      <c r="R164" s="11" t="s">
        <v>198</v>
      </c>
      <c r="S164" s="11" t="s">
        <v>198</v>
      </c>
      <c r="T164" s="96" t="s">
        <v>1650</v>
      </c>
      <c r="U164" s="11" t="s">
        <v>198</v>
      </c>
      <c r="V164" s="11" t="s">
        <v>198</v>
      </c>
      <c r="W164" s="11" t="s">
        <v>198</v>
      </c>
      <c r="X164" s="11" t="s">
        <v>198</v>
      </c>
      <c r="Y164" s="23"/>
      <c r="Z164" s="21" t="s">
        <v>198</v>
      </c>
      <c r="AA164" s="91"/>
      <c r="AB164" s="22"/>
      <c r="AC164" s="20" t="s">
        <v>1559</v>
      </c>
      <c r="AD164" s="20" t="s">
        <v>1568</v>
      </c>
      <c r="AE164" s="22"/>
      <c r="AF164" s="22"/>
    </row>
    <row r="165" spans="2:32" x14ac:dyDescent="0.2">
      <c r="B165" s="9" t="s">
        <v>396</v>
      </c>
      <c r="C165" s="9" t="s">
        <v>489</v>
      </c>
      <c r="D165" s="9" t="s">
        <v>396</v>
      </c>
      <c r="E165" s="11" t="s">
        <v>198</v>
      </c>
      <c r="F165" s="11" t="s">
        <v>198</v>
      </c>
      <c r="G165" s="11" t="s">
        <v>198</v>
      </c>
      <c r="H165" s="11" t="s">
        <v>198</v>
      </c>
      <c r="I165" s="11" t="s">
        <v>198</v>
      </c>
      <c r="J165" s="11" t="s">
        <v>198</v>
      </c>
      <c r="K165" s="11" t="s">
        <v>198</v>
      </c>
      <c r="L165" s="11" t="s">
        <v>198</v>
      </c>
      <c r="M165" s="11" t="s">
        <v>198</v>
      </c>
      <c r="N165" s="11" t="s">
        <v>198</v>
      </c>
      <c r="O165" s="11" t="s">
        <v>198</v>
      </c>
      <c r="P165" s="11" t="s">
        <v>198</v>
      </c>
      <c r="Q165" s="11" t="s">
        <v>198</v>
      </c>
      <c r="R165" s="11" t="s">
        <v>198</v>
      </c>
      <c r="S165" s="11" t="s">
        <v>198</v>
      </c>
      <c r="T165" s="96" t="s">
        <v>1477</v>
      </c>
      <c r="U165" s="11" t="s">
        <v>198</v>
      </c>
      <c r="V165" s="11" t="s">
        <v>198</v>
      </c>
      <c r="W165" s="11" t="s">
        <v>198</v>
      </c>
      <c r="X165" s="11" t="s">
        <v>198</v>
      </c>
      <c r="Y165" s="23"/>
      <c r="Z165" s="21" t="s">
        <v>198</v>
      </c>
      <c r="AA165" s="91"/>
      <c r="AB165" s="22"/>
      <c r="AC165" s="20" t="s">
        <v>1559</v>
      </c>
      <c r="AD165" s="20" t="s">
        <v>1568</v>
      </c>
      <c r="AE165" s="22"/>
      <c r="AF165" s="22"/>
    </row>
    <row r="166" spans="2:32" x14ac:dyDescent="0.2">
      <c r="B166" s="9" t="s">
        <v>397</v>
      </c>
      <c r="C166" s="9" t="s">
        <v>490</v>
      </c>
      <c r="D166" s="9" t="s">
        <v>397</v>
      </c>
      <c r="E166" s="11" t="s">
        <v>198</v>
      </c>
      <c r="F166" s="11" t="s">
        <v>198</v>
      </c>
      <c r="G166" s="11" t="s">
        <v>198</v>
      </c>
      <c r="H166" s="11" t="s">
        <v>198</v>
      </c>
      <c r="I166" s="11" t="s">
        <v>198</v>
      </c>
      <c r="J166" s="11" t="s">
        <v>198</v>
      </c>
      <c r="K166" s="11" t="s">
        <v>198</v>
      </c>
      <c r="L166" s="11" t="s">
        <v>198</v>
      </c>
      <c r="M166" s="11" t="s">
        <v>198</v>
      </c>
      <c r="N166" s="11" t="s">
        <v>198</v>
      </c>
      <c r="O166" s="11" t="s">
        <v>198</v>
      </c>
      <c r="P166" s="11" t="s">
        <v>198</v>
      </c>
      <c r="Q166" s="11" t="s">
        <v>198</v>
      </c>
      <c r="R166" s="11" t="s">
        <v>198</v>
      </c>
      <c r="S166" s="11" t="s">
        <v>198</v>
      </c>
      <c r="T166" s="96" t="s">
        <v>1478</v>
      </c>
      <c r="U166" s="11" t="s">
        <v>198</v>
      </c>
      <c r="V166" s="11" t="s">
        <v>198</v>
      </c>
      <c r="W166" s="11" t="s">
        <v>198</v>
      </c>
      <c r="X166" s="11" t="s">
        <v>198</v>
      </c>
      <c r="Y166" s="23"/>
      <c r="Z166" s="21" t="s">
        <v>198</v>
      </c>
      <c r="AA166" s="91"/>
      <c r="AB166" s="22"/>
      <c r="AC166" s="20" t="s">
        <v>1560</v>
      </c>
      <c r="AD166" s="20" t="s">
        <v>1568</v>
      </c>
      <c r="AE166" s="22"/>
      <c r="AF166" s="22"/>
    </row>
    <row r="167" spans="2:32" x14ac:dyDescent="0.2">
      <c r="B167" s="9" t="s">
        <v>398</v>
      </c>
      <c r="C167" s="9" t="s">
        <v>576</v>
      </c>
      <c r="D167" s="9" t="s">
        <v>398</v>
      </c>
      <c r="E167" s="11" t="s">
        <v>198</v>
      </c>
      <c r="F167" s="11" t="s">
        <v>198</v>
      </c>
      <c r="G167" s="11" t="s">
        <v>198</v>
      </c>
      <c r="H167" s="11" t="s">
        <v>198</v>
      </c>
      <c r="I167" s="11" t="s">
        <v>198</v>
      </c>
      <c r="J167" s="11" t="s">
        <v>198</v>
      </c>
      <c r="K167" s="11" t="s">
        <v>198</v>
      </c>
      <c r="L167" s="11" t="s">
        <v>198</v>
      </c>
      <c r="M167" s="11" t="s">
        <v>198</v>
      </c>
      <c r="N167" s="11" t="s">
        <v>198</v>
      </c>
      <c r="O167" s="11" t="s">
        <v>198</v>
      </c>
      <c r="P167" s="11" t="s">
        <v>198</v>
      </c>
      <c r="Q167" s="11" t="s">
        <v>198</v>
      </c>
      <c r="R167" s="11" t="s">
        <v>198</v>
      </c>
      <c r="S167" s="11" t="s">
        <v>198</v>
      </c>
      <c r="T167" s="96" t="s">
        <v>1479</v>
      </c>
      <c r="U167" s="11" t="s">
        <v>198</v>
      </c>
      <c r="V167" s="11" t="s">
        <v>198</v>
      </c>
      <c r="W167" s="11" t="s">
        <v>198</v>
      </c>
      <c r="X167" s="11" t="s">
        <v>198</v>
      </c>
      <c r="Y167" s="23"/>
      <c r="Z167" s="21" t="s">
        <v>198</v>
      </c>
      <c r="AA167" s="91"/>
      <c r="AB167" s="22"/>
      <c r="AC167" s="20" t="s">
        <v>1560</v>
      </c>
      <c r="AD167" s="20" t="s">
        <v>1568</v>
      </c>
      <c r="AE167" s="22"/>
      <c r="AF167" s="22"/>
    </row>
    <row r="168" spans="2:32" x14ac:dyDescent="0.2">
      <c r="B168" s="9" t="s">
        <v>399</v>
      </c>
      <c r="C168" s="9" t="s">
        <v>487</v>
      </c>
      <c r="D168" s="9" t="s">
        <v>399</v>
      </c>
      <c r="E168" s="11" t="s">
        <v>198</v>
      </c>
      <c r="F168" s="11" t="s">
        <v>198</v>
      </c>
      <c r="G168" s="11" t="s">
        <v>198</v>
      </c>
      <c r="H168" s="11" t="s">
        <v>198</v>
      </c>
      <c r="I168" s="11" t="s">
        <v>198</v>
      </c>
      <c r="J168" s="11" t="s">
        <v>198</v>
      </c>
      <c r="K168" s="11" t="s">
        <v>198</v>
      </c>
      <c r="L168" s="11" t="s">
        <v>198</v>
      </c>
      <c r="M168" s="11" t="s">
        <v>198</v>
      </c>
      <c r="N168" s="11" t="s">
        <v>198</v>
      </c>
      <c r="O168" s="11" t="s">
        <v>198</v>
      </c>
      <c r="P168" s="11" t="s">
        <v>198</v>
      </c>
      <c r="Q168" s="11" t="s">
        <v>198</v>
      </c>
      <c r="R168" s="11" t="s">
        <v>198</v>
      </c>
      <c r="S168" s="11" t="s">
        <v>198</v>
      </c>
      <c r="T168" s="96" t="s">
        <v>1651</v>
      </c>
      <c r="U168" s="11" t="s">
        <v>198</v>
      </c>
      <c r="V168" s="11" t="s">
        <v>198</v>
      </c>
      <c r="W168" s="11" t="s">
        <v>198</v>
      </c>
      <c r="X168" s="11" t="s">
        <v>198</v>
      </c>
      <c r="Y168" s="23"/>
      <c r="Z168" s="21" t="s">
        <v>198</v>
      </c>
      <c r="AA168" s="91"/>
      <c r="AB168" s="22"/>
      <c r="AC168" s="20" t="s">
        <v>1559</v>
      </c>
      <c r="AD168" s="20" t="s">
        <v>1568</v>
      </c>
      <c r="AE168" s="22"/>
      <c r="AF168" s="22"/>
    </row>
    <row r="169" spans="2:32" x14ac:dyDescent="0.2">
      <c r="B169" s="9" t="s">
        <v>400</v>
      </c>
      <c r="C169" s="9" t="s">
        <v>488</v>
      </c>
      <c r="D169" s="9" t="s">
        <v>400</v>
      </c>
      <c r="E169" s="11" t="s">
        <v>198</v>
      </c>
      <c r="F169" s="11" t="s">
        <v>198</v>
      </c>
      <c r="G169" s="11" t="s">
        <v>198</v>
      </c>
      <c r="H169" s="11" t="s">
        <v>198</v>
      </c>
      <c r="I169" s="11" t="s">
        <v>198</v>
      </c>
      <c r="J169" s="11" t="s">
        <v>198</v>
      </c>
      <c r="K169" s="11" t="s">
        <v>198</v>
      </c>
      <c r="L169" s="11" t="s">
        <v>198</v>
      </c>
      <c r="M169" s="11" t="s">
        <v>198</v>
      </c>
      <c r="N169" s="11" t="s">
        <v>198</v>
      </c>
      <c r="O169" s="11" t="s">
        <v>198</v>
      </c>
      <c r="P169" s="11" t="s">
        <v>198</v>
      </c>
      <c r="Q169" s="11" t="s">
        <v>198</v>
      </c>
      <c r="R169" s="11" t="s">
        <v>198</v>
      </c>
      <c r="S169" s="11" t="s">
        <v>198</v>
      </c>
      <c r="T169" s="96" t="s">
        <v>1652</v>
      </c>
      <c r="U169" s="11" t="s">
        <v>198</v>
      </c>
      <c r="V169" s="11" t="s">
        <v>198</v>
      </c>
      <c r="W169" s="11" t="s">
        <v>198</v>
      </c>
      <c r="X169" s="11" t="s">
        <v>198</v>
      </c>
      <c r="Y169" s="23"/>
      <c r="Z169" s="21" t="s">
        <v>198</v>
      </c>
      <c r="AA169" s="91"/>
      <c r="AB169" s="22"/>
      <c r="AC169" s="20" t="s">
        <v>1559</v>
      </c>
      <c r="AD169" s="20" t="s">
        <v>1568</v>
      </c>
      <c r="AE169" s="22"/>
      <c r="AF169" s="22"/>
    </row>
    <row r="170" spans="2:32" x14ac:dyDescent="0.2">
      <c r="B170" s="9" t="s">
        <v>401</v>
      </c>
      <c r="C170" s="9" t="s">
        <v>571</v>
      </c>
      <c r="D170" s="9" t="s">
        <v>401</v>
      </c>
      <c r="E170" s="11" t="s">
        <v>198</v>
      </c>
      <c r="F170" s="11" t="s">
        <v>198</v>
      </c>
      <c r="G170" s="11" t="s">
        <v>198</v>
      </c>
      <c r="H170" s="11" t="s">
        <v>198</v>
      </c>
      <c r="I170" s="11" t="s">
        <v>198</v>
      </c>
      <c r="J170" s="11" t="s">
        <v>198</v>
      </c>
      <c r="K170" s="11" t="s">
        <v>198</v>
      </c>
      <c r="L170" s="11" t="s">
        <v>198</v>
      </c>
      <c r="M170" s="11" t="s">
        <v>198</v>
      </c>
      <c r="N170" s="11" t="s">
        <v>198</v>
      </c>
      <c r="O170" s="11" t="s">
        <v>198</v>
      </c>
      <c r="P170" s="11" t="s">
        <v>198</v>
      </c>
      <c r="Q170" s="11" t="s">
        <v>198</v>
      </c>
      <c r="R170" s="11" t="s">
        <v>198</v>
      </c>
      <c r="S170" s="11" t="s">
        <v>198</v>
      </c>
      <c r="T170" s="96" t="s">
        <v>1653</v>
      </c>
      <c r="U170" s="11" t="s">
        <v>198</v>
      </c>
      <c r="V170" s="11" t="s">
        <v>198</v>
      </c>
      <c r="W170" s="11" t="s">
        <v>198</v>
      </c>
      <c r="X170" s="11" t="s">
        <v>198</v>
      </c>
      <c r="Y170" s="23"/>
      <c r="Z170" s="21" t="s">
        <v>198</v>
      </c>
      <c r="AA170" s="91"/>
      <c r="AB170" s="22"/>
      <c r="AC170" s="20" t="s">
        <v>1559</v>
      </c>
      <c r="AD170" s="20" t="s">
        <v>1568</v>
      </c>
      <c r="AE170" s="22"/>
      <c r="AF170" s="22"/>
    </row>
    <row r="171" spans="2:32" x14ac:dyDescent="0.2">
      <c r="B171" s="9" t="s">
        <v>402</v>
      </c>
      <c r="C171" s="9" t="s">
        <v>572</v>
      </c>
      <c r="D171" s="9" t="s">
        <v>402</v>
      </c>
      <c r="E171" s="11" t="s">
        <v>198</v>
      </c>
      <c r="F171" s="11" t="s">
        <v>198</v>
      </c>
      <c r="G171" s="11" t="s">
        <v>198</v>
      </c>
      <c r="H171" s="11" t="s">
        <v>198</v>
      </c>
      <c r="I171" s="11" t="s">
        <v>198</v>
      </c>
      <c r="J171" s="11" t="s">
        <v>198</v>
      </c>
      <c r="K171" s="11" t="s">
        <v>198</v>
      </c>
      <c r="L171" s="11" t="s">
        <v>198</v>
      </c>
      <c r="M171" s="11" t="s">
        <v>198</v>
      </c>
      <c r="N171" s="11" t="s">
        <v>198</v>
      </c>
      <c r="O171" s="11" t="s">
        <v>198</v>
      </c>
      <c r="P171" s="11" t="s">
        <v>198</v>
      </c>
      <c r="Q171" s="11" t="s">
        <v>198</v>
      </c>
      <c r="R171" s="11" t="s">
        <v>198</v>
      </c>
      <c r="S171" s="11" t="s">
        <v>198</v>
      </c>
      <c r="T171" s="96" t="s">
        <v>1654</v>
      </c>
      <c r="U171" s="11" t="s">
        <v>198</v>
      </c>
      <c r="V171" s="11" t="s">
        <v>198</v>
      </c>
      <c r="W171" s="11" t="s">
        <v>198</v>
      </c>
      <c r="X171" s="11" t="s">
        <v>198</v>
      </c>
      <c r="Y171" s="23"/>
      <c r="Z171" s="21" t="s">
        <v>198</v>
      </c>
      <c r="AA171" s="91"/>
      <c r="AB171" s="22"/>
      <c r="AC171" s="20" t="s">
        <v>1559</v>
      </c>
      <c r="AD171" s="20" t="s">
        <v>1568</v>
      </c>
      <c r="AE171" s="22"/>
      <c r="AF171" s="22"/>
    </row>
    <row r="172" spans="2:32" x14ac:dyDescent="0.2">
      <c r="B172" s="12" t="s">
        <v>403</v>
      </c>
      <c r="C172" s="9" t="s">
        <v>574</v>
      </c>
      <c r="D172" s="12" t="s">
        <v>403</v>
      </c>
      <c r="E172" s="11" t="s">
        <v>198</v>
      </c>
      <c r="F172" s="11" t="s">
        <v>198</v>
      </c>
      <c r="G172" s="11" t="s">
        <v>198</v>
      </c>
      <c r="H172" s="11" t="s">
        <v>198</v>
      </c>
      <c r="I172" s="11" t="s">
        <v>198</v>
      </c>
      <c r="J172" s="11" t="s">
        <v>198</v>
      </c>
      <c r="K172" s="11" t="s">
        <v>198</v>
      </c>
      <c r="L172" s="11" t="s">
        <v>198</v>
      </c>
      <c r="M172" s="11" t="s">
        <v>198</v>
      </c>
      <c r="N172" s="11" t="s">
        <v>198</v>
      </c>
      <c r="O172" s="11" t="s">
        <v>198</v>
      </c>
      <c r="P172" s="11" t="s">
        <v>198</v>
      </c>
      <c r="Q172" s="11" t="s">
        <v>198</v>
      </c>
      <c r="R172" s="11" t="s">
        <v>198</v>
      </c>
      <c r="S172" s="11" t="s">
        <v>198</v>
      </c>
      <c r="T172" s="96" t="s">
        <v>1655</v>
      </c>
      <c r="U172" s="11" t="s">
        <v>198</v>
      </c>
      <c r="V172" s="11" t="s">
        <v>198</v>
      </c>
      <c r="W172" s="11" t="s">
        <v>198</v>
      </c>
      <c r="X172" s="11" t="s">
        <v>198</v>
      </c>
      <c r="Y172" s="23"/>
      <c r="Z172" s="21" t="s">
        <v>198</v>
      </c>
      <c r="AA172" s="91"/>
      <c r="AB172" s="22"/>
      <c r="AC172" s="20" t="s">
        <v>1559</v>
      </c>
      <c r="AD172" s="20" t="s">
        <v>1568</v>
      </c>
      <c r="AE172" s="22"/>
      <c r="AF172" s="22"/>
    </row>
    <row r="173" spans="2:32" x14ac:dyDescent="0.2">
      <c r="B173" s="9" t="s">
        <v>404</v>
      </c>
      <c r="C173" s="9" t="s">
        <v>575</v>
      </c>
      <c r="D173" s="9" t="s">
        <v>404</v>
      </c>
      <c r="E173" s="11" t="s">
        <v>198</v>
      </c>
      <c r="F173" s="11" t="s">
        <v>198</v>
      </c>
      <c r="G173" s="11" t="s">
        <v>198</v>
      </c>
      <c r="H173" s="11" t="s">
        <v>198</v>
      </c>
      <c r="I173" s="11" t="s">
        <v>198</v>
      </c>
      <c r="J173" s="11" t="s">
        <v>198</v>
      </c>
      <c r="K173" s="11" t="s">
        <v>198</v>
      </c>
      <c r="L173" s="11" t="s">
        <v>198</v>
      </c>
      <c r="M173" s="11" t="s">
        <v>198</v>
      </c>
      <c r="N173" s="11" t="s">
        <v>198</v>
      </c>
      <c r="O173" s="11" t="s">
        <v>198</v>
      </c>
      <c r="P173" s="11" t="s">
        <v>198</v>
      </c>
      <c r="Q173" s="11" t="s">
        <v>198</v>
      </c>
      <c r="R173" s="11" t="s">
        <v>198</v>
      </c>
      <c r="S173" s="11" t="s">
        <v>198</v>
      </c>
      <c r="T173" s="96" t="s">
        <v>1656</v>
      </c>
      <c r="U173" s="11" t="s">
        <v>198</v>
      </c>
      <c r="V173" s="11" t="s">
        <v>198</v>
      </c>
      <c r="W173" s="11" t="s">
        <v>198</v>
      </c>
      <c r="X173" s="11" t="s">
        <v>198</v>
      </c>
      <c r="Y173" s="23"/>
      <c r="Z173" s="21" t="s">
        <v>198</v>
      </c>
      <c r="AA173" s="91"/>
      <c r="AB173" s="22"/>
      <c r="AC173" s="20" t="s">
        <v>1559</v>
      </c>
      <c r="AD173" s="20" t="s">
        <v>1568</v>
      </c>
      <c r="AE173" s="22"/>
      <c r="AF173" s="22"/>
    </row>
    <row r="174" spans="2:32" x14ac:dyDescent="0.2">
      <c r="B174" s="9" t="s">
        <v>405</v>
      </c>
      <c r="C174" s="9" t="s">
        <v>447</v>
      </c>
      <c r="D174" s="9" t="s">
        <v>405</v>
      </c>
      <c r="E174" s="98" t="s">
        <v>1094</v>
      </c>
      <c r="F174" s="98" t="s">
        <v>1086</v>
      </c>
      <c r="G174" s="98" t="s">
        <v>1085</v>
      </c>
      <c r="H174" s="11" t="s">
        <v>198</v>
      </c>
      <c r="I174" s="98" t="s">
        <v>60</v>
      </c>
      <c r="J174" s="11" t="s">
        <v>198</v>
      </c>
      <c r="K174" s="11" t="s">
        <v>198</v>
      </c>
      <c r="L174" s="11" t="s">
        <v>198</v>
      </c>
      <c r="M174" s="11" t="s">
        <v>198</v>
      </c>
      <c r="N174" s="11" t="s">
        <v>198</v>
      </c>
      <c r="O174" s="96" t="s">
        <v>1480</v>
      </c>
      <c r="P174" s="11" t="s">
        <v>198</v>
      </c>
      <c r="Q174" s="96" t="s">
        <v>1739</v>
      </c>
      <c r="R174" s="96" t="s">
        <v>1481</v>
      </c>
      <c r="S174" s="96" t="s">
        <v>1482</v>
      </c>
      <c r="T174" s="96" t="s">
        <v>1483</v>
      </c>
      <c r="U174" s="11" t="s">
        <v>198</v>
      </c>
      <c r="V174" s="11" t="s">
        <v>198</v>
      </c>
      <c r="W174" s="101" t="s">
        <v>218</v>
      </c>
      <c r="X174" s="11" t="s">
        <v>198</v>
      </c>
      <c r="Y174" s="23"/>
      <c r="Z174" s="21" t="s">
        <v>198</v>
      </c>
      <c r="AA174" s="91" t="s">
        <v>1823</v>
      </c>
      <c r="AB174" s="22"/>
      <c r="AC174" s="20" t="s">
        <v>196</v>
      </c>
      <c r="AD174" s="20" t="s">
        <v>1565</v>
      </c>
      <c r="AE174" s="22"/>
      <c r="AF174" s="22"/>
    </row>
    <row r="175" spans="2:32" x14ac:dyDescent="0.2">
      <c r="B175" s="9" t="s">
        <v>406</v>
      </c>
      <c r="C175" s="9" t="s">
        <v>448</v>
      </c>
      <c r="D175" s="9" t="s">
        <v>406</v>
      </c>
      <c r="E175" s="98" t="s">
        <v>1103</v>
      </c>
      <c r="F175" s="98" t="s">
        <v>1092</v>
      </c>
      <c r="G175" s="98" t="s">
        <v>1088</v>
      </c>
      <c r="H175" s="11" t="s">
        <v>198</v>
      </c>
      <c r="I175" s="98" t="s">
        <v>1484</v>
      </c>
      <c r="J175" s="11" t="s">
        <v>198</v>
      </c>
      <c r="K175" s="11" t="s">
        <v>198</v>
      </c>
      <c r="L175" s="11" t="s">
        <v>198</v>
      </c>
      <c r="M175" s="11" t="s">
        <v>198</v>
      </c>
      <c r="N175" s="11" t="s">
        <v>198</v>
      </c>
      <c r="O175" s="11" t="s">
        <v>198</v>
      </c>
      <c r="P175" s="11" t="s">
        <v>198</v>
      </c>
      <c r="Q175" s="11" t="s">
        <v>198</v>
      </c>
      <c r="R175" s="96" t="s">
        <v>1485</v>
      </c>
      <c r="S175" s="96" t="s">
        <v>1486</v>
      </c>
      <c r="T175" s="96" t="s">
        <v>1487</v>
      </c>
      <c r="U175" s="11" t="s">
        <v>198</v>
      </c>
      <c r="V175" s="11" t="s">
        <v>198</v>
      </c>
      <c r="W175" s="101" t="s">
        <v>219</v>
      </c>
      <c r="X175" s="11" t="s">
        <v>198</v>
      </c>
      <c r="Y175" s="23"/>
      <c r="Z175" s="21" t="s">
        <v>198</v>
      </c>
      <c r="AA175" s="91" t="s">
        <v>1823</v>
      </c>
      <c r="AB175" s="22"/>
      <c r="AC175" s="20" t="s">
        <v>196</v>
      </c>
      <c r="AD175" s="20" t="s">
        <v>1565</v>
      </c>
      <c r="AE175" s="22"/>
      <c r="AF175" s="22"/>
    </row>
    <row r="176" spans="2:32" x14ac:dyDescent="0.2">
      <c r="B176" s="9" t="s">
        <v>407</v>
      </c>
      <c r="C176" s="9" t="s">
        <v>499</v>
      </c>
      <c r="D176" s="9" t="s">
        <v>407</v>
      </c>
      <c r="E176" s="11" t="s">
        <v>198</v>
      </c>
      <c r="F176" s="11" t="s">
        <v>198</v>
      </c>
      <c r="G176" s="11" t="s">
        <v>198</v>
      </c>
      <c r="H176" s="11" t="s">
        <v>198</v>
      </c>
      <c r="I176" s="11" t="s">
        <v>198</v>
      </c>
      <c r="J176" s="11" t="s">
        <v>198</v>
      </c>
      <c r="K176" s="11" t="s">
        <v>198</v>
      </c>
      <c r="L176" s="11" t="s">
        <v>198</v>
      </c>
      <c r="M176" s="98" t="s">
        <v>106</v>
      </c>
      <c r="N176" s="11" t="s">
        <v>198</v>
      </c>
      <c r="O176" s="11" t="s">
        <v>198</v>
      </c>
      <c r="P176" s="11" t="s">
        <v>198</v>
      </c>
      <c r="Q176" s="96" t="s">
        <v>1488</v>
      </c>
      <c r="R176" s="11" t="s">
        <v>198</v>
      </c>
      <c r="S176" s="11" t="s">
        <v>198</v>
      </c>
      <c r="T176" s="11" t="s">
        <v>198</v>
      </c>
      <c r="U176" s="11" t="s">
        <v>198</v>
      </c>
      <c r="V176" s="11" t="s">
        <v>198</v>
      </c>
      <c r="W176" s="11" t="s">
        <v>198</v>
      </c>
      <c r="X176" s="11" t="s">
        <v>198</v>
      </c>
      <c r="Y176" s="23"/>
      <c r="Z176" s="21" t="s">
        <v>198</v>
      </c>
      <c r="AA176" s="91"/>
      <c r="AB176" s="22"/>
      <c r="AC176" s="20" t="s">
        <v>570</v>
      </c>
      <c r="AD176" s="20" t="s">
        <v>1567</v>
      </c>
      <c r="AE176" s="22"/>
      <c r="AF176" s="22"/>
    </row>
    <row r="177" spans="2:32" x14ac:dyDescent="0.2">
      <c r="B177" s="9" t="s">
        <v>409</v>
      </c>
      <c r="C177" s="9" t="s">
        <v>503</v>
      </c>
      <c r="D177" s="9" t="s">
        <v>409</v>
      </c>
      <c r="E177" s="11" t="s">
        <v>198</v>
      </c>
      <c r="F177" s="11" t="s">
        <v>198</v>
      </c>
      <c r="G177" s="11" t="s">
        <v>198</v>
      </c>
      <c r="H177" s="11" t="s">
        <v>198</v>
      </c>
      <c r="I177" s="11" t="s">
        <v>198</v>
      </c>
      <c r="J177" s="11" t="s">
        <v>198</v>
      </c>
      <c r="K177" s="98" t="s">
        <v>1491</v>
      </c>
      <c r="L177" s="98" t="s">
        <v>1492</v>
      </c>
      <c r="M177" s="96" t="s">
        <v>108</v>
      </c>
      <c r="N177" s="11" t="s">
        <v>198</v>
      </c>
      <c r="O177" s="98" t="s">
        <v>1489</v>
      </c>
      <c r="P177" s="11" t="s">
        <v>198</v>
      </c>
      <c r="Q177" s="96" t="s">
        <v>1490</v>
      </c>
      <c r="R177" s="11" t="s">
        <v>198</v>
      </c>
      <c r="S177" s="11" t="s">
        <v>198</v>
      </c>
      <c r="T177" s="11" t="s">
        <v>198</v>
      </c>
      <c r="U177" s="11" t="s">
        <v>198</v>
      </c>
      <c r="V177" s="11" t="s">
        <v>198</v>
      </c>
      <c r="W177" s="11" t="s">
        <v>198</v>
      </c>
      <c r="X177" s="11" t="s">
        <v>198</v>
      </c>
      <c r="Y177" s="23"/>
      <c r="Z177" s="21" t="s">
        <v>198</v>
      </c>
      <c r="AA177" s="91"/>
      <c r="AB177" s="22"/>
      <c r="AC177" s="20" t="s">
        <v>570</v>
      </c>
      <c r="AD177" s="20" t="s">
        <v>1567</v>
      </c>
      <c r="AE177" s="22"/>
      <c r="AF177" s="22"/>
    </row>
    <row r="178" spans="2:32" x14ac:dyDescent="0.2">
      <c r="B178" s="117" t="s">
        <v>957</v>
      </c>
      <c r="C178" s="9" t="s">
        <v>593</v>
      </c>
      <c r="D178" s="117" t="s">
        <v>957</v>
      </c>
      <c r="E178" s="11" t="s">
        <v>198</v>
      </c>
      <c r="F178" s="11" t="s">
        <v>198</v>
      </c>
      <c r="G178" s="11" t="s">
        <v>198</v>
      </c>
      <c r="H178" s="11" t="s">
        <v>198</v>
      </c>
      <c r="I178" s="11" t="s">
        <v>198</v>
      </c>
      <c r="J178" s="11" t="s">
        <v>198</v>
      </c>
      <c r="K178" s="11" t="s">
        <v>198</v>
      </c>
      <c r="L178" s="11" t="s">
        <v>198</v>
      </c>
      <c r="M178" s="11" t="s">
        <v>198</v>
      </c>
      <c r="N178" s="11" t="s">
        <v>198</v>
      </c>
      <c r="O178" s="11" t="s">
        <v>198</v>
      </c>
      <c r="P178" s="11" t="s">
        <v>198</v>
      </c>
      <c r="Q178" s="11" t="s">
        <v>198</v>
      </c>
      <c r="R178" s="11" t="s">
        <v>198</v>
      </c>
      <c r="S178" s="11" t="s">
        <v>198</v>
      </c>
      <c r="T178" s="11" t="s">
        <v>198</v>
      </c>
      <c r="U178" s="11" t="s">
        <v>198</v>
      </c>
      <c r="V178" s="11" t="s">
        <v>198</v>
      </c>
      <c r="W178" s="11" t="s">
        <v>198</v>
      </c>
      <c r="X178" s="11" t="s">
        <v>198</v>
      </c>
      <c r="Y178" s="117" t="s">
        <v>957</v>
      </c>
      <c r="Z178" s="21" t="s">
        <v>198</v>
      </c>
      <c r="AA178" s="91"/>
      <c r="AB178" s="22"/>
      <c r="AC178" s="59" t="s">
        <v>355</v>
      </c>
      <c r="AD178" s="9" t="s">
        <v>355</v>
      </c>
      <c r="AE178" s="22"/>
      <c r="AF178" s="22"/>
    </row>
    <row r="179" spans="2:32" x14ac:dyDescent="0.2">
      <c r="B179" s="117" t="s">
        <v>958</v>
      </c>
      <c r="C179" s="9" t="s">
        <v>537</v>
      </c>
      <c r="D179" s="117" t="s">
        <v>958</v>
      </c>
      <c r="E179" s="11" t="s">
        <v>198</v>
      </c>
      <c r="F179" s="11" t="s">
        <v>198</v>
      </c>
      <c r="G179" s="11" t="s">
        <v>198</v>
      </c>
      <c r="H179" s="11" t="s">
        <v>198</v>
      </c>
      <c r="I179" s="11" t="s">
        <v>198</v>
      </c>
      <c r="J179" s="11" t="s">
        <v>198</v>
      </c>
      <c r="K179" s="11" t="s">
        <v>198</v>
      </c>
      <c r="L179" s="11" t="s">
        <v>198</v>
      </c>
      <c r="M179" s="11" t="s">
        <v>198</v>
      </c>
      <c r="N179" s="11" t="s">
        <v>198</v>
      </c>
      <c r="O179" s="11" t="s">
        <v>198</v>
      </c>
      <c r="P179" s="11" t="s">
        <v>198</v>
      </c>
      <c r="Q179" s="11" t="s">
        <v>198</v>
      </c>
      <c r="R179" s="11" t="s">
        <v>198</v>
      </c>
      <c r="S179" s="11" t="s">
        <v>198</v>
      </c>
      <c r="T179" s="11" t="s">
        <v>198</v>
      </c>
      <c r="U179" s="11" t="s">
        <v>198</v>
      </c>
      <c r="V179" s="11" t="s">
        <v>198</v>
      </c>
      <c r="W179" s="11" t="s">
        <v>198</v>
      </c>
      <c r="X179" s="11" t="s">
        <v>198</v>
      </c>
      <c r="Y179" s="117" t="s">
        <v>958</v>
      </c>
      <c r="Z179" s="21" t="s">
        <v>198</v>
      </c>
      <c r="AA179" s="91"/>
      <c r="AB179" s="22"/>
      <c r="AC179" s="59" t="s">
        <v>355</v>
      </c>
      <c r="AD179" s="9" t="s">
        <v>355</v>
      </c>
      <c r="AE179" s="22"/>
      <c r="AF179" s="22"/>
    </row>
    <row r="180" spans="2:32" x14ac:dyDescent="0.2">
      <c r="B180" s="117" t="s">
        <v>959</v>
      </c>
      <c r="C180" s="9" t="s">
        <v>535</v>
      </c>
      <c r="D180" s="117" t="s">
        <v>959</v>
      </c>
      <c r="E180" s="11" t="s">
        <v>198</v>
      </c>
      <c r="F180" s="11" t="s">
        <v>198</v>
      </c>
      <c r="G180" s="11" t="s">
        <v>198</v>
      </c>
      <c r="H180" s="11" t="s">
        <v>198</v>
      </c>
      <c r="I180" s="11" t="s">
        <v>198</v>
      </c>
      <c r="J180" s="11" t="s">
        <v>198</v>
      </c>
      <c r="K180" s="11" t="s">
        <v>198</v>
      </c>
      <c r="L180" s="11" t="s">
        <v>198</v>
      </c>
      <c r="M180" s="11" t="s">
        <v>198</v>
      </c>
      <c r="N180" s="11" t="s">
        <v>198</v>
      </c>
      <c r="O180" s="11" t="s">
        <v>198</v>
      </c>
      <c r="P180" s="11" t="s">
        <v>198</v>
      </c>
      <c r="Q180" s="11" t="s">
        <v>198</v>
      </c>
      <c r="R180" s="11" t="s">
        <v>198</v>
      </c>
      <c r="S180" s="11" t="s">
        <v>198</v>
      </c>
      <c r="T180" s="11" t="s">
        <v>198</v>
      </c>
      <c r="U180" s="11" t="s">
        <v>198</v>
      </c>
      <c r="V180" s="11" t="s">
        <v>198</v>
      </c>
      <c r="W180" s="11" t="s">
        <v>198</v>
      </c>
      <c r="X180" s="11" t="s">
        <v>198</v>
      </c>
      <c r="Y180" s="117" t="s">
        <v>959</v>
      </c>
      <c r="Z180" s="21" t="s">
        <v>198</v>
      </c>
      <c r="AA180" s="91"/>
      <c r="AB180" s="22"/>
      <c r="AC180" s="59" t="s">
        <v>355</v>
      </c>
      <c r="AD180" s="9" t="s">
        <v>355</v>
      </c>
      <c r="AE180" s="22"/>
      <c r="AF180" s="22"/>
    </row>
    <row r="181" spans="2:32" x14ac:dyDescent="0.2">
      <c r="B181" s="117" t="s">
        <v>960</v>
      </c>
      <c r="C181" s="9" t="s">
        <v>536</v>
      </c>
      <c r="D181" s="117" t="s">
        <v>960</v>
      </c>
      <c r="E181" s="11" t="s">
        <v>198</v>
      </c>
      <c r="F181" s="11" t="s">
        <v>198</v>
      </c>
      <c r="G181" s="11" t="s">
        <v>198</v>
      </c>
      <c r="H181" s="11" t="s">
        <v>198</v>
      </c>
      <c r="I181" s="11" t="s">
        <v>198</v>
      </c>
      <c r="J181" s="11" t="s">
        <v>198</v>
      </c>
      <c r="K181" s="11" t="s">
        <v>198</v>
      </c>
      <c r="L181" s="11" t="s">
        <v>198</v>
      </c>
      <c r="M181" s="11" t="s">
        <v>198</v>
      </c>
      <c r="N181" s="11" t="s">
        <v>198</v>
      </c>
      <c r="O181" s="11" t="s">
        <v>198</v>
      </c>
      <c r="P181" s="11" t="s">
        <v>198</v>
      </c>
      <c r="Q181" s="11" t="s">
        <v>198</v>
      </c>
      <c r="R181" s="11" t="s">
        <v>198</v>
      </c>
      <c r="S181" s="11" t="s">
        <v>198</v>
      </c>
      <c r="T181" s="11" t="s">
        <v>198</v>
      </c>
      <c r="U181" s="11" t="s">
        <v>198</v>
      </c>
      <c r="V181" s="11" t="s">
        <v>198</v>
      </c>
      <c r="W181" s="11" t="s">
        <v>198</v>
      </c>
      <c r="X181" s="11" t="s">
        <v>198</v>
      </c>
      <c r="Y181" s="117" t="s">
        <v>960</v>
      </c>
      <c r="Z181" s="21" t="s">
        <v>198</v>
      </c>
      <c r="AA181" s="91"/>
      <c r="AB181" s="22"/>
      <c r="AC181" s="59" t="s">
        <v>355</v>
      </c>
      <c r="AD181" s="9" t="s">
        <v>355</v>
      </c>
      <c r="AE181" s="22"/>
      <c r="AF181" s="22"/>
    </row>
    <row r="182" spans="2:32" x14ac:dyDescent="0.2">
      <c r="B182" s="117" t="s">
        <v>961</v>
      </c>
      <c r="C182" s="9" t="s">
        <v>538</v>
      </c>
      <c r="D182" s="117" t="s">
        <v>961</v>
      </c>
      <c r="E182" s="11" t="s">
        <v>198</v>
      </c>
      <c r="F182" s="11" t="s">
        <v>198</v>
      </c>
      <c r="G182" s="11" t="s">
        <v>198</v>
      </c>
      <c r="H182" s="11" t="s">
        <v>198</v>
      </c>
      <c r="I182" s="11" t="s">
        <v>198</v>
      </c>
      <c r="J182" s="11" t="s">
        <v>198</v>
      </c>
      <c r="K182" s="11" t="s">
        <v>198</v>
      </c>
      <c r="L182" s="11" t="s">
        <v>198</v>
      </c>
      <c r="M182" s="11" t="s">
        <v>198</v>
      </c>
      <c r="N182" s="11" t="s">
        <v>198</v>
      </c>
      <c r="O182" s="11" t="s">
        <v>198</v>
      </c>
      <c r="P182" s="11" t="s">
        <v>198</v>
      </c>
      <c r="Q182" s="11" t="s">
        <v>198</v>
      </c>
      <c r="R182" s="11" t="s">
        <v>198</v>
      </c>
      <c r="S182" s="11" t="s">
        <v>198</v>
      </c>
      <c r="T182" s="11" t="s">
        <v>198</v>
      </c>
      <c r="U182" s="11" t="s">
        <v>198</v>
      </c>
      <c r="V182" s="11" t="s">
        <v>198</v>
      </c>
      <c r="W182" s="11" t="s">
        <v>198</v>
      </c>
      <c r="X182" s="11" t="s">
        <v>198</v>
      </c>
      <c r="Y182" s="117" t="s">
        <v>961</v>
      </c>
      <c r="Z182" s="21" t="s">
        <v>198</v>
      </c>
      <c r="AA182" s="91"/>
      <c r="AB182" s="22"/>
      <c r="AC182" s="59" t="s">
        <v>355</v>
      </c>
      <c r="AD182" s="9" t="s">
        <v>355</v>
      </c>
      <c r="AE182" s="22"/>
      <c r="AF182" s="22"/>
    </row>
    <row r="183" spans="2:32" x14ac:dyDescent="0.2">
      <c r="B183" s="117" t="s">
        <v>962</v>
      </c>
      <c r="C183" s="9" t="s">
        <v>539</v>
      </c>
      <c r="D183" s="117" t="s">
        <v>962</v>
      </c>
      <c r="E183" s="11" t="s">
        <v>198</v>
      </c>
      <c r="F183" s="11" t="s">
        <v>198</v>
      </c>
      <c r="G183" s="11" t="s">
        <v>198</v>
      </c>
      <c r="H183" s="11" t="s">
        <v>198</v>
      </c>
      <c r="I183" s="11" t="s">
        <v>198</v>
      </c>
      <c r="J183" s="11" t="s">
        <v>198</v>
      </c>
      <c r="K183" s="11" t="s">
        <v>198</v>
      </c>
      <c r="L183" s="11" t="s">
        <v>198</v>
      </c>
      <c r="M183" s="11" t="s">
        <v>198</v>
      </c>
      <c r="N183" s="11" t="s">
        <v>198</v>
      </c>
      <c r="O183" s="11" t="s">
        <v>198</v>
      </c>
      <c r="P183" s="11" t="s">
        <v>198</v>
      </c>
      <c r="Q183" s="11" t="s">
        <v>198</v>
      </c>
      <c r="R183" s="11" t="s">
        <v>198</v>
      </c>
      <c r="S183" s="11" t="s">
        <v>198</v>
      </c>
      <c r="T183" s="11" t="s">
        <v>198</v>
      </c>
      <c r="U183" s="11" t="s">
        <v>198</v>
      </c>
      <c r="V183" s="11" t="s">
        <v>198</v>
      </c>
      <c r="W183" s="11" t="s">
        <v>198</v>
      </c>
      <c r="X183" s="11" t="s">
        <v>198</v>
      </c>
      <c r="Y183" s="117" t="s">
        <v>962</v>
      </c>
      <c r="Z183" s="21" t="s">
        <v>198</v>
      </c>
      <c r="AA183" s="91"/>
      <c r="AB183" s="22"/>
      <c r="AC183" s="59" t="s">
        <v>355</v>
      </c>
      <c r="AD183" s="9" t="s">
        <v>355</v>
      </c>
      <c r="AE183" s="22"/>
      <c r="AF183" s="22"/>
    </row>
    <row r="184" spans="2:32" x14ac:dyDescent="0.2">
      <c r="B184" s="117" t="s">
        <v>963</v>
      </c>
      <c r="C184" s="9" t="s">
        <v>540</v>
      </c>
      <c r="D184" s="117" t="s">
        <v>963</v>
      </c>
      <c r="E184" s="11" t="s">
        <v>198</v>
      </c>
      <c r="F184" s="11" t="s">
        <v>198</v>
      </c>
      <c r="G184" s="11" t="s">
        <v>198</v>
      </c>
      <c r="H184" s="11" t="s">
        <v>198</v>
      </c>
      <c r="I184" s="11" t="s">
        <v>198</v>
      </c>
      <c r="J184" s="11" t="s">
        <v>198</v>
      </c>
      <c r="K184" s="11" t="s">
        <v>198</v>
      </c>
      <c r="L184" s="11" t="s">
        <v>198</v>
      </c>
      <c r="M184" s="11" t="s">
        <v>198</v>
      </c>
      <c r="N184" s="11" t="s">
        <v>198</v>
      </c>
      <c r="O184" s="11" t="s">
        <v>198</v>
      </c>
      <c r="P184" s="11" t="s">
        <v>198</v>
      </c>
      <c r="Q184" s="11" t="s">
        <v>198</v>
      </c>
      <c r="R184" s="11" t="s">
        <v>198</v>
      </c>
      <c r="S184" s="11" t="s">
        <v>198</v>
      </c>
      <c r="T184" s="11" t="s">
        <v>198</v>
      </c>
      <c r="U184" s="11" t="s">
        <v>198</v>
      </c>
      <c r="V184" s="11" t="s">
        <v>198</v>
      </c>
      <c r="W184" s="11" t="s">
        <v>198</v>
      </c>
      <c r="X184" s="11" t="s">
        <v>198</v>
      </c>
      <c r="Y184" s="117" t="s">
        <v>963</v>
      </c>
      <c r="Z184" s="21" t="s">
        <v>198</v>
      </c>
      <c r="AA184" s="91"/>
      <c r="AB184" s="22"/>
      <c r="AC184" s="59" t="s">
        <v>355</v>
      </c>
      <c r="AD184" s="9" t="s">
        <v>355</v>
      </c>
      <c r="AE184" s="22"/>
      <c r="AF184" s="22"/>
    </row>
    <row r="185" spans="2:32" x14ac:dyDescent="0.2">
      <c r="B185" s="117" t="s">
        <v>964</v>
      </c>
      <c r="C185" s="9" t="s">
        <v>541</v>
      </c>
      <c r="D185" s="117" t="s">
        <v>964</v>
      </c>
      <c r="E185" s="11" t="s">
        <v>198</v>
      </c>
      <c r="F185" s="11" t="s">
        <v>198</v>
      </c>
      <c r="G185" s="11" t="s">
        <v>198</v>
      </c>
      <c r="H185" s="11" t="s">
        <v>198</v>
      </c>
      <c r="I185" s="11" t="s">
        <v>198</v>
      </c>
      <c r="J185" s="11" t="s">
        <v>198</v>
      </c>
      <c r="K185" s="11" t="s">
        <v>198</v>
      </c>
      <c r="L185" s="11" t="s">
        <v>198</v>
      </c>
      <c r="M185" s="11" t="s">
        <v>198</v>
      </c>
      <c r="N185" s="11" t="s">
        <v>198</v>
      </c>
      <c r="O185" s="11" t="s">
        <v>198</v>
      </c>
      <c r="P185" s="11" t="s">
        <v>198</v>
      </c>
      <c r="Q185" s="11" t="s">
        <v>198</v>
      </c>
      <c r="R185" s="11" t="s">
        <v>198</v>
      </c>
      <c r="S185" s="11" t="s">
        <v>198</v>
      </c>
      <c r="T185" s="11" t="s">
        <v>198</v>
      </c>
      <c r="U185" s="11" t="s">
        <v>198</v>
      </c>
      <c r="V185" s="11" t="s">
        <v>198</v>
      </c>
      <c r="W185" s="11" t="s">
        <v>198</v>
      </c>
      <c r="X185" s="11" t="s">
        <v>198</v>
      </c>
      <c r="Y185" s="117" t="s">
        <v>964</v>
      </c>
      <c r="Z185" s="21" t="s">
        <v>198</v>
      </c>
      <c r="AA185" s="91"/>
      <c r="AB185" s="22"/>
      <c r="AC185" s="59" t="s">
        <v>355</v>
      </c>
      <c r="AD185" s="9" t="s">
        <v>355</v>
      </c>
      <c r="AE185" s="22"/>
      <c r="AF185" s="22"/>
    </row>
    <row r="186" spans="2:32" x14ac:dyDescent="0.2">
      <c r="B186" s="117" t="s">
        <v>965</v>
      </c>
      <c r="C186" s="9" t="s">
        <v>542</v>
      </c>
      <c r="D186" s="117" t="s">
        <v>965</v>
      </c>
      <c r="E186" s="11" t="s">
        <v>198</v>
      </c>
      <c r="F186" s="11" t="s">
        <v>198</v>
      </c>
      <c r="G186" s="11" t="s">
        <v>198</v>
      </c>
      <c r="H186" s="11" t="s">
        <v>198</v>
      </c>
      <c r="I186" s="11" t="s">
        <v>198</v>
      </c>
      <c r="J186" s="11" t="s">
        <v>198</v>
      </c>
      <c r="K186" s="11" t="s">
        <v>198</v>
      </c>
      <c r="L186" s="11" t="s">
        <v>198</v>
      </c>
      <c r="M186" s="11" t="s">
        <v>198</v>
      </c>
      <c r="N186" s="11" t="s">
        <v>198</v>
      </c>
      <c r="O186" s="11" t="s">
        <v>198</v>
      </c>
      <c r="P186" s="11" t="s">
        <v>198</v>
      </c>
      <c r="Q186" s="11" t="s">
        <v>198</v>
      </c>
      <c r="R186" s="11" t="s">
        <v>198</v>
      </c>
      <c r="S186" s="11" t="s">
        <v>198</v>
      </c>
      <c r="T186" s="11" t="s">
        <v>198</v>
      </c>
      <c r="U186" s="11" t="s">
        <v>198</v>
      </c>
      <c r="V186" s="11" t="s">
        <v>198</v>
      </c>
      <c r="W186" s="11" t="s">
        <v>198</v>
      </c>
      <c r="X186" s="11" t="s">
        <v>198</v>
      </c>
      <c r="Y186" s="117" t="s">
        <v>965</v>
      </c>
      <c r="Z186" s="21" t="s">
        <v>198</v>
      </c>
      <c r="AA186" s="91"/>
      <c r="AB186" s="22"/>
      <c r="AC186" s="59" t="s">
        <v>355</v>
      </c>
      <c r="AD186" s="9" t="s">
        <v>355</v>
      </c>
      <c r="AE186" s="22"/>
      <c r="AF186" s="22"/>
    </row>
    <row r="187" spans="2:32" x14ac:dyDescent="0.2">
      <c r="B187" s="117" t="s">
        <v>911</v>
      </c>
      <c r="C187" s="9" t="s">
        <v>544</v>
      </c>
      <c r="D187" s="117" t="s">
        <v>911</v>
      </c>
      <c r="E187" s="11" t="s">
        <v>198</v>
      </c>
      <c r="F187" s="11" t="s">
        <v>198</v>
      </c>
      <c r="G187" s="11" t="s">
        <v>198</v>
      </c>
      <c r="H187" s="11" t="s">
        <v>198</v>
      </c>
      <c r="I187" s="11" t="s">
        <v>198</v>
      </c>
      <c r="J187" s="11" t="s">
        <v>198</v>
      </c>
      <c r="K187" s="11" t="s">
        <v>198</v>
      </c>
      <c r="L187" s="11" t="s">
        <v>198</v>
      </c>
      <c r="M187" s="11" t="s">
        <v>198</v>
      </c>
      <c r="N187" s="11" t="s">
        <v>198</v>
      </c>
      <c r="O187" s="11" t="s">
        <v>198</v>
      </c>
      <c r="P187" s="11" t="s">
        <v>198</v>
      </c>
      <c r="Q187" s="11" t="s">
        <v>198</v>
      </c>
      <c r="R187" s="11" t="s">
        <v>198</v>
      </c>
      <c r="S187" s="11" t="s">
        <v>198</v>
      </c>
      <c r="T187" s="11" t="s">
        <v>198</v>
      </c>
      <c r="U187" s="11" t="s">
        <v>198</v>
      </c>
      <c r="V187" s="11" t="s">
        <v>198</v>
      </c>
      <c r="W187" s="11" t="s">
        <v>198</v>
      </c>
      <c r="X187" s="11" t="s">
        <v>198</v>
      </c>
      <c r="Y187" s="117" t="s">
        <v>911</v>
      </c>
      <c r="Z187" s="21" t="s">
        <v>198</v>
      </c>
      <c r="AA187" s="91"/>
      <c r="AB187" s="22"/>
      <c r="AC187" s="59" t="s">
        <v>355</v>
      </c>
      <c r="AD187" s="9" t="s">
        <v>355</v>
      </c>
      <c r="AE187" s="22"/>
      <c r="AF187" s="22"/>
    </row>
    <row r="188" spans="2:32" x14ac:dyDescent="0.2">
      <c r="B188" s="117" t="s">
        <v>966</v>
      </c>
      <c r="C188" s="9" t="s">
        <v>543</v>
      </c>
      <c r="D188" s="117" t="s">
        <v>966</v>
      </c>
      <c r="E188" s="11" t="s">
        <v>198</v>
      </c>
      <c r="F188" s="11" t="s">
        <v>198</v>
      </c>
      <c r="G188" s="11" t="s">
        <v>198</v>
      </c>
      <c r="H188" s="11" t="s">
        <v>198</v>
      </c>
      <c r="I188" s="11" t="s">
        <v>198</v>
      </c>
      <c r="J188" s="11" t="s">
        <v>198</v>
      </c>
      <c r="K188" s="11" t="s">
        <v>198</v>
      </c>
      <c r="L188" s="11" t="s">
        <v>198</v>
      </c>
      <c r="M188" s="11" t="s">
        <v>198</v>
      </c>
      <c r="N188" s="11" t="s">
        <v>198</v>
      </c>
      <c r="O188" s="11" t="s">
        <v>198</v>
      </c>
      <c r="P188" s="11" t="s">
        <v>198</v>
      </c>
      <c r="Q188" s="11" t="s">
        <v>198</v>
      </c>
      <c r="R188" s="11" t="s">
        <v>198</v>
      </c>
      <c r="S188" s="11" t="s">
        <v>198</v>
      </c>
      <c r="T188" s="11" t="s">
        <v>198</v>
      </c>
      <c r="U188" s="11" t="s">
        <v>198</v>
      </c>
      <c r="V188" s="11" t="s">
        <v>198</v>
      </c>
      <c r="W188" s="11" t="s">
        <v>198</v>
      </c>
      <c r="X188" s="11" t="s">
        <v>198</v>
      </c>
      <c r="Y188" s="117" t="s">
        <v>966</v>
      </c>
      <c r="Z188" s="21" t="s">
        <v>198</v>
      </c>
      <c r="AA188" s="91"/>
      <c r="AB188" s="22"/>
      <c r="AC188" s="59" t="s">
        <v>355</v>
      </c>
      <c r="AD188" s="9" t="s">
        <v>355</v>
      </c>
      <c r="AE188" s="22"/>
      <c r="AF188" s="22"/>
    </row>
    <row r="189" spans="2:32" x14ac:dyDescent="0.2">
      <c r="B189" s="117" t="s">
        <v>922</v>
      </c>
      <c r="C189" s="9" t="s">
        <v>547</v>
      </c>
      <c r="D189" s="117" t="s">
        <v>922</v>
      </c>
      <c r="E189" s="11" t="s">
        <v>198</v>
      </c>
      <c r="F189" s="11" t="s">
        <v>198</v>
      </c>
      <c r="G189" s="11" t="s">
        <v>198</v>
      </c>
      <c r="H189" s="11" t="s">
        <v>198</v>
      </c>
      <c r="I189" s="11" t="s">
        <v>198</v>
      </c>
      <c r="J189" s="11" t="s">
        <v>198</v>
      </c>
      <c r="K189" s="11" t="s">
        <v>198</v>
      </c>
      <c r="L189" s="11" t="s">
        <v>198</v>
      </c>
      <c r="M189" s="11" t="s">
        <v>198</v>
      </c>
      <c r="N189" s="11" t="s">
        <v>198</v>
      </c>
      <c r="O189" s="11" t="s">
        <v>198</v>
      </c>
      <c r="P189" s="11" t="s">
        <v>198</v>
      </c>
      <c r="Q189" s="11" t="s">
        <v>198</v>
      </c>
      <c r="R189" s="11" t="s">
        <v>198</v>
      </c>
      <c r="S189" s="11" t="s">
        <v>198</v>
      </c>
      <c r="T189" s="11" t="s">
        <v>198</v>
      </c>
      <c r="U189" s="11" t="s">
        <v>198</v>
      </c>
      <c r="V189" s="11" t="s">
        <v>198</v>
      </c>
      <c r="W189" s="11" t="s">
        <v>198</v>
      </c>
      <c r="X189" s="11" t="s">
        <v>198</v>
      </c>
      <c r="Y189" s="117" t="s">
        <v>922</v>
      </c>
      <c r="Z189" s="21" t="s">
        <v>198</v>
      </c>
      <c r="AA189" s="91"/>
      <c r="AB189" s="22"/>
      <c r="AC189" s="59" t="s">
        <v>355</v>
      </c>
      <c r="AD189" s="9" t="s">
        <v>355</v>
      </c>
      <c r="AE189" s="22"/>
      <c r="AF189" s="22"/>
    </row>
    <row r="190" spans="2:32" x14ac:dyDescent="0.2">
      <c r="B190" s="117" t="s">
        <v>912</v>
      </c>
      <c r="C190" s="9" t="s">
        <v>618</v>
      </c>
      <c r="D190" s="117" t="s">
        <v>912</v>
      </c>
      <c r="E190" s="11" t="s">
        <v>198</v>
      </c>
      <c r="F190" s="11" t="s">
        <v>198</v>
      </c>
      <c r="G190" s="11" t="s">
        <v>198</v>
      </c>
      <c r="H190" s="11" t="s">
        <v>198</v>
      </c>
      <c r="I190" s="11" t="s">
        <v>198</v>
      </c>
      <c r="J190" s="11" t="s">
        <v>198</v>
      </c>
      <c r="K190" s="11" t="s">
        <v>198</v>
      </c>
      <c r="L190" s="11" t="s">
        <v>198</v>
      </c>
      <c r="M190" s="11" t="s">
        <v>198</v>
      </c>
      <c r="N190" s="11" t="s">
        <v>198</v>
      </c>
      <c r="O190" s="11" t="s">
        <v>198</v>
      </c>
      <c r="P190" s="11" t="s">
        <v>198</v>
      </c>
      <c r="Q190" s="11" t="s">
        <v>198</v>
      </c>
      <c r="R190" s="11" t="s">
        <v>198</v>
      </c>
      <c r="S190" s="11" t="s">
        <v>198</v>
      </c>
      <c r="T190" s="11" t="s">
        <v>198</v>
      </c>
      <c r="U190" s="11" t="s">
        <v>198</v>
      </c>
      <c r="V190" s="11" t="s">
        <v>198</v>
      </c>
      <c r="W190" s="11" t="s">
        <v>198</v>
      </c>
      <c r="X190" s="11" t="s">
        <v>198</v>
      </c>
      <c r="Y190" s="117" t="s">
        <v>912</v>
      </c>
      <c r="Z190" s="21" t="s">
        <v>198</v>
      </c>
      <c r="AA190" s="91"/>
      <c r="AB190" s="22"/>
      <c r="AC190" s="59" t="s">
        <v>355</v>
      </c>
      <c r="AD190" s="9" t="s">
        <v>355</v>
      </c>
      <c r="AE190" s="22"/>
      <c r="AF190" s="22"/>
    </row>
    <row r="191" spans="2:32" x14ac:dyDescent="0.2">
      <c r="B191" s="117" t="s">
        <v>900</v>
      </c>
      <c r="C191" s="9" t="s">
        <v>619</v>
      </c>
      <c r="D191" s="117" t="s">
        <v>900</v>
      </c>
      <c r="E191" s="11" t="s">
        <v>198</v>
      </c>
      <c r="F191" s="11" t="s">
        <v>198</v>
      </c>
      <c r="G191" s="11" t="s">
        <v>198</v>
      </c>
      <c r="H191" s="11" t="s">
        <v>198</v>
      </c>
      <c r="I191" s="11" t="s">
        <v>198</v>
      </c>
      <c r="J191" s="11" t="s">
        <v>198</v>
      </c>
      <c r="K191" s="11" t="s">
        <v>198</v>
      </c>
      <c r="L191" s="11" t="s">
        <v>198</v>
      </c>
      <c r="M191" s="11" t="s">
        <v>198</v>
      </c>
      <c r="N191" s="11" t="s">
        <v>198</v>
      </c>
      <c r="O191" s="11" t="s">
        <v>198</v>
      </c>
      <c r="P191" s="11" t="s">
        <v>198</v>
      </c>
      <c r="Q191" s="11" t="s">
        <v>198</v>
      </c>
      <c r="R191" s="11" t="s">
        <v>198</v>
      </c>
      <c r="S191" s="11" t="s">
        <v>198</v>
      </c>
      <c r="T191" s="11" t="s">
        <v>198</v>
      </c>
      <c r="U191" s="11" t="s">
        <v>198</v>
      </c>
      <c r="V191" s="11" t="s">
        <v>198</v>
      </c>
      <c r="W191" s="11" t="s">
        <v>198</v>
      </c>
      <c r="X191" s="11" t="s">
        <v>198</v>
      </c>
      <c r="Y191" s="117" t="s">
        <v>900</v>
      </c>
      <c r="Z191" s="21" t="s">
        <v>198</v>
      </c>
      <c r="AA191" s="91"/>
      <c r="AB191" s="22"/>
      <c r="AC191" s="59" t="s">
        <v>355</v>
      </c>
      <c r="AD191" s="9" t="s">
        <v>355</v>
      </c>
      <c r="AE191" s="22"/>
      <c r="AF191" s="22"/>
    </row>
    <row r="192" spans="2:32" x14ac:dyDescent="0.2">
      <c r="B192" s="117" t="s">
        <v>967</v>
      </c>
      <c r="C192" s="9" t="s">
        <v>620</v>
      </c>
      <c r="D192" s="117" t="s">
        <v>967</v>
      </c>
      <c r="E192" s="11" t="s">
        <v>198</v>
      </c>
      <c r="F192" s="11" t="s">
        <v>198</v>
      </c>
      <c r="G192" s="11" t="s">
        <v>198</v>
      </c>
      <c r="H192" s="11" t="s">
        <v>198</v>
      </c>
      <c r="I192" s="11" t="s">
        <v>198</v>
      </c>
      <c r="J192" s="11" t="s">
        <v>198</v>
      </c>
      <c r="K192" s="11" t="s">
        <v>198</v>
      </c>
      <c r="L192" s="11" t="s">
        <v>198</v>
      </c>
      <c r="M192" s="11" t="s">
        <v>198</v>
      </c>
      <c r="N192" s="11" t="s">
        <v>198</v>
      </c>
      <c r="O192" s="11" t="s">
        <v>198</v>
      </c>
      <c r="P192" s="11" t="s">
        <v>198</v>
      </c>
      <c r="Q192" s="11" t="s">
        <v>198</v>
      </c>
      <c r="R192" s="11" t="s">
        <v>198</v>
      </c>
      <c r="S192" s="11" t="s">
        <v>198</v>
      </c>
      <c r="T192" s="11" t="s">
        <v>198</v>
      </c>
      <c r="U192" s="11" t="s">
        <v>198</v>
      </c>
      <c r="V192" s="11" t="s">
        <v>198</v>
      </c>
      <c r="W192" s="11" t="s">
        <v>198</v>
      </c>
      <c r="X192" s="11" t="s">
        <v>198</v>
      </c>
      <c r="Y192" s="117" t="s">
        <v>967</v>
      </c>
      <c r="Z192" s="21" t="s">
        <v>198</v>
      </c>
      <c r="AA192" s="91"/>
      <c r="AB192" s="22"/>
      <c r="AC192" s="59" t="s">
        <v>355</v>
      </c>
      <c r="AD192" s="9" t="s">
        <v>355</v>
      </c>
      <c r="AE192" s="22"/>
      <c r="AF192" s="22"/>
    </row>
    <row r="193" spans="2:32" x14ac:dyDescent="0.2">
      <c r="B193" s="117" t="s">
        <v>968</v>
      </c>
      <c r="C193" s="9" t="s">
        <v>546</v>
      </c>
      <c r="D193" s="117" t="s">
        <v>968</v>
      </c>
      <c r="E193" s="11" t="s">
        <v>198</v>
      </c>
      <c r="F193" s="11" t="s">
        <v>198</v>
      </c>
      <c r="G193" s="11" t="s">
        <v>198</v>
      </c>
      <c r="H193" s="11" t="s">
        <v>198</v>
      </c>
      <c r="I193" s="11" t="s">
        <v>198</v>
      </c>
      <c r="J193" s="11" t="s">
        <v>198</v>
      </c>
      <c r="K193" s="11" t="s">
        <v>198</v>
      </c>
      <c r="L193" s="11" t="s">
        <v>198</v>
      </c>
      <c r="M193" s="11" t="s">
        <v>198</v>
      </c>
      <c r="N193" s="11" t="s">
        <v>198</v>
      </c>
      <c r="O193" s="11" t="s">
        <v>198</v>
      </c>
      <c r="P193" s="11" t="s">
        <v>198</v>
      </c>
      <c r="Q193" s="11" t="s">
        <v>198</v>
      </c>
      <c r="R193" s="11" t="s">
        <v>198</v>
      </c>
      <c r="S193" s="11" t="s">
        <v>198</v>
      </c>
      <c r="T193" s="11" t="s">
        <v>198</v>
      </c>
      <c r="U193" s="11" t="s">
        <v>198</v>
      </c>
      <c r="V193" s="11" t="s">
        <v>198</v>
      </c>
      <c r="W193" s="11" t="s">
        <v>198</v>
      </c>
      <c r="X193" s="11" t="s">
        <v>198</v>
      </c>
      <c r="Y193" s="117" t="s">
        <v>968</v>
      </c>
      <c r="Z193" s="21" t="s">
        <v>198</v>
      </c>
      <c r="AA193" s="91"/>
      <c r="AB193" s="22"/>
      <c r="AC193" s="59" t="s">
        <v>355</v>
      </c>
      <c r="AD193" s="9" t="s">
        <v>355</v>
      </c>
      <c r="AE193" s="22"/>
      <c r="AF193" s="22"/>
    </row>
    <row r="194" spans="2:32" x14ac:dyDescent="0.2">
      <c r="B194" s="117" t="s">
        <v>969</v>
      </c>
      <c r="C194" s="9" t="s">
        <v>545</v>
      </c>
      <c r="D194" s="117" t="s">
        <v>969</v>
      </c>
      <c r="E194" s="11" t="s">
        <v>198</v>
      </c>
      <c r="F194" s="11" t="s">
        <v>198</v>
      </c>
      <c r="G194" s="11" t="s">
        <v>198</v>
      </c>
      <c r="H194" s="11" t="s">
        <v>198</v>
      </c>
      <c r="I194" s="11" t="s">
        <v>198</v>
      </c>
      <c r="J194" s="11" t="s">
        <v>198</v>
      </c>
      <c r="K194" s="11" t="s">
        <v>198</v>
      </c>
      <c r="L194" s="11" t="s">
        <v>198</v>
      </c>
      <c r="M194" s="11" t="s">
        <v>198</v>
      </c>
      <c r="N194" s="11" t="s">
        <v>198</v>
      </c>
      <c r="O194" s="11" t="s">
        <v>198</v>
      </c>
      <c r="P194" s="11" t="s">
        <v>198</v>
      </c>
      <c r="Q194" s="11" t="s">
        <v>198</v>
      </c>
      <c r="R194" s="11" t="s">
        <v>198</v>
      </c>
      <c r="S194" s="11" t="s">
        <v>198</v>
      </c>
      <c r="T194" s="11" t="s">
        <v>198</v>
      </c>
      <c r="U194" s="11" t="s">
        <v>198</v>
      </c>
      <c r="V194" s="11" t="s">
        <v>198</v>
      </c>
      <c r="W194" s="11" t="s">
        <v>198</v>
      </c>
      <c r="X194" s="11" t="s">
        <v>198</v>
      </c>
      <c r="Y194" s="117" t="s">
        <v>969</v>
      </c>
      <c r="Z194" s="21" t="s">
        <v>198</v>
      </c>
      <c r="AA194" s="91"/>
      <c r="AB194" s="22"/>
      <c r="AC194" s="59" t="s">
        <v>355</v>
      </c>
      <c r="AD194" s="9" t="s">
        <v>355</v>
      </c>
      <c r="AE194" s="22"/>
      <c r="AF194" s="22"/>
    </row>
    <row r="195" spans="2:32" x14ac:dyDescent="0.2">
      <c r="B195" s="117" t="s">
        <v>875</v>
      </c>
      <c r="C195" s="9" t="s">
        <v>622</v>
      </c>
      <c r="D195" s="117" t="s">
        <v>875</v>
      </c>
      <c r="E195" s="11" t="s">
        <v>198</v>
      </c>
      <c r="F195" s="11" t="s">
        <v>198</v>
      </c>
      <c r="G195" s="11" t="s">
        <v>198</v>
      </c>
      <c r="H195" s="11" t="s">
        <v>198</v>
      </c>
      <c r="I195" s="11" t="s">
        <v>198</v>
      </c>
      <c r="J195" s="11" t="s">
        <v>198</v>
      </c>
      <c r="K195" s="11" t="s">
        <v>198</v>
      </c>
      <c r="L195" s="11" t="s">
        <v>198</v>
      </c>
      <c r="M195" s="11" t="s">
        <v>198</v>
      </c>
      <c r="N195" s="11" t="s">
        <v>198</v>
      </c>
      <c r="O195" s="11" t="s">
        <v>198</v>
      </c>
      <c r="P195" s="11" t="s">
        <v>198</v>
      </c>
      <c r="Q195" s="11" t="s">
        <v>198</v>
      </c>
      <c r="R195" s="11" t="s">
        <v>198</v>
      </c>
      <c r="S195" s="11" t="s">
        <v>198</v>
      </c>
      <c r="T195" s="11" t="s">
        <v>198</v>
      </c>
      <c r="U195" s="11" t="s">
        <v>198</v>
      </c>
      <c r="V195" s="11" t="s">
        <v>198</v>
      </c>
      <c r="W195" s="11" t="s">
        <v>198</v>
      </c>
      <c r="X195" s="11" t="s">
        <v>198</v>
      </c>
      <c r="Y195" s="117" t="s">
        <v>875</v>
      </c>
      <c r="Z195" s="21" t="s">
        <v>198</v>
      </c>
      <c r="AA195" s="91"/>
      <c r="AB195" s="22"/>
      <c r="AC195" s="59" t="s">
        <v>355</v>
      </c>
      <c r="AD195" s="9" t="s">
        <v>355</v>
      </c>
      <c r="AE195" s="22"/>
      <c r="AF195" s="22"/>
    </row>
    <row r="196" spans="2:32" x14ac:dyDescent="0.2">
      <c r="B196" s="117" t="s">
        <v>970</v>
      </c>
      <c r="C196" s="9" t="s">
        <v>621</v>
      </c>
      <c r="D196" s="117" t="s">
        <v>970</v>
      </c>
      <c r="E196" s="11" t="s">
        <v>198</v>
      </c>
      <c r="F196" s="11" t="s">
        <v>198</v>
      </c>
      <c r="G196" s="11" t="s">
        <v>198</v>
      </c>
      <c r="H196" s="11" t="s">
        <v>198</v>
      </c>
      <c r="I196" s="11" t="s">
        <v>198</v>
      </c>
      <c r="J196" s="11" t="s">
        <v>198</v>
      </c>
      <c r="K196" s="11" t="s">
        <v>198</v>
      </c>
      <c r="L196" s="11" t="s">
        <v>198</v>
      </c>
      <c r="M196" s="11" t="s">
        <v>198</v>
      </c>
      <c r="N196" s="11" t="s">
        <v>198</v>
      </c>
      <c r="O196" s="11" t="s">
        <v>198</v>
      </c>
      <c r="P196" s="11" t="s">
        <v>198</v>
      </c>
      <c r="Q196" s="11" t="s">
        <v>198</v>
      </c>
      <c r="R196" s="11" t="s">
        <v>198</v>
      </c>
      <c r="S196" s="11" t="s">
        <v>198</v>
      </c>
      <c r="T196" s="11" t="s">
        <v>198</v>
      </c>
      <c r="U196" s="11" t="s">
        <v>198</v>
      </c>
      <c r="V196" s="11" t="s">
        <v>198</v>
      </c>
      <c r="W196" s="11" t="s">
        <v>198</v>
      </c>
      <c r="X196" s="11" t="s">
        <v>198</v>
      </c>
      <c r="Y196" s="117" t="s">
        <v>970</v>
      </c>
      <c r="Z196" s="21" t="s">
        <v>198</v>
      </c>
      <c r="AA196" s="91"/>
      <c r="AB196" s="22"/>
      <c r="AC196" s="59" t="s">
        <v>355</v>
      </c>
      <c r="AD196" s="9" t="s">
        <v>355</v>
      </c>
      <c r="AE196" s="22"/>
      <c r="AF196" s="22"/>
    </row>
    <row r="197" spans="2:32" x14ac:dyDescent="0.2">
      <c r="B197" s="117" t="s">
        <v>971</v>
      </c>
      <c r="C197" s="9" t="s">
        <v>549</v>
      </c>
      <c r="D197" s="117" t="s">
        <v>971</v>
      </c>
      <c r="E197" s="11" t="s">
        <v>198</v>
      </c>
      <c r="F197" s="11" t="s">
        <v>198</v>
      </c>
      <c r="G197" s="11" t="s">
        <v>198</v>
      </c>
      <c r="H197" s="11" t="s">
        <v>198</v>
      </c>
      <c r="I197" s="11" t="s">
        <v>198</v>
      </c>
      <c r="J197" s="11" t="s">
        <v>198</v>
      </c>
      <c r="K197" s="11" t="s">
        <v>198</v>
      </c>
      <c r="L197" s="11" t="s">
        <v>198</v>
      </c>
      <c r="M197" s="11" t="s">
        <v>198</v>
      </c>
      <c r="N197" s="11" t="s">
        <v>198</v>
      </c>
      <c r="O197" s="11" t="s">
        <v>198</v>
      </c>
      <c r="P197" s="11" t="s">
        <v>198</v>
      </c>
      <c r="Q197" s="11" t="s">
        <v>198</v>
      </c>
      <c r="R197" s="11" t="s">
        <v>198</v>
      </c>
      <c r="S197" s="11" t="s">
        <v>198</v>
      </c>
      <c r="T197" s="11" t="s">
        <v>198</v>
      </c>
      <c r="U197" s="11" t="s">
        <v>198</v>
      </c>
      <c r="V197" s="11" t="s">
        <v>198</v>
      </c>
      <c r="W197" s="11" t="s">
        <v>198</v>
      </c>
      <c r="X197" s="11" t="s">
        <v>198</v>
      </c>
      <c r="Y197" s="117" t="s">
        <v>971</v>
      </c>
      <c r="Z197" s="21" t="s">
        <v>198</v>
      </c>
      <c r="AA197" s="91"/>
      <c r="AB197" s="22"/>
      <c r="AC197" s="59" t="s">
        <v>355</v>
      </c>
      <c r="AD197" s="9" t="s">
        <v>355</v>
      </c>
      <c r="AE197" s="22"/>
      <c r="AF197" s="22"/>
    </row>
    <row r="198" spans="2:32" x14ac:dyDescent="0.2">
      <c r="B198" s="117" t="s">
        <v>873</v>
      </c>
      <c r="C198" s="9" t="s">
        <v>550</v>
      </c>
      <c r="D198" s="117" t="s">
        <v>873</v>
      </c>
      <c r="E198" s="11" t="s">
        <v>198</v>
      </c>
      <c r="F198" s="11" t="s">
        <v>198</v>
      </c>
      <c r="G198" s="11" t="s">
        <v>198</v>
      </c>
      <c r="H198" s="11" t="s">
        <v>198</v>
      </c>
      <c r="I198" s="11" t="s">
        <v>198</v>
      </c>
      <c r="J198" s="11" t="s">
        <v>198</v>
      </c>
      <c r="K198" s="11" t="s">
        <v>198</v>
      </c>
      <c r="L198" s="11" t="s">
        <v>198</v>
      </c>
      <c r="M198" s="11" t="s">
        <v>198</v>
      </c>
      <c r="N198" s="11" t="s">
        <v>198</v>
      </c>
      <c r="O198" s="11" t="s">
        <v>198</v>
      </c>
      <c r="P198" s="11" t="s">
        <v>198</v>
      </c>
      <c r="Q198" s="11" t="s">
        <v>198</v>
      </c>
      <c r="R198" s="11" t="s">
        <v>198</v>
      </c>
      <c r="S198" s="11" t="s">
        <v>198</v>
      </c>
      <c r="T198" s="11" t="s">
        <v>198</v>
      </c>
      <c r="U198" s="11" t="s">
        <v>198</v>
      </c>
      <c r="V198" s="11" t="s">
        <v>198</v>
      </c>
      <c r="W198" s="11" t="s">
        <v>198</v>
      </c>
      <c r="X198" s="11" t="s">
        <v>198</v>
      </c>
      <c r="Y198" s="117" t="s">
        <v>873</v>
      </c>
      <c r="Z198" s="21" t="s">
        <v>198</v>
      </c>
      <c r="AA198" s="91"/>
      <c r="AB198" s="22"/>
      <c r="AC198" s="59" t="s">
        <v>355</v>
      </c>
      <c r="AD198" s="9" t="s">
        <v>355</v>
      </c>
      <c r="AE198" s="22"/>
      <c r="AF198" s="22"/>
    </row>
    <row r="199" spans="2:32" x14ac:dyDescent="0.2">
      <c r="B199" s="117" t="s">
        <v>972</v>
      </c>
      <c r="C199" s="9" t="s">
        <v>973</v>
      </c>
      <c r="D199" s="117" t="s">
        <v>972</v>
      </c>
      <c r="E199" s="11" t="s">
        <v>198</v>
      </c>
      <c r="F199" s="11" t="s">
        <v>198</v>
      </c>
      <c r="G199" s="11" t="s">
        <v>198</v>
      </c>
      <c r="H199" s="11" t="s">
        <v>198</v>
      </c>
      <c r="I199" s="11" t="s">
        <v>198</v>
      </c>
      <c r="J199" s="11" t="s">
        <v>198</v>
      </c>
      <c r="K199" s="11" t="s">
        <v>198</v>
      </c>
      <c r="L199" s="11" t="s">
        <v>198</v>
      </c>
      <c r="M199" s="11" t="s">
        <v>198</v>
      </c>
      <c r="N199" s="11" t="s">
        <v>198</v>
      </c>
      <c r="O199" s="11" t="s">
        <v>198</v>
      </c>
      <c r="P199" s="11" t="s">
        <v>198</v>
      </c>
      <c r="Q199" s="11" t="s">
        <v>198</v>
      </c>
      <c r="R199" s="11" t="s">
        <v>198</v>
      </c>
      <c r="S199" s="11" t="s">
        <v>198</v>
      </c>
      <c r="T199" s="11" t="s">
        <v>198</v>
      </c>
      <c r="U199" s="11" t="s">
        <v>198</v>
      </c>
      <c r="V199" s="11" t="s">
        <v>198</v>
      </c>
      <c r="W199" s="11" t="s">
        <v>198</v>
      </c>
      <c r="X199" s="11" t="s">
        <v>198</v>
      </c>
      <c r="Y199" s="117" t="s">
        <v>972</v>
      </c>
      <c r="Z199" s="21" t="s">
        <v>198</v>
      </c>
      <c r="AA199" s="91"/>
      <c r="AB199" s="22"/>
      <c r="AC199" s="59" t="s">
        <v>355</v>
      </c>
      <c r="AD199" s="9" t="s">
        <v>355</v>
      </c>
      <c r="AE199" s="22"/>
      <c r="AF199" s="22"/>
    </row>
    <row r="200" spans="2:32" x14ac:dyDescent="0.2">
      <c r="B200" s="117" t="s">
        <v>872</v>
      </c>
      <c r="C200" s="9" t="s">
        <v>548</v>
      </c>
      <c r="D200" s="117" t="s">
        <v>872</v>
      </c>
      <c r="E200" s="11" t="s">
        <v>198</v>
      </c>
      <c r="F200" s="11" t="s">
        <v>198</v>
      </c>
      <c r="G200" s="11" t="s">
        <v>198</v>
      </c>
      <c r="H200" s="11" t="s">
        <v>198</v>
      </c>
      <c r="I200" s="11" t="s">
        <v>198</v>
      </c>
      <c r="J200" s="11" t="s">
        <v>198</v>
      </c>
      <c r="K200" s="11" t="s">
        <v>198</v>
      </c>
      <c r="L200" s="11" t="s">
        <v>198</v>
      </c>
      <c r="M200" s="11" t="s">
        <v>198</v>
      </c>
      <c r="N200" s="11" t="s">
        <v>198</v>
      </c>
      <c r="O200" s="11" t="s">
        <v>198</v>
      </c>
      <c r="P200" s="11" t="s">
        <v>198</v>
      </c>
      <c r="Q200" s="11" t="s">
        <v>198</v>
      </c>
      <c r="R200" s="11" t="s">
        <v>198</v>
      </c>
      <c r="S200" s="11" t="s">
        <v>198</v>
      </c>
      <c r="T200" s="11" t="s">
        <v>198</v>
      </c>
      <c r="U200" s="11" t="s">
        <v>198</v>
      </c>
      <c r="V200" s="11" t="s">
        <v>198</v>
      </c>
      <c r="W200" s="11" t="s">
        <v>198</v>
      </c>
      <c r="X200" s="11" t="s">
        <v>198</v>
      </c>
      <c r="Y200" s="117" t="s">
        <v>872</v>
      </c>
      <c r="Z200" s="21" t="s">
        <v>198</v>
      </c>
      <c r="AA200" s="91"/>
      <c r="AB200" s="22"/>
      <c r="AC200" s="59" t="s">
        <v>355</v>
      </c>
      <c r="AD200" s="9" t="s">
        <v>355</v>
      </c>
      <c r="AE200" s="22"/>
      <c r="AF200" s="22"/>
    </row>
    <row r="201" spans="2:32" x14ac:dyDescent="0.2">
      <c r="B201" s="117" t="s">
        <v>871</v>
      </c>
      <c r="C201" s="9" t="s">
        <v>551</v>
      </c>
      <c r="D201" s="117" t="s">
        <v>871</v>
      </c>
      <c r="E201" s="11" t="s">
        <v>198</v>
      </c>
      <c r="F201" s="11" t="s">
        <v>198</v>
      </c>
      <c r="G201" s="11" t="s">
        <v>198</v>
      </c>
      <c r="H201" s="11" t="s">
        <v>198</v>
      </c>
      <c r="I201" s="11" t="s">
        <v>198</v>
      </c>
      <c r="J201" s="11" t="s">
        <v>198</v>
      </c>
      <c r="K201" s="11" t="s">
        <v>198</v>
      </c>
      <c r="L201" s="11" t="s">
        <v>198</v>
      </c>
      <c r="M201" s="11" t="s">
        <v>198</v>
      </c>
      <c r="N201" s="11" t="s">
        <v>198</v>
      </c>
      <c r="O201" s="11" t="s">
        <v>198</v>
      </c>
      <c r="P201" s="11" t="s">
        <v>198</v>
      </c>
      <c r="Q201" s="11" t="s">
        <v>198</v>
      </c>
      <c r="R201" s="11" t="s">
        <v>198</v>
      </c>
      <c r="S201" s="11" t="s">
        <v>198</v>
      </c>
      <c r="T201" s="11" t="s">
        <v>198</v>
      </c>
      <c r="U201" s="11" t="s">
        <v>198</v>
      </c>
      <c r="V201" s="11" t="s">
        <v>198</v>
      </c>
      <c r="W201" s="11" t="s">
        <v>198</v>
      </c>
      <c r="X201" s="11" t="s">
        <v>198</v>
      </c>
      <c r="Y201" s="117" t="s">
        <v>871</v>
      </c>
      <c r="Z201" s="21" t="s">
        <v>198</v>
      </c>
      <c r="AA201" s="91"/>
      <c r="AB201" s="22"/>
      <c r="AC201" s="59" t="s">
        <v>355</v>
      </c>
      <c r="AD201" s="9" t="s">
        <v>355</v>
      </c>
      <c r="AE201" s="22"/>
      <c r="AF201" s="22"/>
    </row>
    <row r="202" spans="2:32" x14ac:dyDescent="0.2">
      <c r="B202" s="117" t="s">
        <v>974</v>
      </c>
      <c r="C202" s="9" t="s">
        <v>553</v>
      </c>
      <c r="D202" s="117" t="s">
        <v>974</v>
      </c>
      <c r="E202" s="11" t="s">
        <v>198</v>
      </c>
      <c r="F202" s="11" t="s">
        <v>198</v>
      </c>
      <c r="G202" s="11" t="s">
        <v>198</v>
      </c>
      <c r="H202" s="11" t="s">
        <v>198</v>
      </c>
      <c r="I202" s="11" t="s">
        <v>198</v>
      </c>
      <c r="J202" s="11" t="s">
        <v>198</v>
      </c>
      <c r="K202" s="11" t="s">
        <v>198</v>
      </c>
      <c r="L202" s="11" t="s">
        <v>198</v>
      </c>
      <c r="M202" s="11" t="s">
        <v>198</v>
      </c>
      <c r="N202" s="11" t="s">
        <v>198</v>
      </c>
      <c r="O202" s="11" t="s">
        <v>198</v>
      </c>
      <c r="P202" s="11" t="s">
        <v>198</v>
      </c>
      <c r="Q202" s="11" t="s">
        <v>198</v>
      </c>
      <c r="R202" s="11" t="s">
        <v>198</v>
      </c>
      <c r="S202" s="11" t="s">
        <v>198</v>
      </c>
      <c r="T202" s="11" t="s">
        <v>198</v>
      </c>
      <c r="U202" s="11" t="s">
        <v>198</v>
      </c>
      <c r="V202" s="11" t="s">
        <v>198</v>
      </c>
      <c r="W202" s="11" t="s">
        <v>198</v>
      </c>
      <c r="X202" s="11" t="s">
        <v>198</v>
      </c>
      <c r="Y202" s="117" t="s">
        <v>974</v>
      </c>
      <c r="Z202" s="21" t="s">
        <v>198</v>
      </c>
      <c r="AA202" s="91"/>
      <c r="AB202" s="22"/>
      <c r="AC202" s="59" t="s">
        <v>355</v>
      </c>
      <c r="AD202" s="9" t="s">
        <v>355</v>
      </c>
      <c r="AE202" s="22"/>
      <c r="AF202" s="22"/>
    </row>
    <row r="203" spans="2:32" x14ac:dyDescent="0.2">
      <c r="B203" s="117" t="s">
        <v>975</v>
      </c>
      <c r="C203" s="9" t="s">
        <v>555</v>
      </c>
      <c r="D203" s="117" t="s">
        <v>975</v>
      </c>
      <c r="E203" s="11" t="s">
        <v>198</v>
      </c>
      <c r="F203" s="11" t="s">
        <v>198</v>
      </c>
      <c r="G203" s="11" t="s">
        <v>198</v>
      </c>
      <c r="H203" s="11" t="s">
        <v>198</v>
      </c>
      <c r="I203" s="11" t="s">
        <v>198</v>
      </c>
      <c r="J203" s="11" t="s">
        <v>198</v>
      </c>
      <c r="K203" s="11" t="s">
        <v>198</v>
      </c>
      <c r="L203" s="11" t="s">
        <v>198</v>
      </c>
      <c r="M203" s="11" t="s">
        <v>198</v>
      </c>
      <c r="N203" s="11" t="s">
        <v>198</v>
      </c>
      <c r="O203" s="11" t="s">
        <v>198</v>
      </c>
      <c r="P203" s="11" t="s">
        <v>198</v>
      </c>
      <c r="Q203" s="11" t="s">
        <v>198</v>
      </c>
      <c r="R203" s="11" t="s">
        <v>198</v>
      </c>
      <c r="S203" s="11" t="s">
        <v>198</v>
      </c>
      <c r="T203" s="11" t="s">
        <v>198</v>
      </c>
      <c r="U203" s="11" t="s">
        <v>198</v>
      </c>
      <c r="V203" s="11" t="s">
        <v>198</v>
      </c>
      <c r="W203" s="11" t="s">
        <v>198</v>
      </c>
      <c r="X203" s="11" t="s">
        <v>198</v>
      </c>
      <c r="Y203" s="117" t="s">
        <v>975</v>
      </c>
      <c r="Z203" s="21" t="s">
        <v>198</v>
      </c>
      <c r="AA203" s="91"/>
      <c r="AB203" s="22"/>
      <c r="AC203" s="59" t="s">
        <v>355</v>
      </c>
      <c r="AD203" s="9" t="s">
        <v>355</v>
      </c>
      <c r="AE203" s="22"/>
      <c r="AF203" s="22"/>
    </row>
    <row r="204" spans="2:32" x14ac:dyDescent="0.2">
      <c r="B204" s="117" t="s">
        <v>976</v>
      </c>
      <c r="C204" s="9" t="s">
        <v>554</v>
      </c>
      <c r="D204" s="117" t="s">
        <v>976</v>
      </c>
      <c r="E204" s="11" t="s">
        <v>198</v>
      </c>
      <c r="F204" s="11" t="s">
        <v>198</v>
      </c>
      <c r="G204" s="11" t="s">
        <v>198</v>
      </c>
      <c r="H204" s="11" t="s">
        <v>198</v>
      </c>
      <c r="I204" s="11" t="s">
        <v>198</v>
      </c>
      <c r="J204" s="11" t="s">
        <v>198</v>
      </c>
      <c r="K204" s="11" t="s">
        <v>198</v>
      </c>
      <c r="L204" s="11" t="s">
        <v>198</v>
      </c>
      <c r="M204" s="11" t="s">
        <v>198</v>
      </c>
      <c r="N204" s="11" t="s">
        <v>198</v>
      </c>
      <c r="O204" s="11" t="s">
        <v>198</v>
      </c>
      <c r="P204" s="11" t="s">
        <v>198</v>
      </c>
      <c r="Q204" s="11" t="s">
        <v>198</v>
      </c>
      <c r="R204" s="11" t="s">
        <v>198</v>
      </c>
      <c r="S204" s="11" t="s">
        <v>198</v>
      </c>
      <c r="T204" s="11" t="s">
        <v>198</v>
      </c>
      <c r="U204" s="11" t="s">
        <v>198</v>
      </c>
      <c r="V204" s="11" t="s">
        <v>198</v>
      </c>
      <c r="W204" s="11" t="s">
        <v>198</v>
      </c>
      <c r="X204" s="11" t="s">
        <v>198</v>
      </c>
      <c r="Y204" s="117" t="s">
        <v>976</v>
      </c>
      <c r="Z204" s="21" t="s">
        <v>198</v>
      </c>
      <c r="AA204" s="91"/>
      <c r="AB204" s="22"/>
      <c r="AC204" s="59" t="s">
        <v>355</v>
      </c>
      <c r="AD204" s="9" t="s">
        <v>355</v>
      </c>
      <c r="AE204" s="22"/>
      <c r="AF204" s="22"/>
    </row>
    <row r="205" spans="2:32" x14ac:dyDescent="0.2">
      <c r="B205" s="117" t="s">
        <v>869</v>
      </c>
      <c r="C205" s="9" t="s">
        <v>552</v>
      </c>
      <c r="D205" s="117" t="s">
        <v>869</v>
      </c>
      <c r="E205" s="11" t="s">
        <v>198</v>
      </c>
      <c r="F205" s="11" t="s">
        <v>198</v>
      </c>
      <c r="G205" s="11" t="s">
        <v>198</v>
      </c>
      <c r="H205" s="11" t="s">
        <v>198</v>
      </c>
      <c r="I205" s="11" t="s">
        <v>198</v>
      </c>
      <c r="J205" s="11" t="s">
        <v>198</v>
      </c>
      <c r="K205" s="11" t="s">
        <v>198</v>
      </c>
      <c r="L205" s="11" t="s">
        <v>198</v>
      </c>
      <c r="M205" s="11" t="s">
        <v>198</v>
      </c>
      <c r="N205" s="11" t="s">
        <v>198</v>
      </c>
      <c r="O205" s="11" t="s">
        <v>198</v>
      </c>
      <c r="P205" s="11" t="s">
        <v>198</v>
      </c>
      <c r="Q205" s="11" t="s">
        <v>198</v>
      </c>
      <c r="R205" s="11" t="s">
        <v>198</v>
      </c>
      <c r="S205" s="11" t="s">
        <v>198</v>
      </c>
      <c r="T205" s="11" t="s">
        <v>198</v>
      </c>
      <c r="U205" s="11" t="s">
        <v>198</v>
      </c>
      <c r="V205" s="11" t="s">
        <v>198</v>
      </c>
      <c r="W205" s="11" t="s">
        <v>198</v>
      </c>
      <c r="X205" s="11" t="s">
        <v>198</v>
      </c>
      <c r="Y205" s="117" t="s">
        <v>869</v>
      </c>
      <c r="Z205" s="21" t="s">
        <v>198</v>
      </c>
      <c r="AA205" s="91"/>
      <c r="AB205" s="22"/>
      <c r="AC205" s="59" t="s">
        <v>355</v>
      </c>
      <c r="AD205" s="9" t="s">
        <v>355</v>
      </c>
      <c r="AE205" s="22"/>
      <c r="AF205" s="22"/>
    </row>
    <row r="206" spans="2:32" x14ac:dyDescent="0.2">
      <c r="B206" s="117" t="s">
        <v>977</v>
      </c>
      <c r="C206" s="9" t="s">
        <v>557</v>
      </c>
      <c r="D206" s="117" t="s">
        <v>977</v>
      </c>
      <c r="E206" s="11" t="s">
        <v>198</v>
      </c>
      <c r="F206" s="11" t="s">
        <v>198</v>
      </c>
      <c r="G206" s="11" t="s">
        <v>198</v>
      </c>
      <c r="H206" s="11" t="s">
        <v>198</v>
      </c>
      <c r="I206" s="11" t="s">
        <v>198</v>
      </c>
      <c r="J206" s="11" t="s">
        <v>198</v>
      </c>
      <c r="K206" s="11" t="s">
        <v>198</v>
      </c>
      <c r="L206" s="11" t="s">
        <v>198</v>
      </c>
      <c r="M206" s="11" t="s">
        <v>198</v>
      </c>
      <c r="N206" s="11" t="s">
        <v>198</v>
      </c>
      <c r="O206" s="11" t="s">
        <v>198</v>
      </c>
      <c r="P206" s="11" t="s">
        <v>198</v>
      </c>
      <c r="Q206" s="11" t="s">
        <v>198</v>
      </c>
      <c r="R206" s="11" t="s">
        <v>198</v>
      </c>
      <c r="S206" s="11" t="s">
        <v>198</v>
      </c>
      <c r="T206" s="11" t="s">
        <v>198</v>
      </c>
      <c r="U206" s="11" t="s">
        <v>198</v>
      </c>
      <c r="V206" s="11" t="s">
        <v>198</v>
      </c>
      <c r="W206" s="11" t="s">
        <v>198</v>
      </c>
      <c r="X206" s="11" t="s">
        <v>198</v>
      </c>
      <c r="Y206" s="117" t="s">
        <v>977</v>
      </c>
      <c r="Z206" s="21" t="s">
        <v>198</v>
      </c>
      <c r="AA206" s="91"/>
      <c r="AB206" s="22"/>
      <c r="AC206" s="59" t="s">
        <v>355</v>
      </c>
      <c r="AD206" s="9" t="s">
        <v>355</v>
      </c>
      <c r="AE206" s="22"/>
      <c r="AF206" s="22"/>
    </row>
    <row r="207" spans="2:32" x14ac:dyDescent="0.2">
      <c r="B207" s="117" t="s">
        <v>868</v>
      </c>
      <c r="C207" s="9" t="s">
        <v>978</v>
      </c>
      <c r="D207" s="117" t="s">
        <v>868</v>
      </c>
      <c r="E207" s="11" t="s">
        <v>198</v>
      </c>
      <c r="F207" s="11" t="s">
        <v>198</v>
      </c>
      <c r="G207" s="11" t="s">
        <v>198</v>
      </c>
      <c r="H207" s="11" t="s">
        <v>198</v>
      </c>
      <c r="I207" s="11" t="s">
        <v>198</v>
      </c>
      <c r="J207" s="11" t="s">
        <v>198</v>
      </c>
      <c r="K207" s="11" t="s">
        <v>198</v>
      </c>
      <c r="L207" s="11" t="s">
        <v>198</v>
      </c>
      <c r="M207" s="11" t="s">
        <v>198</v>
      </c>
      <c r="N207" s="11" t="s">
        <v>198</v>
      </c>
      <c r="O207" s="11" t="s">
        <v>198</v>
      </c>
      <c r="P207" s="11" t="s">
        <v>198</v>
      </c>
      <c r="Q207" s="11" t="s">
        <v>198</v>
      </c>
      <c r="R207" s="11" t="s">
        <v>198</v>
      </c>
      <c r="S207" s="11" t="s">
        <v>198</v>
      </c>
      <c r="T207" s="11" t="s">
        <v>198</v>
      </c>
      <c r="U207" s="11" t="s">
        <v>198</v>
      </c>
      <c r="V207" s="11" t="s">
        <v>198</v>
      </c>
      <c r="W207" s="11" t="s">
        <v>198</v>
      </c>
      <c r="X207" s="11" t="s">
        <v>198</v>
      </c>
      <c r="Y207" s="117" t="s">
        <v>868</v>
      </c>
      <c r="Z207" s="21" t="s">
        <v>198</v>
      </c>
      <c r="AA207" s="91"/>
      <c r="AB207" s="22"/>
      <c r="AC207" s="59" t="s">
        <v>355</v>
      </c>
      <c r="AD207" s="9" t="s">
        <v>355</v>
      </c>
      <c r="AE207" s="22"/>
      <c r="AF207" s="22"/>
    </row>
    <row r="208" spans="2:32" x14ac:dyDescent="0.2">
      <c r="B208" s="117" t="s">
        <v>979</v>
      </c>
      <c r="C208" s="9" t="s">
        <v>556</v>
      </c>
      <c r="D208" s="117" t="s">
        <v>979</v>
      </c>
      <c r="E208" s="11" t="s">
        <v>198</v>
      </c>
      <c r="F208" s="11" t="s">
        <v>198</v>
      </c>
      <c r="G208" s="11" t="s">
        <v>198</v>
      </c>
      <c r="H208" s="11" t="s">
        <v>198</v>
      </c>
      <c r="I208" s="11" t="s">
        <v>198</v>
      </c>
      <c r="J208" s="11" t="s">
        <v>198</v>
      </c>
      <c r="K208" s="11" t="s">
        <v>198</v>
      </c>
      <c r="L208" s="11" t="s">
        <v>198</v>
      </c>
      <c r="M208" s="11" t="s">
        <v>198</v>
      </c>
      <c r="N208" s="11" t="s">
        <v>198</v>
      </c>
      <c r="O208" s="11" t="s">
        <v>198</v>
      </c>
      <c r="P208" s="11" t="s">
        <v>198</v>
      </c>
      <c r="Q208" s="11" t="s">
        <v>198</v>
      </c>
      <c r="R208" s="11" t="s">
        <v>198</v>
      </c>
      <c r="S208" s="11" t="s">
        <v>198</v>
      </c>
      <c r="T208" s="11" t="s">
        <v>198</v>
      </c>
      <c r="U208" s="11" t="s">
        <v>198</v>
      </c>
      <c r="V208" s="11" t="s">
        <v>198</v>
      </c>
      <c r="W208" s="11" t="s">
        <v>198</v>
      </c>
      <c r="X208" s="11" t="s">
        <v>198</v>
      </c>
      <c r="Y208" s="117" t="s">
        <v>979</v>
      </c>
      <c r="Z208" s="21" t="s">
        <v>198</v>
      </c>
      <c r="AA208" s="91"/>
      <c r="AB208" s="22"/>
      <c r="AC208" s="59" t="s">
        <v>355</v>
      </c>
      <c r="AD208" s="9" t="s">
        <v>355</v>
      </c>
      <c r="AE208" s="22"/>
      <c r="AF208" s="22"/>
    </row>
    <row r="209" spans="2:32" x14ac:dyDescent="0.2">
      <c r="B209" s="117" t="s">
        <v>980</v>
      </c>
      <c r="C209" s="9" t="s">
        <v>559</v>
      </c>
      <c r="D209" s="117" t="s">
        <v>980</v>
      </c>
      <c r="E209" s="11" t="s">
        <v>198</v>
      </c>
      <c r="F209" s="11" t="s">
        <v>198</v>
      </c>
      <c r="G209" s="11" t="s">
        <v>198</v>
      </c>
      <c r="H209" s="11" t="s">
        <v>198</v>
      </c>
      <c r="I209" s="11" t="s">
        <v>198</v>
      </c>
      <c r="J209" s="11" t="s">
        <v>198</v>
      </c>
      <c r="K209" s="11" t="s">
        <v>198</v>
      </c>
      <c r="L209" s="11" t="s">
        <v>198</v>
      </c>
      <c r="M209" s="11" t="s">
        <v>198</v>
      </c>
      <c r="N209" s="11" t="s">
        <v>198</v>
      </c>
      <c r="O209" s="11" t="s">
        <v>198</v>
      </c>
      <c r="P209" s="11" t="s">
        <v>198</v>
      </c>
      <c r="Q209" s="11" t="s">
        <v>198</v>
      </c>
      <c r="R209" s="11" t="s">
        <v>198</v>
      </c>
      <c r="S209" s="11" t="s">
        <v>198</v>
      </c>
      <c r="T209" s="11" t="s">
        <v>198</v>
      </c>
      <c r="U209" s="11" t="s">
        <v>198</v>
      </c>
      <c r="V209" s="11" t="s">
        <v>198</v>
      </c>
      <c r="W209" s="11" t="s">
        <v>198</v>
      </c>
      <c r="X209" s="11" t="s">
        <v>198</v>
      </c>
      <c r="Y209" s="117" t="s">
        <v>980</v>
      </c>
      <c r="Z209" s="21" t="s">
        <v>198</v>
      </c>
      <c r="AA209" s="91"/>
      <c r="AB209" s="22"/>
      <c r="AC209" s="59" t="s">
        <v>355</v>
      </c>
      <c r="AD209" s="9" t="s">
        <v>355</v>
      </c>
      <c r="AE209" s="22"/>
      <c r="AF209" s="22"/>
    </row>
    <row r="210" spans="2:32" x14ac:dyDescent="0.2">
      <c r="B210" s="117" t="s">
        <v>981</v>
      </c>
      <c r="C210" s="9" t="s">
        <v>982</v>
      </c>
      <c r="D210" s="117" t="s">
        <v>981</v>
      </c>
      <c r="E210" s="11" t="s">
        <v>198</v>
      </c>
      <c r="F210" s="11" t="s">
        <v>198</v>
      </c>
      <c r="G210" s="11" t="s">
        <v>198</v>
      </c>
      <c r="H210" s="11" t="s">
        <v>198</v>
      </c>
      <c r="I210" s="11" t="s">
        <v>198</v>
      </c>
      <c r="J210" s="11" t="s">
        <v>198</v>
      </c>
      <c r="K210" s="11" t="s">
        <v>198</v>
      </c>
      <c r="L210" s="11" t="s">
        <v>198</v>
      </c>
      <c r="M210" s="11" t="s">
        <v>198</v>
      </c>
      <c r="N210" s="11" t="s">
        <v>198</v>
      </c>
      <c r="O210" s="11" t="s">
        <v>198</v>
      </c>
      <c r="P210" s="11" t="s">
        <v>198</v>
      </c>
      <c r="Q210" s="11" t="s">
        <v>198</v>
      </c>
      <c r="R210" s="11" t="s">
        <v>198</v>
      </c>
      <c r="S210" s="11" t="s">
        <v>198</v>
      </c>
      <c r="T210" s="11" t="s">
        <v>198</v>
      </c>
      <c r="U210" s="11" t="s">
        <v>198</v>
      </c>
      <c r="V210" s="11" t="s">
        <v>198</v>
      </c>
      <c r="W210" s="11" t="s">
        <v>198</v>
      </c>
      <c r="X210" s="11" t="s">
        <v>198</v>
      </c>
      <c r="Y210" s="117" t="s">
        <v>981</v>
      </c>
      <c r="Z210" s="21" t="s">
        <v>198</v>
      </c>
      <c r="AA210" s="91"/>
      <c r="AB210" s="22"/>
      <c r="AC210" s="59" t="s">
        <v>355</v>
      </c>
      <c r="AD210" s="9" t="s">
        <v>355</v>
      </c>
      <c r="AE210" s="22"/>
      <c r="AF210" s="22"/>
    </row>
    <row r="211" spans="2:32" x14ac:dyDescent="0.2">
      <c r="B211" s="117" t="s">
        <v>983</v>
      </c>
      <c r="C211" s="9" t="s">
        <v>560</v>
      </c>
      <c r="D211" s="117" t="s">
        <v>983</v>
      </c>
      <c r="E211" s="11" t="s">
        <v>198</v>
      </c>
      <c r="F211" s="11" t="s">
        <v>198</v>
      </c>
      <c r="G211" s="11" t="s">
        <v>198</v>
      </c>
      <c r="H211" s="11" t="s">
        <v>198</v>
      </c>
      <c r="I211" s="11" t="s">
        <v>198</v>
      </c>
      <c r="J211" s="11" t="s">
        <v>198</v>
      </c>
      <c r="K211" s="11" t="s">
        <v>198</v>
      </c>
      <c r="L211" s="11" t="s">
        <v>198</v>
      </c>
      <c r="M211" s="11" t="s">
        <v>198</v>
      </c>
      <c r="N211" s="11" t="s">
        <v>198</v>
      </c>
      <c r="O211" s="11" t="s">
        <v>198</v>
      </c>
      <c r="P211" s="11" t="s">
        <v>198</v>
      </c>
      <c r="Q211" s="11" t="s">
        <v>198</v>
      </c>
      <c r="R211" s="11" t="s">
        <v>198</v>
      </c>
      <c r="S211" s="11" t="s">
        <v>198</v>
      </c>
      <c r="T211" s="11" t="s">
        <v>198</v>
      </c>
      <c r="U211" s="11" t="s">
        <v>198</v>
      </c>
      <c r="V211" s="11" t="s">
        <v>198</v>
      </c>
      <c r="W211" s="11" t="s">
        <v>198</v>
      </c>
      <c r="X211" s="11" t="s">
        <v>198</v>
      </c>
      <c r="Y211" s="117" t="s">
        <v>983</v>
      </c>
      <c r="Z211" s="21" t="s">
        <v>198</v>
      </c>
      <c r="AA211" s="91"/>
      <c r="AB211" s="22"/>
      <c r="AC211" s="59" t="s">
        <v>355</v>
      </c>
      <c r="AD211" s="9" t="s">
        <v>355</v>
      </c>
      <c r="AE211" s="22"/>
      <c r="AF211" s="22"/>
    </row>
    <row r="212" spans="2:32" x14ac:dyDescent="0.2">
      <c r="B212" s="117" t="s">
        <v>984</v>
      </c>
      <c r="C212" s="9" t="s">
        <v>565</v>
      </c>
      <c r="D212" s="117" t="s">
        <v>984</v>
      </c>
      <c r="E212" s="11" t="s">
        <v>198</v>
      </c>
      <c r="F212" s="11" t="s">
        <v>198</v>
      </c>
      <c r="G212" s="11" t="s">
        <v>198</v>
      </c>
      <c r="H212" s="11" t="s">
        <v>198</v>
      </c>
      <c r="I212" s="11" t="s">
        <v>198</v>
      </c>
      <c r="J212" s="11" t="s">
        <v>198</v>
      </c>
      <c r="K212" s="11" t="s">
        <v>198</v>
      </c>
      <c r="L212" s="11" t="s">
        <v>198</v>
      </c>
      <c r="M212" s="11" t="s">
        <v>198</v>
      </c>
      <c r="N212" s="11" t="s">
        <v>198</v>
      </c>
      <c r="O212" s="11" t="s">
        <v>198</v>
      </c>
      <c r="P212" s="11" t="s">
        <v>198</v>
      </c>
      <c r="Q212" s="11" t="s">
        <v>198</v>
      </c>
      <c r="R212" s="11" t="s">
        <v>198</v>
      </c>
      <c r="S212" s="11" t="s">
        <v>198</v>
      </c>
      <c r="T212" s="11" t="s">
        <v>198</v>
      </c>
      <c r="U212" s="11" t="s">
        <v>198</v>
      </c>
      <c r="V212" s="11" t="s">
        <v>198</v>
      </c>
      <c r="W212" s="11" t="s">
        <v>198</v>
      </c>
      <c r="X212" s="11" t="s">
        <v>198</v>
      </c>
      <c r="Y212" s="117" t="s">
        <v>984</v>
      </c>
      <c r="Z212" s="21" t="s">
        <v>198</v>
      </c>
      <c r="AA212" s="91"/>
      <c r="AB212" s="22"/>
      <c r="AC212" s="59" t="s">
        <v>355</v>
      </c>
      <c r="AD212" s="9" t="s">
        <v>355</v>
      </c>
      <c r="AE212" s="22"/>
      <c r="AF212" s="22"/>
    </row>
    <row r="213" spans="2:32" x14ac:dyDescent="0.2">
      <c r="B213" s="117" t="s">
        <v>985</v>
      </c>
      <c r="C213" s="9" t="s">
        <v>566</v>
      </c>
      <c r="D213" s="117" t="s">
        <v>985</v>
      </c>
      <c r="E213" s="11" t="s">
        <v>198</v>
      </c>
      <c r="F213" s="11" t="s">
        <v>198</v>
      </c>
      <c r="G213" s="11" t="s">
        <v>198</v>
      </c>
      <c r="H213" s="11" t="s">
        <v>198</v>
      </c>
      <c r="I213" s="11" t="s">
        <v>198</v>
      </c>
      <c r="J213" s="11" t="s">
        <v>198</v>
      </c>
      <c r="K213" s="11" t="s">
        <v>198</v>
      </c>
      <c r="L213" s="11" t="s">
        <v>198</v>
      </c>
      <c r="M213" s="11" t="s">
        <v>198</v>
      </c>
      <c r="N213" s="11" t="s">
        <v>198</v>
      </c>
      <c r="O213" s="11" t="s">
        <v>198</v>
      </c>
      <c r="P213" s="11" t="s">
        <v>198</v>
      </c>
      <c r="Q213" s="11" t="s">
        <v>198</v>
      </c>
      <c r="R213" s="11" t="s">
        <v>198</v>
      </c>
      <c r="S213" s="11" t="s">
        <v>198</v>
      </c>
      <c r="T213" s="11" t="s">
        <v>198</v>
      </c>
      <c r="U213" s="11" t="s">
        <v>198</v>
      </c>
      <c r="V213" s="11" t="s">
        <v>198</v>
      </c>
      <c r="W213" s="11" t="s">
        <v>198</v>
      </c>
      <c r="X213" s="11" t="s">
        <v>198</v>
      </c>
      <c r="Y213" s="117" t="s">
        <v>985</v>
      </c>
      <c r="Z213" s="21" t="s">
        <v>198</v>
      </c>
      <c r="AA213" s="91"/>
      <c r="AB213" s="22"/>
      <c r="AC213" s="59" t="s">
        <v>355</v>
      </c>
      <c r="AD213" s="9" t="s">
        <v>355</v>
      </c>
      <c r="AE213" s="22"/>
      <c r="AF213" s="22"/>
    </row>
    <row r="214" spans="2:32" x14ac:dyDescent="0.2">
      <c r="B214" s="117" t="s">
        <v>986</v>
      </c>
      <c r="C214" s="9" t="s">
        <v>594</v>
      </c>
      <c r="D214" s="117" t="s">
        <v>986</v>
      </c>
      <c r="E214" s="11" t="s">
        <v>198</v>
      </c>
      <c r="F214" s="11" t="s">
        <v>198</v>
      </c>
      <c r="G214" s="11" t="s">
        <v>198</v>
      </c>
      <c r="H214" s="11" t="s">
        <v>198</v>
      </c>
      <c r="I214" s="11" t="s">
        <v>198</v>
      </c>
      <c r="J214" s="11" t="s">
        <v>198</v>
      </c>
      <c r="K214" s="11" t="s">
        <v>198</v>
      </c>
      <c r="L214" s="11" t="s">
        <v>198</v>
      </c>
      <c r="M214" s="11" t="s">
        <v>198</v>
      </c>
      <c r="N214" s="11" t="s">
        <v>198</v>
      </c>
      <c r="O214" s="11" t="s">
        <v>198</v>
      </c>
      <c r="P214" s="11" t="s">
        <v>198</v>
      </c>
      <c r="Q214" s="11" t="s">
        <v>198</v>
      </c>
      <c r="R214" s="11" t="s">
        <v>198</v>
      </c>
      <c r="S214" s="11" t="s">
        <v>198</v>
      </c>
      <c r="T214" s="11" t="s">
        <v>198</v>
      </c>
      <c r="U214" s="11" t="s">
        <v>198</v>
      </c>
      <c r="V214" s="11" t="s">
        <v>198</v>
      </c>
      <c r="W214" s="11" t="s">
        <v>198</v>
      </c>
      <c r="X214" s="11" t="s">
        <v>198</v>
      </c>
      <c r="Y214" s="117" t="s">
        <v>986</v>
      </c>
      <c r="Z214" s="21" t="s">
        <v>198</v>
      </c>
      <c r="AA214" s="91"/>
      <c r="AB214" s="22"/>
      <c r="AC214" s="59" t="s">
        <v>355</v>
      </c>
      <c r="AD214" s="9" t="s">
        <v>355</v>
      </c>
      <c r="AE214" s="22"/>
      <c r="AF214" s="22"/>
    </row>
    <row r="215" spans="2:32" x14ac:dyDescent="0.2">
      <c r="B215" s="18" t="s">
        <v>189</v>
      </c>
      <c r="C215" s="9" t="s">
        <v>563</v>
      </c>
      <c r="D215" s="18" t="s">
        <v>189</v>
      </c>
      <c r="E215" s="11" t="s">
        <v>198</v>
      </c>
      <c r="F215" s="11" t="s">
        <v>198</v>
      </c>
      <c r="G215" s="11" t="s">
        <v>198</v>
      </c>
      <c r="H215" s="11" t="s">
        <v>198</v>
      </c>
      <c r="I215" s="11" t="s">
        <v>198</v>
      </c>
      <c r="J215" s="11" t="s">
        <v>198</v>
      </c>
      <c r="K215" s="11" t="s">
        <v>198</v>
      </c>
      <c r="L215" s="11" t="s">
        <v>198</v>
      </c>
      <c r="M215" s="11" t="s">
        <v>198</v>
      </c>
      <c r="N215" s="11" t="s">
        <v>198</v>
      </c>
      <c r="O215" s="11" t="s">
        <v>198</v>
      </c>
      <c r="P215" s="11" t="s">
        <v>198</v>
      </c>
      <c r="Q215" s="11" t="s">
        <v>198</v>
      </c>
      <c r="R215" s="11" t="s">
        <v>198</v>
      </c>
      <c r="S215" s="11" t="s">
        <v>198</v>
      </c>
      <c r="T215" s="11" t="s">
        <v>198</v>
      </c>
      <c r="U215" s="11" t="s">
        <v>198</v>
      </c>
      <c r="V215" s="11" t="s">
        <v>198</v>
      </c>
      <c r="W215" s="11" t="s">
        <v>198</v>
      </c>
      <c r="X215" s="11" t="s">
        <v>198</v>
      </c>
      <c r="Y215" s="18" t="s">
        <v>189</v>
      </c>
      <c r="Z215" s="21" t="s">
        <v>198</v>
      </c>
      <c r="AA215" s="91"/>
      <c r="AB215" s="22" t="s">
        <v>1569</v>
      </c>
      <c r="AC215" s="59" t="s">
        <v>355</v>
      </c>
      <c r="AD215" s="9" t="s">
        <v>355</v>
      </c>
      <c r="AE215" s="22"/>
      <c r="AF215" s="22"/>
    </row>
    <row r="216" spans="2:32" x14ac:dyDescent="0.2">
      <c r="B216" s="13" t="s">
        <v>764</v>
      </c>
      <c r="C216" s="9" t="s">
        <v>643</v>
      </c>
      <c r="D216" s="11" t="s">
        <v>198</v>
      </c>
      <c r="E216" s="11" t="s">
        <v>198</v>
      </c>
      <c r="F216" s="11" t="s">
        <v>198</v>
      </c>
      <c r="G216" s="11" t="s">
        <v>198</v>
      </c>
      <c r="H216" s="11" t="s">
        <v>198</v>
      </c>
      <c r="I216" s="11" t="s">
        <v>198</v>
      </c>
      <c r="J216" s="11" t="s">
        <v>198</v>
      </c>
      <c r="K216" s="11" t="s">
        <v>198</v>
      </c>
      <c r="L216" s="11" t="s">
        <v>198</v>
      </c>
      <c r="M216" s="11" t="s">
        <v>198</v>
      </c>
      <c r="N216" s="10" t="s">
        <v>198</v>
      </c>
      <c r="O216" s="10" t="s">
        <v>198</v>
      </c>
      <c r="P216" s="10" t="s">
        <v>198</v>
      </c>
      <c r="Q216" s="11" t="s">
        <v>198</v>
      </c>
      <c r="R216" s="11" t="s">
        <v>198</v>
      </c>
      <c r="S216" s="11" t="s">
        <v>198</v>
      </c>
      <c r="T216" s="11" t="s">
        <v>198</v>
      </c>
      <c r="U216" s="11" t="s">
        <v>198</v>
      </c>
      <c r="V216" s="11" t="s">
        <v>198</v>
      </c>
      <c r="W216" s="24" t="s">
        <v>198</v>
      </c>
      <c r="X216" s="24" t="s">
        <v>198</v>
      </c>
      <c r="Y216" s="13" t="s">
        <v>764</v>
      </c>
      <c r="Z216" s="21" t="s">
        <v>198</v>
      </c>
      <c r="AA216" s="91"/>
      <c r="AB216" s="22" t="s">
        <v>1570</v>
      </c>
      <c r="AC216" s="59" t="s">
        <v>355</v>
      </c>
      <c r="AD216" s="9" t="s">
        <v>355</v>
      </c>
      <c r="AE216" s="22"/>
      <c r="AF216" s="22"/>
    </row>
    <row r="217" spans="2:32" x14ac:dyDescent="0.2">
      <c r="B217" s="13" t="s">
        <v>764</v>
      </c>
      <c r="C217" s="9" t="s">
        <v>1004</v>
      </c>
      <c r="D217" s="11" t="s">
        <v>198</v>
      </c>
      <c r="E217" s="11" t="s">
        <v>198</v>
      </c>
      <c r="F217" s="11" t="s">
        <v>198</v>
      </c>
      <c r="G217" s="11" t="s">
        <v>198</v>
      </c>
      <c r="H217" s="11" t="s">
        <v>198</v>
      </c>
      <c r="I217" s="11" t="s">
        <v>198</v>
      </c>
      <c r="J217" s="11" t="s">
        <v>198</v>
      </c>
      <c r="K217" s="11" t="s">
        <v>198</v>
      </c>
      <c r="L217" s="11" t="s">
        <v>198</v>
      </c>
      <c r="M217" s="11" t="s">
        <v>198</v>
      </c>
      <c r="N217" s="10" t="s">
        <v>198</v>
      </c>
      <c r="O217" s="10" t="s">
        <v>198</v>
      </c>
      <c r="P217" s="10" t="s">
        <v>198</v>
      </c>
      <c r="Q217" s="11" t="s">
        <v>198</v>
      </c>
      <c r="R217" s="11" t="s">
        <v>198</v>
      </c>
      <c r="S217" s="11" t="s">
        <v>198</v>
      </c>
      <c r="T217" s="11" t="s">
        <v>198</v>
      </c>
      <c r="U217" s="11" t="s">
        <v>198</v>
      </c>
      <c r="V217" s="11" t="s">
        <v>198</v>
      </c>
      <c r="W217" s="24" t="s">
        <v>198</v>
      </c>
      <c r="X217" s="24" t="s">
        <v>198</v>
      </c>
      <c r="Y217" s="13" t="s">
        <v>764</v>
      </c>
      <c r="Z217" s="21" t="s">
        <v>198</v>
      </c>
      <c r="AA217" s="91"/>
      <c r="AB217" s="22" t="s">
        <v>1570</v>
      </c>
      <c r="AC217" s="59" t="s">
        <v>355</v>
      </c>
      <c r="AD217" s="9" t="s">
        <v>355</v>
      </c>
      <c r="AE217" s="22"/>
      <c r="AF217" s="22"/>
    </row>
    <row r="218" spans="2:32" x14ac:dyDescent="0.2">
      <c r="B218" s="13" t="s">
        <v>764</v>
      </c>
      <c r="C218" s="9" t="s">
        <v>644</v>
      </c>
      <c r="D218" s="11" t="s">
        <v>198</v>
      </c>
      <c r="E218" s="11" t="s">
        <v>198</v>
      </c>
      <c r="F218" s="11" t="s">
        <v>198</v>
      </c>
      <c r="G218" s="11" t="s">
        <v>198</v>
      </c>
      <c r="H218" s="11" t="s">
        <v>198</v>
      </c>
      <c r="I218" s="11" t="s">
        <v>198</v>
      </c>
      <c r="J218" s="11" t="s">
        <v>198</v>
      </c>
      <c r="K218" s="11" t="s">
        <v>198</v>
      </c>
      <c r="L218" s="11" t="s">
        <v>198</v>
      </c>
      <c r="M218" s="11" t="s">
        <v>198</v>
      </c>
      <c r="N218" s="10" t="s">
        <v>198</v>
      </c>
      <c r="O218" s="10" t="s">
        <v>198</v>
      </c>
      <c r="P218" s="10" t="s">
        <v>198</v>
      </c>
      <c r="Q218" s="11" t="s">
        <v>198</v>
      </c>
      <c r="R218" s="11" t="s">
        <v>198</v>
      </c>
      <c r="S218" s="11" t="s">
        <v>198</v>
      </c>
      <c r="T218" s="11" t="s">
        <v>198</v>
      </c>
      <c r="U218" s="11" t="s">
        <v>198</v>
      </c>
      <c r="V218" s="11" t="s">
        <v>198</v>
      </c>
      <c r="W218" s="24" t="s">
        <v>198</v>
      </c>
      <c r="X218" s="24" t="s">
        <v>198</v>
      </c>
      <c r="Y218" s="13" t="s">
        <v>764</v>
      </c>
      <c r="Z218" s="21" t="s">
        <v>198</v>
      </c>
      <c r="AA218" s="91"/>
      <c r="AB218" s="22" t="s">
        <v>1570</v>
      </c>
      <c r="AC218" s="59" t="s">
        <v>355</v>
      </c>
      <c r="AD218" s="9" t="s">
        <v>355</v>
      </c>
      <c r="AE218" s="22"/>
      <c r="AF218" s="22"/>
    </row>
    <row r="219" spans="2:32" x14ac:dyDescent="0.2">
      <c r="B219" s="13" t="s">
        <v>764</v>
      </c>
      <c r="C219" s="9" t="s">
        <v>1005</v>
      </c>
      <c r="D219" s="11" t="s">
        <v>198</v>
      </c>
      <c r="E219" s="11" t="s">
        <v>198</v>
      </c>
      <c r="F219" s="11" t="s">
        <v>198</v>
      </c>
      <c r="G219" s="11" t="s">
        <v>198</v>
      </c>
      <c r="H219" s="11" t="s">
        <v>198</v>
      </c>
      <c r="I219" s="11" t="s">
        <v>198</v>
      </c>
      <c r="J219" s="11" t="s">
        <v>198</v>
      </c>
      <c r="K219" s="11" t="s">
        <v>198</v>
      </c>
      <c r="L219" s="11" t="s">
        <v>198</v>
      </c>
      <c r="M219" s="11" t="s">
        <v>198</v>
      </c>
      <c r="N219" s="11" t="s">
        <v>198</v>
      </c>
      <c r="O219" s="10" t="s">
        <v>198</v>
      </c>
      <c r="P219" s="10" t="s">
        <v>198</v>
      </c>
      <c r="Q219" s="11" t="s">
        <v>198</v>
      </c>
      <c r="R219" s="11" t="s">
        <v>198</v>
      </c>
      <c r="S219" s="11" t="s">
        <v>198</v>
      </c>
      <c r="T219" s="11" t="s">
        <v>198</v>
      </c>
      <c r="U219" s="11" t="s">
        <v>198</v>
      </c>
      <c r="V219" s="11" t="s">
        <v>198</v>
      </c>
      <c r="W219" s="24" t="s">
        <v>198</v>
      </c>
      <c r="X219" s="24" t="s">
        <v>198</v>
      </c>
      <c r="Y219" s="13" t="s">
        <v>764</v>
      </c>
      <c r="Z219" s="21" t="s">
        <v>198</v>
      </c>
      <c r="AA219" s="91"/>
      <c r="AB219" s="22" t="s">
        <v>1570</v>
      </c>
      <c r="AC219" s="59" t="s">
        <v>355</v>
      </c>
      <c r="AD219" s="9" t="s">
        <v>355</v>
      </c>
      <c r="AE219" s="22"/>
      <c r="AF219" s="22"/>
    </row>
    <row r="220" spans="2:32" x14ac:dyDescent="0.2">
      <c r="B220" s="15" t="s">
        <v>923</v>
      </c>
      <c r="C220" s="9" t="s">
        <v>645</v>
      </c>
      <c r="D220" s="11" t="s">
        <v>198</v>
      </c>
      <c r="E220" s="11" t="s">
        <v>198</v>
      </c>
      <c r="F220" s="11" t="s">
        <v>198</v>
      </c>
      <c r="G220" s="11" t="s">
        <v>198</v>
      </c>
      <c r="H220" s="11" t="s">
        <v>198</v>
      </c>
      <c r="I220" s="11" t="s">
        <v>198</v>
      </c>
      <c r="J220" s="11" t="s">
        <v>198</v>
      </c>
      <c r="K220" s="11" t="s">
        <v>198</v>
      </c>
      <c r="L220" s="11" t="s">
        <v>198</v>
      </c>
      <c r="M220" s="11" t="s">
        <v>198</v>
      </c>
      <c r="N220" s="11" t="s">
        <v>198</v>
      </c>
      <c r="O220" s="10" t="s">
        <v>198</v>
      </c>
      <c r="P220" s="10" t="s">
        <v>198</v>
      </c>
      <c r="Q220" s="11" t="s">
        <v>198</v>
      </c>
      <c r="R220" s="11" t="s">
        <v>198</v>
      </c>
      <c r="S220" s="11" t="s">
        <v>198</v>
      </c>
      <c r="T220" s="11" t="s">
        <v>198</v>
      </c>
      <c r="U220" s="11" t="s">
        <v>198</v>
      </c>
      <c r="V220" s="11" t="s">
        <v>198</v>
      </c>
      <c r="W220" s="24" t="s">
        <v>198</v>
      </c>
      <c r="X220" s="24" t="s">
        <v>198</v>
      </c>
      <c r="Y220" s="15" t="s">
        <v>923</v>
      </c>
      <c r="Z220" s="21" t="s">
        <v>198</v>
      </c>
      <c r="AA220" s="91"/>
      <c r="AB220" s="22" t="s">
        <v>1576</v>
      </c>
      <c r="AC220" s="59" t="s">
        <v>355</v>
      </c>
      <c r="AD220" s="9" t="s">
        <v>355</v>
      </c>
      <c r="AE220" s="22"/>
      <c r="AF220" s="22"/>
    </row>
    <row r="221" spans="2:32" x14ac:dyDescent="0.2">
      <c r="B221" s="15" t="s">
        <v>931</v>
      </c>
      <c r="C221" s="9" t="s">
        <v>990</v>
      </c>
      <c r="D221" s="11" t="s">
        <v>198</v>
      </c>
      <c r="E221" s="11" t="s">
        <v>198</v>
      </c>
      <c r="F221" s="11" t="s">
        <v>198</v>
      </c>
      <c r="G221" s="11" t="s">
        <v>198</v>
      </c>
      <c r="H221" s="11" t="s">
        <v>198</v>
      </c>
      <c r="I221" s="11" t="s">
        <v>198</v>
      </c>
      <c r="J221" s="11" t="s">
        <v>198</v>
      </c>
      <c r="K221" s="11" t="s">
        <v>198</v>
      </c>
      <c r="L221" s="11" t="s">
        <v>198</v>
      </c>
      <c r="M221" s="11" t="s">
        <v>198</v>
      </c>
      <c r="N221" s="11" t="s">
        <v>198</v>
      </c>
      <c r="O221" s="10" t="s">
        <v>198</v>
      </c>
      <c r="P221" s="10" t="s">
        <v>198</v>
      </c>
      <c r="Q221" s="11" t="s">
        <v>198</v>
      </c>
      <c r="R221" s="11" t="s">
        <v>198</v>
      </c>
      <c r="S221" s="11" t="s">
        <v>198</v>
      </c>
      <c r="T221" s="11" t="s">
        <v>198</v>
      </c>
      <c r="U221" s="11" t="s">
        <v>198</v>
      </c>
      <c r="V221" s="11" t="s">
        <v>198</v>
      </c>
      <c r="W221" s="24" t="s">
        <v>198</v>
      </c>
      <c r="X221" s="24" t="s">
        <v>198</v>
      </c>
      <c r="Y221" s="15" t="s">
        <v>931</v>
      </c>
      <c r="Z221" s="21" t="s">
        <v>198</v>
      </c>
      <c r="AA221" s="91"/>
      <c r="AB221" s="22" t="s">
        <v>1577</v>
      </c>
      <c r="AC221" s="59" t="s">
        <v>355</v>
      </c>
      <c r="AD221" s="9" t="s">
        <v>355</v>
      </c>
      <c r="AE221" s="22"/>
      <c r="AF221" s="22"/>
    </row>
    <row r="222" spans="2:32" x14ac:dyDescent="0.2">
      <c r="B222" s="15" t="s">
        <v>931</v>
      </c>
      <c r="C222" s="9" t="s">
        <v>646</v>
      </c>
      <c r="D222" s="11" t="s">
        <v>198</v>
      </c>
      <c r="E222" s="11" t="s">
        <v>198</v>
      </c>
      <c r="F222" s="11" t="s">
        <v>198</v>
      </c>
      <c r="G222" s="11" t="s">
        <v>198</v>
      </c>
      <c r="H222" s="11" t="s">
        <v>198</v>
      </c>
      <c r="I222" s="11" t="s">
        <v>198</v>
      </c>
      <c r="J222" s="11" t="s">
        <v>198</v>
      </c>
      <c r="K222" s="11" t="s">
        <v>198</v>
      </c>
      <c r="L222" s="11" t="s">
        <v>198</v>
      </c>
      <c r="M222" s="11" t="s">
        <v>198</v>
      </c>
      <c r="N222" s="11" t="s">
        <v>198</v>
      </c>
      <c r="O222" s="10" t="s">
        <v>198</v>
      </c>
      <c r="P222" s="10" t="s">
        <v>198</v>
      </c>
      <c r="Q222" s="11" t="s">
        <v>198</v>
      </c>
      <c r="R222" s="11" t="s">
        <v>198</v>
      </c>
      <c r="S222" s="11" t="s">
        <v>198</v>
      </c>
      <c r="T222" s="11" t="s">
        <v>198</v>
      </c>
      <c r="U222" s="11" t="s">
        <v>198</v>
      </c>
      <c r="V222" s="11" t="s">
        <v>198</v>
      </c>
      <c r="W222" s="24" t="s">
        <v>198</v>
      </c>
      <c r="X222" s="24" t="s">
        <v>198</v>
      </c>
      <c r="Y222" s="15" t="s">
        <v>931</v>
      </c>
      <c r="Z222" s="21" t="s">
        <v>198</v>
      </c>
      <c r="AA222" s="91"/>
      <c r="AB222" s="22" t="s">
        <v>1577</v>
      </c>
      <c r="AC222" s="59" t="s">
        <v>355</v>
      </c>
      <c r="AD222" s="9" t="s">
        <v>355</v>
      </c>
      <c r="AE222" s="22"/>
      <c r="AF222" s="22"/>
    </row>
    <row r="223" spans="2:32" x14ac:dyDescent="0.2">
      <c r="B223" s="15" t="s">
        <v>931</v>
      </c>
      <c r="C223" s="9" t="s">
        <v>647</v>
      </c>
      <c r="D223" s="11" t="s">
        <v>198</v>
      </c>
      <c r="E223" s="11" t="s">
        <v>198</v>
      </c>
      <c r="F223" s="11" t="s">
        <v>198</v>
      </c>
      <c r="G223" s="11" t="s">
        <v>198</v>
      </c>
      <c r="H223" s="11" t="s">
        <v>198</v>
      </c>
      <c r="I223" s="11" t="s">
        <v>198</v>
      </c>
      <c r="J223" s="11" t="s">
        <v>198</v>
      </c>
      <c r="K223" s="11" t="s">
        <v>198</v>
      </c>
      <c r="L223" s="11" t="s">
        <v>198</v>
      </c>
      <c r="M223" s="11" t="s">
        <v>198</v>
      </c>
      <c r="N223" s="11" t="s">
        <v>198</v>
      </c>
      <c r="O223" s="10" t="s">
        <v>198</v>
      </c>
      <c r="P223" s="10" t="s">
        <v>198</v>
      </c>
      <c r="Q223" s="11" t="s">
        <v>198</v>
      </c>
      <c r="R223" s="11" t="s">
        <v>198</v>
      </c>
      <c r="S223" s="11" t="s">
        <v>198</v>
      </c>
      <c r="T223" s="11" t="s">
        <v>198</v>
      </c>
      <c r="U223" s="11" t="s">
        <v>198</v>
      </c>
      <c r="V223" s="11" t="s">
        <v>198</v>
      </c>
      <c r="W223" s="24" t="s">
        <v>198</v>
      </c>
      <c r="X223" s="24" t="s">
        <v>198</v>
      </c>
      <c r="Y223" s="15" t="s">
        <v>931</v>
      </c>
      <c r="Z223" s="21" t="s">
        <v>198</v>
      </c>
      <c r="AA223" s="91"/>
      <c r="AB223" s="22" t="s">
        <v>1577</v>
      </c>
      <c r="AC223" s="59" t="s">
        <v>355</v>
      </c>
      <c r="AD223" s="9" t="s">
        <v>355</v>
      </c>
      <c r="AE223" s="22"/>
      <c r="AF223" s="22"/>
    </row>
    <row r="224" spans="2:32" x14ac:dyDescent="0.2">
      <c r="B224" s="15" t="s">
        <v>932</v>
      </c>
      <c r="C224" s="9" t="s">
        <v>648</v>
      </c>
      <c r="D224" s="11" t="s">
        <v>198</v>
      </c>
      <c r="E224" s="11" t="s">
        <v>198</v>
      </c>
      <c r="F224" s="11" t="s">
        <v>198</v>
      </c>
      <c r="G224" s="11" t="s">
        <v>198</v>
      </c>
      <c r="H224" s="11" t="s">
        <v>198</v>
      </c>
      <c r="I224" s="11" t="s">
        <v>198</v>
      </c>
      <c r="J224" s="11" t="s">
        <v>198</v>
      </c>
      <c r="K224" s="11" t="s">
        <v>198</v>
      </c>
      <c r="L224" s="11" t="s">
        <v>198</v>
      </c>
      <c r="M224" s="11" t="s">
        <v>198</v>
      </c>
      <c r="N224" s="11" t="s">
        <v>198</v>
      </c>
      <c r="O224" s="10" t="s">
        <v>198</v>
      </c>
      <c r="P224" s="10" t="s">
        <v>198</v>
      </c>
      <c r="Q224" s="11" t="s">
        <v>198</v>
      </c>
      <c r="R224" s="11" t="s">
        <v>198</v>
      </c>
      <c r="S224" s="11" t="s">
        <v>198</v>
      </c>
      <c r="T224" s="11" t="s">
        <v>198</v>
      </c>
      <c r="U224" s="11" t="s">
        <v>198</v>
      </c>
      <c r="V224" s="11" t="s">
        <v>198</v>
      </c>
      <c r="W224" s="24" t="s">
        <v>198</v>
      </c>
      <c r="X224" s="24" t="s">
        <v>198</v>
      </c>
      <c r="Y224" s="15" t="s">
        <v>932</v>
      </c>
      <c r="Z224" s="21" t="s">
        <v>198</v>
      </c>
      <c r="AA224" s="91"/>
      <c r="AB224" s="22" t="s">
        <v>1578</v>
      </c>
      <c r="AC224" s="59" t="s">
        <v>355</v>
      </c>
      <c r="AD224" s="9" t="s">
        <v>355</v>
      </c>
      <c r="AE224" s="22"/>
      <c r="AF224" s="22"/>
    </row>
    <row r="225" spans="2:32" x14ac:dyDescent="0.2">
      <c r="B225" s="15" t="s">
        <v>932</v>
      </c>
      <c r="C225" s="9" t="s">
        <v>649</v>
      </c>
      <c r="D225" s="11" t="s">
        <v>198</v>
      </c>
      <c r="E225" s="11" t="s">
        <v>198</v>
      </c>
      <c r="F225" s="11" t="s">
        <v>198</v>
      </c>
      <c r="G225" s="11" t="s">
        <v>198</v>
      </c>
      <c r="H225" s="11" t="s">
        <v>198</v>
      </c>
      <c r="I225" s="11" t="s">
        <v>198</v>
      </c>
      <c r="J225" s="11" t="s">
        <v>198</v>
      </c>
      <c r="K225" s="11" t="s">
        <v>198</v>
      </c>
      <c r="L225" s="11" t="s">
        <v>198</v>
      </c>
      <c r="M225" s="11" t="s">
        <v>198</v>
      </c>
      <c r="N225" s="11" t="s">
        <v>198</v>
      </c>
      <c r="O225" s="10" t="s">
        <v>198</v>
      </c>
      <c r="P225" s="10" t="s">
        <v>198</v>
      </c>
      <c r="Q225" s="11" t="s">
        <v>198</v>
      </c>
      <c r="R225" s="11" t="s">
        <v>198</v>
      </c>
      <c r="S225" s="11" t="s">
        <v>198</v>
      </c>
      <c r="T225" s="11" t="s">
        <v>198</v>
      </c>
      <c r="U225" s="11" t="s">
        <v>198</v>
      </c>
      <c r="V225" s="11" t="s">
        <v>198</v>
      </c>
      <c r="W225" s="24" t="s">
        <v>198</v>
      </c>
      <c r="X225" s="24" t="s">
        <v>198</v>
      </c>
      <c r="Y225" s="15" t="s">
        <v>932</v>
      </c>
      <c r="Z225" s="21" t="s">
        <v>198</v>
      </c>
      <c r="AA225" s="91"/>
      <c r="AB225" s="22" t="s">
        <v>1578</v>
      </c>
      <c r="AC225" s="59" t="s">
        <v>355</v>
      </c>
      <c r="AD225" s="9" t="s">
        <v>355</v>
      </c>
      <c r="AE225" s="22"/>
      <c r="AF225" s="22"/>
    </row>
    <row r="226" spans="2:32" x14ac:dyDescent="0.2">
      <c r="B226" s="15" t="s">
        <v>185</v>
      </c>
      <c r="C226" s="9" t="s">
        <v>650</v>
      </c>
      <c r="D226" s="11" t="s">
        <v>198</v>
      </c>
      <c r="E226" s="11" t="s">
        <v>198</v>
      </c>
      <c r="F226" s="11" t="s">
        <v>198</v>
      </c>
      <c r="G226" s="11" t="s">
        <v>198</v>
      </c>
      <c r="H226" s="11" t="s">
        <v>198</v>
      </c>
      <c r="I226" s="11" t="s">
        <v>198</v>
      </c>
      <c r="J226" s="11" t="s">
        <v>198</v>
      </c>
      <c r="K226" s="11" t="s">
        <v>198</v>
      </c>
      <c r="L226" s="11" t="s">
        <v>198</v>
      </c>
      <c r="M226" s="11" t="s">
        <v>198</v>
      </c>
      <c r="N226" s="11" t="s">
        <v>198</v>
      </c>
      <c r="O226" s="10" t="s">
        <v>198</v>
      </c>
      <c r="P226" s="10" t="s">
        <v>198</v>
      </c>
      <c r="Q226" s="11" t="s">
        <v>198</v>
      </c>
      <c r="R226" s="11" t="s">
        <v>198</v>
      </c>
      <c r="S226" s="11" t="s">
        <v>198</v>
      </c>
      <c r="T226" s="11" t="s">
        <v>198</v>
      </c>
      <c r="U226" s="11" t="s">
        <v>198</v>
      </c>
      <c r="V226" s="11" t="s">
        <v>198</v>
      </c>
      <c r="W226" s="24" t="s">
        <v>198</v>
      </c>
      <c r="X226" s="24" t="s">
        <v>198</v>
      </c>
      <c r="Y226" s="15" t="s">
        <v>185</v>
      </c>
      <c r="Z226" s="21" t="s">
        <v>198</v>
      </c>
      <c r="AA226" s="91"/>
      <c r="AB226" s="22" t="s">
        <v>1571</v>
      </c>
      <c r="AC226" s="59" t="s">
        <v>355</v>
      </c>
      <c r="AD226" s="9" t="s">
        <v>355</v>
      </c>
      <c r="AE226" s="22"/>
      <c r="AF226" s="22"/>
    </row>
    <row r="227" spans="2:32" x14ac:dyDescent="0.2">
      <c r="B227" s="15" t="s">
        <v>933</v>
      </c>
      <c r="C227" s="9" t="s">
        <v>651</v>
      </c>
      <c r="D227" s="11" t="s">
        <v>198</v>
      </c>
      <c r="E227" s="11" t="s">
        <v>198</v>
      </c>
      <c r="F227" s="11" t="s">
        <v>198</v>
      </c>
      <c r="G227" s="11" t="s">
        <v>198</v>
      </c>
      <c r="H227" s="11" t="s">
        <v>198</v>
      </c>
      <c r="I227" s="11" t="s">
        <v>198</v>
      </c>
      <c r="J227" s="11" t="s">
        <v>198</v>
      </c>
      <c r="K227" s="11" t="s">
        <v>198</v>
      </c>
      <c r="L227" s="11" t="s">
        <v>198</v>
      </c>
      <c r="M227" s="11" t="s">
        <v>198</v>
      </c>
      <c r="N227" s="11" t="s">
        <v>198</v>
      </c>
      <c r="O227" s="10" t="s">
        <v>198</v>
      </c>
      <c r="P227" s="10" t="s">
        <v>198</v>
      </c>
      <c r="Q227" s="11" t="s">
        <v>198</v>
      </c>
      <c r="R227" s="11" t="s">
        <v>198</v>
      </c>
      <c r="S227" s="11" t="s">
        <v>198</v>
      </c>
      <c r="T227" s="11" t="s">
        <v>198</v>
      </c>
      <c r="U227" s="11" t="s">
        <v>198</v>
      </c>
      <c r="V227" s="11" t="s">
        <v>198</v>
      </c>
      <c r="W227" s="24" t="s">
        <v>198</v>
      </c>
      <c r="X227" s="24" t="s">
        <v>198</v>
      </c>
      <c r="Y227" s="15" t="s">
        <v>933</v>
      </c>
      <c r="Z227" s="21" t="s">
        <v>198</v>
      </c>
      <c r="AA227" s="91"/>
      <c r="AB227" s="22" t="s">
        <v>1575</v>
      </c>
      <c r="AC227" s="59" t="s">
        <v>355</v>
      </c>
      <c r="AD227" s="9" t="s">
        <v>355</v>
      </c>
      <c r="AE227" s="22"/>
      <c r="AF227" s="22"/>
    </row>
    <row r="228" spans="2:32" x14ac:dyDescent="0.2">
      <c r="B228" s="15" t="s">
        <v>186</v>
      </c>
      <c r="C228" s="9" t="s">
        <v>992</v>
      </c>
      <c r="D228" s="11" t="s">
        <v>198</v>
      </c>
      <c r="E228" s="11" t="s">
        <v>198</v>
      </c>
      <c r="F228" s="11" t="s">
        <v>198</v>
      </c>
      <c r="G228" s="11" t="s">
        <v>198</v>
      </c>
      <c r="H228" s="11" t="s">
        <v>198</v>
      </c>
      <c r="I228" s="11" t="s">
        <v>198</v>
      </c>
      <c r="J228" s="11" t="s">
        <v>198</v>
      </c>
      <c r="K228" s="11" t="s">
        <v>198</v>
      </c>
      <c r="L228" s="11" t="s">
        <v>198</v>
      </c>
      <c r="M228" s="11" t="s">
        <v>198</v>
      </c>
      <c r="N228" s="11" t="s">
        <v>198</v>
      </c>
      <c r="O228" s="11" t="s">
        <v>198</v>
      </c>
      <c r="P228" s="10" t="s">
        <v>198</v>
      </c>
      <c r="Q228" s="11" t="s">
        <v>198</v>
      </c>
      <c r="R228" s="11" t="s">
        <v>198</v>
      </c>
      <c r="S228" s="11" t="s">
        <v>198</v>
      </c>
      <c r="T228" s="11" t="s">
        <v>198</v>
      </c>
      <c r="U228" s="11" t="s">
        <v>198</v>
      </c>
      <c r="V228" s="11" t="s">
        <v>198</v>
      </c>
      <c r="W228" s="24" t="s">
        <v>198</v>
      </c>
      <c r="X228" s="24" t="s">
        <v>198</v>
      </c>
      <c r="Y228" s="15" t="s">
        <v>186</v>
      </c>
      <c r="Z228" s="21" t="s">
        <v>198</v>
      </c>
      <c r="AA228" s="91"/>
      <c r="AB228" s="22" t="s">
        <v>1579</v>
      </c>
      <c r="AC228" s="59" t="s">
        <v>355</v>
      </c>
      <c r="AD228" s="9" t="s">
        <v>355</v>
      </c>
      <c r="AE228" s="22"/>
      <c r="AF228" s="22"/>
    </row>
    <row r="229" spans="2:32" x14ac:dyDescent="0.2">
      <c r="B229" s="15" t="s">
        <v>933</v>
      </c>
      <c r="C229" s="9" t="s">
        <v>652</v>
      </c>
      <c r="D229" s="11" t="s">
        <v>198</v>
      </c>
      <c r="E229" s="11" t="s">
        <v>198</v>
      </c>
      <c r="F229" s="11" t="s">
        <v>198</v>
      </c>
      <c r="G229" s="11" t="s">
        <v>198</v>
      </c>
      <c r="H229" s="11" t="s">
        <v>198</v>
      </c>
      <c r="I229" s="11" t="s">
        <v>198</v>
      </c>
      <c r="J229" s="11" t="s">
        <v>198</v>
      </c>
      <c r="K229" s="11" t="s">
        <v>198</v>
      </c>
      <c r="L229" s="11" t="s">
        <v>198</v>
      </c>
      <c r="M229" s="11" t="s">
        <v>198</v>
      </c>
      <c r="N229" s="11" t="s">
        <v>198</v>
      </c>
      <c r="O229" s="11" t="s">
        <v>198</v>
      </c>
      <c r="P229" s="10" t="s">
        <v>198</v>
      </c>
      <c r="Q229" s="11" t="s">
        <v>198</v>
      </c>
      <c r="R229" s="11" t="s">
        <v>198</v>
      </c>
      <c r="S229" s="11" t="s">
        <v>198</v>
      </c>
      <c r="T229" s="11" t="s">
        <v>198</v>
      </c>
      <c r="U229" s="11" t="s">
        <v>198</v>
      </c>
      <c r="V229" s="11" t="s">
        <v>198</v>
      </c>
      <c r="W229" s="24" t="s">
        <v>198</v>
      </c>
      <c r="X229" s="24" t="s">
        <v>198</v>
      </c>
      <c r="Y229" s="15" t="s">
        <v>933</v>
      </c>
      <c r="Z229" s="21" t="s">
        <v>198</v>
      </c>
      <c r="AA229" s="91"/>
      <c r="AB229" s="22" t="s">
        <v>1575</v>
      </c>
      <c r="AC229" s="59" t="s">
        <v>355</v>
      </c>
      <c r="AD229" s="9" t="s">
        <v>355</v>
      </c>
      <c r="AE229" s="22"/>
      <c r="AF229" s="22"/>
    </row>
    <row r="230" spans="2:32" x14ac:dyDescent="0.2">
      <c r="B230" s="15" t="s">
        <v>923</v>
      </c>
      <c r="C230" s="9" t="s">
        <v>989</v>
      </c>
      <c r="D230" s="11" t="s">
        <v>198</v>
      </c>
      <c r="E230" s="11" t="s">
        <v>198</v>
      </c>
      <c r="F230" s="11" t="s">
        <v>198</v>
      </c>
      <c r="G230" s="11" t="s">
        <v>198</v>
      </c>
      <c r="H230" s="11" t="s">
        <v>198</v>
      </c>
      <c r="I230" s="11" t="s">
        <v>198</v>
      </c>
      <c r="J230" s="11" t="s">
        <v>198</v>
      </c>
      <c r="K230" s="11" t="s">
        <v>198</v>
      </c>
      <c r="L230" s="11" t="s">
        <v>198</v>
      </c>
      <c r="M230" s="11" t="s">
        <v>198</v>
      </c>
      <c r="N230" s="11" t="s">
        <v>198</v>
      </c>
      <c r="O230" s="11" t="s">
        <v>198</v>
      </c>
      <c r="P230" s="10" t="s">
        <v>198</v>
      </c>
      <c r="Q230" s="11" t="s">
        <v>198</v>
      </c>
      <c r="R230" s="11" t="s">
        <v>198</v>
      </c>
      <c r="S230" s="11" t="s">
        <v>198</v>
      </c>
      <c r="T230" s="11" t="s">
        <v>198</v>
      </c>
      <c r="U230" s="11" t="s">
        <v>198</v>
      </c>
      <c r="V230" s="11" t="s">
        <v>198</v>
      </c>
      <c r="W230" s="24" t="s">
        <v>198</v>
      </c>
      <c r="X230" s="24" t="s">
        <v>198</v>
      </c>
      <c r="Y230" s="15" t="s">
        <v>923</v>
      </c>
      <c r="Z230" s="21" t="s">
        <v>198</v>
      </c>
      <c r="AA230" s="91"/>
      <c r="AB230" s="22" t="s">
        <v>1576</v>
      </c>
      <c r="AC230" s="59" t="s">
        <v>355</v>
      </c>
      <c r="AD230" s="9" t="s">
        <v>355</v>
      </c>
      <c r="AE230" s="22"/>
      <c r="AF230" s="22"/>
    </row>
    <row r="231" spans="2:32" x14ac:dyDescent="0.2">
      <c r="B231" s="15" t="s">
        <v>933</v>
      </c>
      <c r="C231" s="9" t="s">
        <v>988</v>
      </c>
      <c r="D231" s="11" t="s">
        <v>198</v>
      </c>
      <c r="E231" s="11" t="s">
        <v>198</v>
      </c>
      <c r="F231" s="11" t="s">
        <v>198</v>
      </c>
      <c r="G231" s="11" t="s">
        <v>198</v>
      </c>
      <c r="H231" s="11" t="s">
        <v>198</v>
      </c>
      <c r="I231" s="11" t="s">
        <v>198</v>
      </c>
      <c r="J231" s="11" t="s">
        <v>198</v>
      </c>
      <c r="K231" s="11" t="s">
        <v>198</v>
      </c>
      <c r="L231" s="11" t="s">
        <v>198</v>
      </c>
      <c r="M231" s="11" t="s">
        <v>198</v>
      </c>
      <c r="N231" s="11" t="s">
        <v>198</v>
      </c>
      <c r="O231" s="11" t="s">
        <v>198</v>
      </c>
      <c r="P231" s="10" t="s">
        <v>198</v>
      </c>
      <c r="Q231" s="11" t="s">
        <v>198</v>
      </c>
      <c r="R231" s="11" t="s">
        <v>198</v>
      </c>
      <c r="S231" s="11" t="s">
        <v>198</v>
      </c>
      <c r="T231" s="11" t="s">
        <v>198</v>
      </c>
      <c r="U231" s="11" t="s">
        <v>198</v>
      </c>
      <c r="V231" s="11" t="s">
        <v>198</v>
      </c>
      <c r="W231" s="24" t="s">
        <v>198</v>
      </c>
      <c r="X231" s="24" t="s">
        <v>198</v>
      </c>
      <c r="Y231" s="15" t="s">
        <v>933</v>
      </c>
      <c r="Z231" s="21" t="s">
        <v>198</v>
      </c>
      <c r="AA231" s="91"/>
      <c r="AB231" s="22" t="s">
        <v>1575</v>
      </c>
      <c r="AC231" s="59" t="s">
        <v>355</v>
      </c>
      <c r="AD231" s="9" t="s">
        <v>355</v>
      </c>
      <c r="AE231" s="22"/>
      <c r="AF231" s="22"/>
    </row>
    <row r="232" spans="2:32" x14ac:dyDescent="0.2">
      <c r="B232" s="15" t="s">
        <v>923</v>
      </c>
      <c r="C232" s="9" t="s">
        <v>653</v>
      </c>
      <c r="D232" s="11" t="s">
        <v>198</v>
      </c>
      <c r="E232" s="11" t="s">
        <v>198</v>
      </c>
      <c r="F232" s="11" t="s">
        <v>198</v>
      </c>
      <c r="G232" s="11" t="s">
        <v>198</v>
      </c>
      <c r="H232" s="11" t="s">
        <v>198</v>
      </c>
      <c r="I232" s="11" t="s">
        <v>198</v>
      </c>
      <c r="J232" s="11" t="s">
        <v>198</v>
      </c>
      <c r="K232" s="11" t="s">
        <v>198</v>
      </c>
      <c r="L232" s="11" t="s">
        <v>198</v>
      </c>
      <c r="M232" s="11" t="s">
        <v>198</v>
      </c>
      <c r="N232" s="11" t="s">
        <v>198</v>
      </c>
      <c r="O232" s="11" t="s">
        <v>198</v>
      </c>
      <c r="P232" s="10" t="s">
        <v>198</v>
      </c>
      <c r="Q232" s="11" t="s">
        <v>198</v>
      </c>
      <c r="R232" s="11" t="s">
        <v>198</v>
      </c>
      <c r="S232" s="11" t="s">
        <v>198</v>
      </c>
      <c r="T232" s="11" t="s">
        <v>198</v>
      </c>
      <c r="U232" s="11" t="s">
        <v>198</v>
      </c>
      <c r="V232" s="11" t="s">
        <v>198</v>
      </c>
      <c r="W232" s="24" t="s">
        <v>198</v>
      </c>
      <c r="X232" s="24" t="s">
        <v>198</v>
      </c>
      <c r="Y232" s="15" t="s">
        <v>923</v>
      </c>
      <c r="Z232" s="21" t="s">
        <v>198</v>
      </c>
      <c r="AA232" s="91"/>
      <c r="AB232" s="22" t="s">
        <v>1576</v>
      </c>
      <c r="AC232" s="59" t="s">
        <v>355</v>
      </c>
      <c r="AD232" s="9" t="s">
        <v>355</v>
      </c>
      <c r="AE232" s="22"/>
      <c r="AF232" s="22"/>
    </row>
    <row r="233" spans="2:32" x14ac:dyDescent="0.2">
      <c r="B233" s="13" t="s">
        <v>764</v>
      </c>
      <c r="C233" s="9" t="s">
        <v>654</v>
      </c>
      <c r="D233" s="11" t="s">
        <v>198</v>
      </c>
      <c r="E233" s="11" t="s">
        <v>198</v>
      </c>
      <c r="F233" s="11" t="s">
        <v>198</v>
      </c>
      <c r="G233" s="11" t="s">
        <v>198</v>
      </c>
      <c r="H233" s="11" t="s">
        <v>198</v>
      </c>
      <c r="I233" s="11" t="s">
        <v>198</v>
      </c>
      <c r="J233" s="11" t="s">
        <v>198</v>
      </c>
      <c r="K233" s="11" t="s">
        <v>198</v>
      </c>
      <c r="L233" s="11" t="s">
        <v>198</v>
      </c>
      <c r="M233" s="11" t="s">
        <v>198</v>
      </c>
      <c r="N233" s="11" t="s">
        <v>198</v>
      </c>
      <c r="O233" s="11" t="s">
        <v>198</v>
      </c>
      <c r="P233" s="10" t="s">
        <v>198</v>
      </c>
      <c r="Q233" s="11" t="s">
        <v>198</v>
      </c>
      <c r="R233" s="11" t="s">
        <v>198</v>
      </c>
      <c r="S233" s="11" t="s">
        <v>198</v>
      </c>
      <c r="T233" s="11" t="s">
        <v>198</v>
      </c>
      <c r="U233" s="11" t="s">
        <v>198</v>
      </c>
      <c r="V233" s="11" t="s">
        <v>198</v>
      </c>
      <c r="W233" s="24" t="s">
        <v>198</v>
      </c>
      <c r="X233" s="24" t="s">
        <v>198</v>
      </c>
      <c r="Y233" s="13" t="s">
        <v>764</v>
      </c>
      <c r="Z233" s="21" t="s">
        <v>198</v>
      </c>
      <c r="AA233" s="91"/>
      <c r="AB233" s="22" t="s">
        <v>1570</v>
      </c>
      <c r="AC233" s="59" t="s">
        <v>355</v>
      </c>
      <c r="AD233" s="9" t="s">
        <v>355</v>
      </c>
      <c r="AE233" s="22"/>
      <c r="AF233" s="22"/>
    </row>
    <row r="234" spans="2:32" x14ac:dyDescent="0.2">
      <c r="B234" s="13" t="s">
        <v>764</v>
      </c>
      <c r="C234" s="9" t="s">
        <v>655</v>
      </c>
      <c r="D234" s="11" t="s">
        <v>198</v>
      </c>
      <c r="E234" s="10" t="s">
        <v>198</v>
      </c>
      <c r="F234" s="11" t="s">
        <v>198</v>
      </c>
      <c r="G234" s="11" t="s">
        <v>198</v>
      </c>
      <c r="H234" s="11" t="s">
        <v>198</v>
      </c>
      <c r="I234" s="11" t="s">
        <v>198</v>
      </c>
      <c r="J234" s="11" t="s">
        <v>198</v>
      </c>
      <c r="K234" s="11" t="s">
        <v>198</v>
      </c>
      <c r="L234" s="11" t="s">
        <v>198</v>
      </c>
      <c r="M234" s="11" t="s">
        <v>198</v>
      </c>
      <c r="N234" s="11" t="s">
        <v>198</v>
      </c>
      <c r="O234" s="11" t="s">
        <v>198</v>
      </c>
      <c r="P234" s="10" t="s">
        <v>198</v>
      </c>
      <c r="Q234" s="11" t="s">
        <v>198</v>
      </c>
      <c r="R234" s="11" t="s">
        <v>198</v>
      </c>
      <c r="S234" s="11" t="s">
        <v>198</v>
      </c>
      <c r="T234" s="11" t="s">
        <v>198</v>
      </c>
      <c r="U234" s="11" t="s">
        <v>198</v>
      </c>
      <c r="V234" s="11" t="s">
        <v>198</v>
      </c>
      <c r="W234" s="24" t="s">
        <v>198</v>
      </c>
      <c r="X234" s="24" t="s">
        <v>198</v>
      </c>
      <c r="Y234" s="13" t="s">
        <v>764</v>
      </c>
      <c r="Z234" s="21" t="s">
        <v>198</v>
      </c>
      <c r="AA234" s="91"/>
      <c r="AB234" s="22" t="s">
        <v>1570</v>
      </c>
      <c r="AC234" s="59" t="s">
        <v>355</v>
      </c>
      <c r="AD234" s="9" t="s">
        <v>355</v>
      </c>
      <c r="AE234" s="22"/>
      <c r="AF234" s="22"/>
    </row>
    <row r="235" spans="2:32" x14ac:dyDescent="0.2">
      <c r="B235" s="13" t="s">
        <v>764</v>
      </c>
      <c r="C235" s="9" t="s">
        <v>656</v>
      </c>
      <c r="D235" s="11" t="s">
        <v>198</v>
      </c>
      <c r="E235" s="10" t="s">
        <v>198</v>
      </c>
      <c r="F235" s="11" t="s">
        <v>198</v>
      </c>
      <c r="G235" s="11" t="s">
        <v>198</v>
      </c>
      <c r="H235" s="11" t="s">
        <v>198</v>
      </c>
      <c r="I235" s="11" t="s">
        <v>198</v>
      </c>
      <c r="J235" s="11" t="s">
        <v>198</v>
      </c>
      <c r="K235" s="11" t="s">
        <v>198</v>
      </c>
      <c r="L235" s="11" t="s">
        <v>198</v>
      </c>
      <c r="M235" s="11" t="s">
        <v>198</v>
      </c>
      <c r="N235" s="11" t="s">
        <v>198</v>
      </c>
      <c r="O235" s="11" t="s">
        <v>198</v>
      </c>
      <c r="P235" s="10" t="s">
        <v>198</v>
      </c>
      <c r="Q235" s="11" t="s">
        <v>198</v>
      </c>
      <c r="R235" s="11" t="s">
        <v>198</v>
      </c>
      <c r="S235" s="11" t="s">
        <v>198</v>
      </c>
      <c r="T235" s="11" t="s">
        <v>198</v>
      </c>
      <c r="U235" s="11" t="s">
        <v>198</v>
      </c>
      <c r="V235" s="11" t="s">
        <v>198</v>
      </c>
      <c r="W235" s="24" t="s">
        <v>198</v>
      </c>
      <c r="X235" s="24" t="s">
        <v>198</v>
      </c>
      <c r="Y235" s="13" t="s">
        <v>764</v>
      </c>
      <c r="Z235" s="21" t="s">
        <v>198</v>
      </c>
      <c r="AA235" s="91"/>
      <c r="AB235" s="22" t="s">
        <v>1570</v>
      </c>
      <c r="AC235" s="59" t="s">
        <v>355</v>
      </c>
      <c r="AD235" s="9" t="s">
        <v>355</v>
      </c>
      <c r="AE235" s="22"/>
      <c r="AF235" s="22"/>
    </row>
    <row r="236" spans="2:32" x14ac:dyDescent="0.2">
      <c r="B236" s="13" t="s">
        <v>764</v>
      </c>
      <c r="C236" s="9" t="s">
        <v>657</v>
      </c>
      <c r="D236" s="11" t="s">
        <v>198</v>
      </c>
      <c r="E236" s="10" t="s">
        <v>198</v>
      </c>
      <c r="F236" s="11" t="s">
        <v>198</v>
      </c>
      <c r="G236" s="11" t="s">
        <v>198</v>
      </c>
      <c r="H236" s="11" t="s">
        <v>198</v>
      </c>
      <c r="I236" s="11" t="s">
        <v>198</v>
      </c>
      <c r="J236" s="11" t="s">
        <v>198</v>
      </c>
      <c r="K236" s="11" t="s">
        <v>198</v>
      </c>
      <c r="L236" s="11" t="s">
        <v>198</v>
      </c>
      <c r="M236" s="11" t="s">
        <v>198</v>
      </c>
      <c r="N236" s="11" t="s">
        <v>198</v>
      </c>
      <c r="O236" s="11" t="s">
        <v>198</v>
      </c>
      <c r="P236" s="10" t="s">
        <v>198</v>
      </c>
      <c r="Q236" s="11" t="s">
        <v>198</v>
      </c>
      <c r="R236" s="11" t="s">
        <v>198</v>
      </c>
      <c r="S236" s="11" t="s">
        <v>198</v>
      </c>
      <c r="T236" s="11" t="s">
        <v>198</v>
      </c>
      <c r="U236" s="11" t="s">
        <v>198</v>
      </c>
      <c r="V236" s="11" t="s">
        <v>198</v>
      </c>
      <c r="W236" s="24" t="s">
        <v>198</v>
      </c>
      <c r="X236" s="24" t="s">
        <v>198</v>
      </c>
      <c r="Y236" s="13" t="s">
        <v>764</v>
      </c>
      <c r="Z236" s="21" t="s">
        <v>198</v>
      </c>
      <c r="AA236" s="91"/>
      <c r="AB236" s="22" t="s">
        <v>1570</v>
      </c>
      <c r="AC236" s="59" t="s">
        <v>355</v>
      </c>
      <c r="AD236" s="9" t="s">
        <v>355</v>
      </c>
      <c r="AE236" s="22"/>
      <c r="AF236" s="22"/>
    </row>
    <row r="237" spans="2:32" x14ac:dyDescent="0.2">
      <c r="B237" s="13" t="s">
        <v>764</v>
      </c>
      <c r="C237" s="9" t="s">
        <v>658</v>
      </c>
      <c r="D237" s="11" t="s">
        <v>198</v>
      </c>
      <c r="E237" s="10" t="s">
        <v>198</v>
      </c>
      <c r="F237" s="11" t="s">
        <v>198</v>
      </c>
      <c r="G237" s="11" t="s">
        <v>198</v>
      </c>
      <c r="H237" s="11" t="s">
        <v>198</v>
      </c>
      <c r="I237" s="11" t="s">
        <v>198</v>
      </c>
      <c r="J237" s="11" t="s">
        <v>198</v>
      </c>
      <c r="K237" s="11" t="s">
        <v>198</v>
      </c>
      <c r="L237" s="11" t="s">
        <v>198</v>
      </c>
      <c r="M237" s="11" t="s">
        <v>198</v>
      </c>
      <c r="N237" s="11" t="s">
        <v>198</v>
      </c>
      <c r="O237" s="11" t="s">
        <v>198</v>
      </c>
      <c r="P237" s="10" t="s">
        <v>198</v>
      </c>
      <c r="Q237" s="11" t="s">
        <v>198</v>
      </c>
      <c r="R237" s="11" t="s">
        <v>198</v>
      </c>
      <c r="S237" s="11" t="s">
        <v>198</v>
      </c>
      <c r="T237" s="11" t="s">
        <v>198</v>
      </c>
      <c r="U237" s="11" t="s">
        <v>198</v>
      </c>
      <c r="V237" s="11" t="s">
        <v>198</v>
      </c>
      <c r="W237" s="24" t="s">
        <v>198</v>
      </c>
      <c r="X237" s="24" t="s">
        <v>198</v>
      </c>
      <c r="Y237" s="13" t="s">
        <v>764</v>
      </c>
      <c r="Z237" s="21" t="s">
        <v>198</v>
      </c>
      <c r="AA237" s="91"/>
      <c r="AB237" s="22" t="s">
        <v>1570</v>
      </c>
      <c r="AC237" s="59" t="s">
        <v>355</v>
      </c>
      <c r="AD237" s="9" t="s">
        <v>355</v>
      </c>
      <c r="AE237" s="22"/>
      <c r="AF237" s="22"/>
    </row>
    <row r="238" spans="2:32" x14ac:dyDescent="0.2">
      <c r="B238" s="15" t="s">
        <v>933</v>
      </c>
      <c r="C238" s="9" t="s">
        <v>659</v>
      </c>
      <c r="D238" s="11" t="s">
        <v>198</v>
      </c>
      <c r="E238" s="10" t="s">
        <v>198</v>
      </c>
      <c r="F238" s="11" t="s">
        <v>198</v>
      </c>
      <c r="G238" s="11" t="s">
        <v>198</v>
      </c>
      <c r="H238" s="11" t="s">
        <v>198</v>
      </c>
      <c r="I238" s="11" t="s">
        <v>198</v>
      </c>
      <c r="J238" s="11" t="s">
        <v>198</v>
      </c>
      <c r="K238" s="11" t="s">
        <v>198</v>
      </c>
      <c r="L238" s="11" t="s">
        <v>198</v>
      </c>
      <c r="M238" s="11" t="s">
        <v>198</v>
      </c>
      <c r="N238" s="11" t="s">
        <v>198</v>
      </c>
      <c r="O238" s="11" t="s">
        <v>198</v>
      </c>
      <c r="P238" s="10" t="s">
        <v>198</v>
      </c>
      <c r="Q238" s="11" t="s">
        <v>198</v>
      </c>
      <c r="R238" s="11" t="s">
        <v>198</v>
      </c>
      <c r="S238" s="11" t="s">
        <v>198</v>
      </c>
      <c r="T238" s="11" t="s">
        <v>198</v>
      </c>
      <c r="U238" s="11" t="s">
        <v>198</v>
      </c>
      <c r="V238" s="11" t="s">
        <v>198</v>
      </c>
      <c r="W238" s="24" t="s">
        <v>198</v>
      </c>
      <c r="X238" s="24" t="s">
        <v>198</v>
      </c>
      <c r="Y238" s="15" t="s">
        <v>933</v>
      </c>
      <c r="Z238" s="21" t="s">
        <v>198</v>
      </c>
      <c r="AA238" s="91"/>
      <c r="AB238" s="22" t="s">
        <v>1575</v>
      </c>
      <c r="AC238" s="59" t="s">
        <v>355</v>
      </c>
      <c r="AD238" s="9" t="s">
        <v>355</v>
      </c>
      <c r="AE238" s="22"/>
      <c r="AF238" s="22"/>
    </row>
    <row r="239" spans="2:32" x14ac:dyDescent="0.2">
      <c r="B239" s="15" t="s">
        <v>186</v>
      </c>
      <c r="C239" s="9" t="s">
        <v>713</v>
      </c>
      <c r="D239" s="11" t="s">
        <v>198</v>
      </c>
      <c r="E239" s="10" t="s">
        <v>198</v>
      </c>
      <c r="F239" s="11" t="s">
        <v>198</v>
      </c>
      <c r="G239" s="11" t="s">
        <v>198</v>
      </c>
      <c r="H239" s="11" t="s">
        <v>198</v>
      </c>
      <c r="I239" s="11" t="s">
        <v>198</v>
      </c>
      <c r="J239" s="11" t="s">
        <v>198</v>
      </c>
      <c r="K239" s="11" t="s">
        <v>198</v>
      </c>
      <c r="L239" s="11" t="s">
        <v>198</v>
      </c>
      <c r="M239" s="11" t="s">
        <v>198</v>
      </c>
      <c r="N239" s="11" t="s">
        <v>198</v>
      </c>
      <c r="O239" s="11" t="s">
        <v>198</v>
      </c>
      <c r="P239" s="10" t="s">
        <v>198</v>
      </c>
      <c r="Q239" s="11" t="s">
        <v>198</v>
      </c>
      <c r="R239" s="11" t="s">
        <v>198</v>
      </c>
      <c r="S239" s="11" t="s">
        <v>198</v>
      </c>
      <c r="T239" s="11" t="s">
        <v>198</v>
      </c>
      <c r="U239" s="11" t="s">
        <v>198</v>
      </c>
      <c r="V239" s="11" t="s">
        <v>198</v>
      </c>
      <c r="W239" s="24" t="s">
        <v>198</v>
      </c>
      <c r="X239" s="24" t="s">
        <v>198</v>
      </c>
      <c r="Y239" s="15" t="s">
        <v>186</v>
      </c>
      <c r="Z239" s="21" t="s">
        <v>198</v>
      </c>
      <c r="AA239" s="91"/>
      <c r="AB239" s="22" t="s">
        <v>1579</v>
      </c>
      <c r="AC239" s="59" t="s">
        <v>355</v>
      </c>
      <c r="AD239" s="9" t="s">
        <v>355</v>
      </c>
      <c r="AE239" s="22"/>
      <c r="AF239" s="22"/>
    </row>
    <row r="240" spans="2:32" x14ac:dyDescent="0.2">
      <c r="B240" s="13" t="s">
        <v>764</v>
      </c>
      <c r="C240" s="9" t="s">
        <v>660</v>
      </c>
      <c r="D240" s="11" t="s">
        <v>198</v>
      </c>
      <c r="E240" s="10" t="s">
        <v>198</v>
      </c>
      <c r="F240" s="11" t="s">
        <v>198</v>
      </c>
      <c r="G240" s="11" t="s">
        <v>198</v>
      </c>
      <c r="H240" s="11" t="s">
        <v>198</v>
      </c>
      <c r="I240" s="11" t="s">
        <v>198</v>
      </c>
      <c r="J240" s="11" t="s">
        <v>198</v>
      </c>
      <c r="K240" s="11" t="s">
        <v>198</v>
      </c>
      <c r="L240" s="11" t="s">
        <v>198</v>
      </c>
      <c r="M240" s="11" t="s">
        <v>198</v>
      </c>
      <c r="N240" s="11" t="s">
        <v>198</v>
      </c>
      <c r="O240" s="11" t="s">
        <v>198</v>
      </c>
      <c r="P240" s="10" t="s">
        <v>198</v>
      </c>
      <c r="Q240" s="11" t="s">
        <v>198</v>
      </c>
      <c r="R240" s="11" t="s">
        <v>198</v>
      </c>
      <c r="S240" s="11" t="s">
        <v>198</v>
      </c>
      <c r="T240" s="11" t="s">
        <v>198</v>
      </c>
      <c r="U240" s="11" t="s">
        <v>198</v>
      </c>
      <c r="V240" s="11" t="s">
        <v>198</v>
      </c>
      <c r="W240" s="24" t="s">
        <v>198</v>
      </c>
      <c r="X240" s="24" t="s">
        <v>198</v>
      </c>
      <c r="Y240" s="13" t="s">
        <v>764</v>
      </c>
      <c r="Z240" s="21" t="s">
        <v>198</v>
      </c>
      <c r="AA240" s="91"/>
      <c r="AB240" s="22" t="s">
        <v>1570</v>
      </c>
      <c r="AC240" s="59" t="s">
        <v>355</v>
      </c>
      <c r="AD240" s="9" t="s">
        <v>355</v>
      </c>
      <c r="AE240" s="22"/>
      <c r="AF240" s="22"/>
    </row>
    <row r="241" spans="2:32" x14ac:dyDescent="0.2">
      <c r="B241" s="13" t="s">
        <v>764</v>
      </c>
      <c r="C241" s="9" t="s">
        <v>661</v>
      </c>
      <c r="D241" s="11" t="s">
        <v>198</v>
      </c>
      <c r="E241" s="10" t="s">
        <v>198</v>
      </c>
      <c r="F241" s="11" t="s">
        <v>198</v>
      </c>
      <c r="G241" s="11" t="s">
        <v>198</v>
      </c>
      <c r="H241" s="11" t="s">
        <v>198</v>
      </c>
      <c r="I241" s="11" t="s">
        <v>198</v>
      </c>
      <c r="J241" s="11" t="s">
        <v>198</v>
      </c>
      <c r="K241" s="11" t="s">
        <v>198</v>
      </c>
      <c r="L241" s="11" t="s">
        <v>198</v>
      </c>
      <c r="M241" s="11" t="s">
        <v>198</v>
      </c>
      <c r="N241" s="11" t="s">
        <v>198</v>
      </c>
      <c r="O241" s="11" t="s">
        <v>198</v>
      </c>
      <c r="P241" s="10" t="s">
        <v>198</v>
      </c>
      <c r="Q241" s="11" t="s">
        <v>198</v>
      </c>
      <c r="R241" s="11" t="s">
        <v>198</v>
      </c>
      <c r="S241" s="11" t="s">
        <v>198</v>
      </c>
      <c r="T241" s="11" t="s">
        <v>198</v>
      </c>
      <c r="U241" s="11" t="s">
        <v>198</v>
      </c>
      <c r="V241" s="11" t="s">
        <v>198</v>
      </c>
      <c r="W241" s="24" t="s">
        <v>198</v>
      </c>
      <c r="X241" s="24" t="s">
        <v>198</v>
      </c>
      <c r="Y241" s="13" t="s">
        <v>764</v>
      </c>
      <c r="Z241" s="21" t="s">
        <v>198</v>
      </c>
      <c r="AA241" s="91"/>
      <c r="AB241" s="22" t="s">
        <v>1570</v>
      </c>
      <c r="AC241" s="59" t="s">
        <v>355</v>
      </c>
      <c r="AD241" s="9" t="s">
        <v>355</v>
      </c>
      <c r="AE241" s="22"/>
      <c r="AF241" s="22"/>
    </row>
    <row r="242" spans="2:32" x14ac:dyDescent="0.2">
      <c r="B242" s="13" t="s">
        <v>764</v>
      </c>
      <c r="C242" s="9" t="s">
        <v>662</v>
      </c>
      <c r="D242" s="11" t="s">
        <v>198</v>
      </c>
      <c r="E242" s="10" t="s">
        <v>198</v>
      </c>
      <c r="F242" s="11" t="s">
        <v>198</v>
      </c>
      <c r="G242" s="11" t="s">
        <v>198</v>
      </c>
      <c r="H242" s="11" t="s">
        <v>198</v>
      </c>
      <c r="I242" s="11" t="s">
        <v>198</v>
      </c>
      <c r="J242" s="11" t="s">
        <v>198</v>
      </c>
      <c r="K242" s="11" t="s">
        <v>198</v>
      </c>
      <c r="L242" s="11" t="s">
        <v>198</v>
      </c>
      <c r="M242" s="11" t="s">
        <v>198</v>
      </c>
      <c r="N242" s="11" t="s">
        <v>198</v>
      </c>
      <c r="O242" s="11" t="s">
        <v>198</v>
      </c>
      <c r="P242" s="10" t="s">
        <v>198</v>
      </c>
      <c r="Q242" s="11" t="s">
        <v>198</v>
      </c>
      <c r="R242" s="11" t="s">
        <v>198</v>
      </c>
      <c r="S242" s="11" t="s">
        <v>198</v>
      </c>
      <c r="T242" s="11" t="s">
        <v>198</v>
      </c>
      <c r="U242" s="11" t="s">
        <v>198</v>
      </c>
      <c r="V242" s="11" t="s">
        <v>198</v>
      </c>
      <c r="W242" s="24" t="s">
        <v>198</v>
      </c>
      <c r="X242" s="24" t="s">
        <v>198</v>
      </c>
      <c r="Y242" s="13" t="s">
        <v>764</v>
      </c>
      <c r="Z242" s="21" t="s">
        <v>198</v>
      </c>
      <c r="AA242" s="91"/>
      <c r="AB242" s="22" t="s">
        <v>1570</v>
      </c>
      <c r="AC242" s="59" t="s">
        <v>355</v>
      </c>
      <c r="AD242" s="9" t="s">
        <v>355</v>
      </c>
      <c r="AE242" s="22"/>
      <c r="AF242" s="22"/>
    </row>
    <row r="243" spans="2:32" x14ac:dyDescent="0.2">
      <c r="B243" s="13" t="s">
        <v>764</v>
      </c>
      <c r="C243" s="9" t="s">
        <v>663</v>
      </c>
      <c r="D243" s="11" t="s">
        <v>198</v>
      </c>
      <c r="E243" s="10" t="s">
        <v>198</v>
      </c>
      <c r="F243" s="11" t="s">
        <v>198</v>
      </c>
      <c r="G243" s="11" t="s">
        <v>198</v>
      </c>
      <c r="H243" s="11" t="s">
        <v>198</v>
      </c>
      <c r="I243" s="11" t="s">
        <v>198</v>
      </c>
      <c r="J243" s="11" t="s">
        <v>198</v>
      </c>
      <c r="K243" s="11" t="s">
        <v>198</v>
      </c>
      <c r="L243" s="11" t="s">
        <v>198</v>
      </c>
      <c r="M243" s="11" t="s">
        <v>198</v>
      </c>
      <c r="N243" s="11" t="s">
        <v>198</v>
      </c>
      <c r="O243" s="11" t="s">
        <v>198</v>
      </c>
      <c r="P243" s="10" t="s">
        <v>198</v>
      </c>
      <c r="Q243" s="11" t="s">
        <v>198</v>
      </c>
      <c r="R243" s="11" t="s">
        <v>198</v>
      </c>
      <c r="S243" s="11" t="s">
        <v>198</v>
      </c>
      <c r="T243" s="11" t="s">
        <v>198</v>
      </c>
      <c r="U243" s="11" t="s">
        <v>198</v>
      </c>
      <c r="V243" s="11" t="s">
        <v>198</v>
      </c>
      <c r="W243" s="24" t="s">
        <v>198</v>
      </c>
      <c r="X243" s="24" t="s">
        <v>198</v>
      </c>
      <c r="Y243" s="13" t="s">
        <v>764</v>
      </c>
      <c r="Z243" s="21" t="s">
        <v>198</v>
      </c>
      <c r="AA243" s="91"/>
      <c r="AB243" s="22" t="s">
        <v>1570</v>
      </c>
      <c r="AC243" s="59" t="s">
        <v>355</v>
      </c>
      <c r="AD243" s="9" t="s">
        <v>355</v>
      </c>
      <c r="AE243" s="22"/>
      <c r="AF243" s="22"/>
    </row>
    <row r="244" spans="2:32" x14ac:dyDescent="0.2">
      <c r="B244" s="13" t="s">
        <v>764</v>
      </c>
      <c r="C244" s="9" t="s">
        <v>664</v>
      </c>
      <c r="D244" s="11" t="s">
        <v>198</v>
      </c>
      <c r="E244" s="10" t="s">
        <v>198</v>
      </c>
      <c r="F244" s="11" t="s">
        <v>198</v>
      </c>
      <c r="G244" s="11" t="s">
        <v>198</v>
      </c>
      <c r="H244" s="11" t="s">
        <v>198</v>
      </c>
      <c r="I244" s="11" t="s">
        <v>198</v>
      </c>
      <c r="J244" s="11" t="s">
        <v>198</v>
      </c>
      <c r="K244" s="11" t="s">
        <v>198</v>
      </c>
      <c r="L244" s="11" t="s">
        <v>198</v>
      </c>
      <c r="M244" s="11" t="s">
        <v>198</v>
      </c>
      <c r="N244" s="11" t="s">
        <v>198</v>
      </c>
      <c r="O244" s="11" t="s">
        <v>198</v>
      </c>
      <c r="P244" s="10" t="s">
        <v>198</v>
      </c>
      <c r="Q244" s="11" t="s">
        <v>198</v>
      </c>
      <c r="R244" s="11" t="s">
        <v>198</v>
      </c>
      <c r="S244" s="11" t="s">
        <v>198</v>
      </c>
      <c r="T244" s="11" t="s">
        <v>198</v>
      </c>
      <c r="U244" s="11" t="s">
        <v>198</v>
      </c>
      <c r="V244" s="11" t="s">
        <v>198</v>
      </c>
      <c r="W244" s="24" t="s">
        <v>198</v>
      </c>
      <c r="X244" s="24" t="s">
        <v>198</v>
      </c>
      <c r="Y244" s="13" t="s">
        <v>764</v>
      </c>
      <c r="Z244" s="21" t="s">
        <v>198</v>
      </c>
      <c r="AA244" s="91"/>
      <c r="AB244" s="22" t="s">
        <v>1570</v>
      </c>
      <c r="AC244" s="59" t="s">
        <v>355</v>
      </c>
      <c r="AD244" s="9" t="s">
        <v>355</v>
      </c>
      <c r="AE244" s="22"/>
      <c r="AF244" s="22"/>
    </row>
    <row r="245" spans="2:32" x14ac:dyDescent="0.2">
      <c r="B245" s="13" t="s">
        <v>764</v>
      </c>
      <c r="C245" s="9" t="s">
        <v>665</v>
      </c>
      <c r="D245" s="11" t="s">
        <v>198</v>
      </c>
      <c r="E245" s="10" t="s">
        <v>198</v>
      </c>
      <c r="F245" s="11" t="s">
        <v>198</v>
      </c>
      <c r="G245" s="11" t="s">
        <v>198</v>
      </c>
      <c r="H245" s="11" t="s">
        <v>198</v>
      </c>
      <c r="I245" s="11" t="s">
        <v>198</v>
      </c>
      <c r="J245" s="11" t="s">
        <v>198</v>
      </c>
      <c r="K245" s="11" t="s">
        <v>198</v>
      </c>
      <c r="L245" s="11" t="s">
        <v>198</v>
      </c>
      <c r="M245" s="11" t="s">
        <v>198</v>
      </c>
      <c r="N245" s="11" t="s">
        <v>198</v>
      </c>
      <c r="O245" s="11" t="s">
        <v>198</v>
      </c>
      <c r="P245" s="10" t="s">
        <v>198</v>
      </c>
      <c r="Q245" s="11" t="s">
        <v>198</v>
      </c>
      <c r="R245" s="11" t="s">
        <v>198</v>
      </c>
      <c r="S245" s="11" t="s">
        <v>198</v>
      </c>
      <c r="T245" s="11" t="s">
        <v>198</v>
      </c>
      <c r="U245" s="11" t="s">
        <v>198</v>
      </c>
      <c r="V245" s="11" t="s">
        <v>198</v>
      </c>
      <c r="W245" s="24" t="s">
        <v>198</v>
      </c>
      <c r="X245" s="24" t="s">
        <v>198</v>
      </c>
      <c r="Y245" s="13" t="s">
        <v>764</v>
      </c>
      <c r="Z245" s="21" t="s">
        <v>198</v>
      </c>
      <c r="AA245" s="91"/>
      <c r="AB245" s="22" t="s">
        <v>1570</v>
      </c>
      <c r="AC245" s="59" t="s">
        <v>355</v>
      </c>
      <c r="AD245" s="9" t="s">
        <v>355</v>
      </c>
      <c r="AE245" s="22"/>
      <c r="AF245" s="22"/>
    </row>
    <row r="246" spans="2:32" x14ac:dyDescent="0.2">
      <c r="B246" s="15" t="s">
        <v>933</v>
      </c>
      <c r="C246" s="96" t="s">
        <v>666</v>
      </c>
      <c r="D246" s="11" t="s">
        <v>198</v>
      </c>
      <c r="E246" s="10" t="s">
        <v>198</v>
      </c>
      <c r="F246" s="11" t="s">
        <v>198</v>
      </c>
      <c r="G246" s="11" t="s">
        <v>198</v>
      </c>
      <c r="H246" s="11" t="s">
        <v>198</v>
      </c>
      <c r="I246" s="11" t="s">
        <v>198</v>
      </c>
      <c r="J246" s="11" t="s">
        <v>198</v>
      </c>
      <c r="K246" s="11" t="s">
        <v>198</v>
      </c>
      <c r="L246" s="11" t="s">
        <v>198</v>
      </c>
      <c r="M246" s="11" t="s">
        <v>198</v>
      </c>
      <c r="N246" s="11" t="s">
        <v>198</v>
      </c>
      <c r="O246" s="11" t="s">
        <v>198</v>
      </c>
      <c r="P246" s="10" t="s">
        <v>198</v>
      </c>
      <c r="Q246" s="11" t="s">
        <v>198</v>
      </c>
      <c r="R246" s="11" t="s">
        <v>198</v>
      </c>
      <c r="S246" s="11" t="s">
        <v>198</v>
      </c>
      <c r="T246" s="11" t="s">
        <v>198</v>
      </c>
      <c r="U246" s="11" t="s">
        <v>198</v>
      </c>
      <c r="V246" s="11" t="s">
        <v>198</v>
      </c>
      <c r="W246" s="24" t="s">
        <v>198</v>
      </c>
      <c r="X246" s="24" t="s">
        <v>198</v>
      </c>
      <c r="Y246" s="15" t="s">
        <v>933</v>
      </c>
      <c r="Z246" s="21" t="s">
        <v>198</v>
      </c>
      <c r="AA246" s="91"/>
      <c r="AB246" s="22" t="s">
        <v>1575</v>
      </c>
      <c r="AC246" s="59" t="s">
        <v>355</v>
      </c>
      <c r="AD246" s="9" t="s">
        <v>355</v>
      </c>
      <c r="AE246" s="22"/>
      <c r="AF246" s="22"/>
    </row>
    <row r="247" spans="2:32" x14ac:dyDescent="0.2">
      <c r="B247" s="15" t="s">
        <v>185</v>
      </c>
      <c r="C247" s="9" t="s">
        <v>667</v>
      </c>
      <c r="D247" s="11" t="s">
        <v>198</v>
      </c>
      <c r="E247" s="10" t="s">
        <v>198</v>
      </c>
      <c r="F247" s="11" t="s">
        <v>198</v>
      </c>
      <c r="G247" s="11" t="s">
        <v>198</v>
      </c>
      <c r="H247" s="11" t="s">
        <v>198</v>
      </c>
      <c r="I247" s="11" t="s">
        <v>198</v>
      </c>
      <c r="J247" s="11" t="s">
        <v>198</v>
      </c>
      <c r="K247" s="11" t="s">
        <v>198</v>
      </c>
      <c r="L247" s="11" t="s">
        <v>198</v>
      </c>
      <c r="M247" s="11" t="s">
        <v>198</v>
      </c>
      <c r="N247" s="11" t="s">
        <v>198</v>
      </c>
      <c r="O247" s="11" t="s">
        <v>198</v>
      </c>
      <c r="P247" s="10" t="s">
        <v>198</v>
      </c>
      <c r="Q247" s="11" t="s">
        <v>198</v>
      </c>
      <c r="R247" s="11" t="s">
        <v>198</v>
      </c>
      <c r="S247" s="11" t="s">
        <v>198</v>
      </c>
      <c r="T247" s="11" t="s">
        <v>198</v>
      </c>
      <c r="U247" s="11" t="s">
        <v>198</v>
      </c>
      <c r="V247" s="11" t="s">
        <v>198</v>
      </c>
      <c r="W247" s="24" t="s">
        <v>198</v>
      </c>
      <c r="X247" s="24" t="s">
        <v>198</v>
      </c>
      <c r="Y247" s="15" t="s">
        <v>185</v>
      </c>
      <c r="Z247" s="21" t="s">
        <v>198</v>
      </c>
      <c r="AA247" s="91"/>
      <c r="AB247" s="22" t="s">
        <v>1571</v>
      </c>
      <c r="AC247" s="59" t="s">
        <v>355</v>
      </c>
      <c r="AD247" s="9" t="s">
        <v>355</v>
      </c>
      <c r="AE247" s="22"/>
      <c r="AF247" s="22"/>
    </row>
    <row r="248" spans="2:32" x14ac:dyDescent="0.2">
      <c r="B248" s="13" t="s">
        <v>764</v>
      </c>
      <c r="C248" s="9" t="s">
        <v>668</v>
      </c>
      <c r="D248" s="11" t="s">
        <v>198</v>
      </c>
      <c r="E248" s="10" t="s">
        <v>198</v>
      </c>
      <c r="F248" s="11" t="s">
        <v>198</v>
      </c>
      <c r="G248" s="11" t="s">
        <v>198</v>
      </c>
      <c r="H248" s="11" t="s">
        <v>198</v>
      </c>
      <c r="I248" s="11" t="s">
        <v>198</v>
      </c>
      <c r="J248" s="11" t="s">
        <v>198</v>
      </c>
      <c r="K248" s="11" t="s">
        <v>198</v>
      </c>
      <c r="L248" s="11" t="s">
        <v>198</v>
      </c>
      <c r="M248" s="11" t="s">
        <v>198</v>
      </c>
      <c r="N248" s="11" t="s">
        <v>198</v>
      </c>
      <c r="O248" s="11" t="s">
        <v>198</v>
      </c>
      <c r="P248" s="10" t="s">
        <v>198</v>
      </c>
      <c r="Q248" s="11" t="s">
        <v>198</v>
      </c>
      <c r="R248" s="11" t="s">
        <v>198</v>
      </c>
      <c r="S248" s="11" t="s">
        <v>198</v>
      </c>
      <c r="T248" s="11" t="s">
        <v>198</v>
      </c>
      <c r="U248" s="11" t="s">
        <v>198</v>
      </c>
      <c r="V248" s="11" t="s">
        <v>198</v>
      </c>
      <c r="W248" s="24" t="s">
        <v>198</v>
      </c>
      <c r="X248" s="24" t="s">
        <v>198</v>
      </c>
      <c r="Y248" s="13" t="s">
        <v>764</v>
      </c>
      <c r="Z248" s="21" t="s">
        <v>198</v>
      </c>
      <c r="AA248" s="91"/>
      <c r="AB248" s="22" t="s">
        <v>1570</v>
      </c>
      <c r="AC248" s="59" t="s">
        <v>355</v>
      </c>
      <c r="AD248" s="9" t="s">
        <v>355</v>
      </c>
      <c r="AE248" s="22"/>
      <c r="AF248" s="22"/>
    </row>
    <row r="249" spans="2:32" x14ac:dyDescent="0.2">
      <c r="B249" s="13" t="s">
        <v>764</v>
      </c>
      <c r="C249" s="9" t="s">
        <v>669</v>
      </c>
      <c r="D249" s="11" t="s">
        <v>198</v>
      </c>
      <c r="E249" s="10" t="s">
        <v>198</v>
      </c>
      <c r="F249" s="11" t="s">
        <v>198</v>
      </c>
      <c r="G249" s="11" t="s">
        <v>198</v>
      </c>
      <c r="H249" s="11" t="s">
        <v>198</v>
      </c>
      <c r="I249" s="11" t="s">
        <v>198</v>
      </c>
      <c r="J249" s="11" t="s">
        <v>198</v>
      </c>
      <c r="K249" s="11" t="s">
        <v>198</v>
      </c>
      <c r="L249" s="11" t="s">
        <v>198</v>
      </c>
      <c r="M249" s="11" t="s">
        <v>198</v>
      </c>
      <c r="N249" s="11" t="s">
        <v>198</v>
      </c>
      <c r="O249" s="11" t="s">
        <v>198</v>
      </c>
      <c r="P249" s="10" t="s">
        <v>198</v>
      </c>
      <c r="Q249" s="11" t="s">
        <v>198</v>
      </c>
      <c r="R249" s="11" t="s">
        <v>198</v>
      </c>
      <c r="S249" s="11" t="s">
        <v>198</v>
      </c>
      <c r="T249" s="11" t="s">
        <v>198</v>
      </c>
      <c r="U249" s="11" t="s">
        <v>198</v>
      </c>
      <c r="V249" s="11" t="s">
        <v>198</v>
      </c>
      <c r="W249" s="24" t="s">
        <v>198</v>
      </c>
      <c r="X249" s="24" t="s">
        <v>198</v>
      </c>
      <c r="Y249" s="13" t="s">
        <v>764</v>
      </c>
      <c r="Z249" s="21" t="s">
        <v>198</v>
      </c>
      <c r="AA249" s="91"/>
      <c r="AB249" s="22" t="s">
        <v>1570</v>
      </c>
      <c r="AC249" s="59" t="s">
        <v>355</v>
      </c>
      <c r="AD249" s="9" t="s">
        <v>355</v>
      </c>
      <c r="AE249" s="22"/>
      <c r="AF249" s="22"/>
    </row>
    <row r="250" spans="2:32" x14ac:dyDescent="0.2">
      <c r="B250" s="13" t="s">
        <v>764</v>
      </c>
      <c r="C250" s="9" t="s">
        <v>670</v>
      </c>
      <c r="D250" s="10" t="s">
        <v>198</v>
      </c>
      <c r="E250" s="10" t="s">
        <v>198</v>
      </c>
      <c r="F250" s="11" t="s">
        <v>198</v>
      </c>
      <c r="G250" s="11" t="s">
        <v>198</v>
      </c>
      <c r="H250" s="11" t="s">
        <v>198</v>
      </c>
      <c r="I250" s="11" t="s">
        <v>198</v>
      </c>
      <c r="J250" s="11" t="s">
        <v>198</v>
      </c>
      <c r="K250" s="11" t="s">
        <v>198</v>
      </c>
      <c r="L250" s="11" t="s">
        <v>198</v>
      </c>
      <c r="M250" s="11" t="s">
        <v>198</v>
      </c>
      <c r="N250" s="11" t="s">
        <v>198</v>
      </c>
      <c r="O250" s="11" t="s">
        <v>198</v>
      </c>
      <c r="P250" s="11" t="s">
        <v>198</v>
      </c>
      <c r="Q250" s="11" t="s">
        <v>198</v>
      </c>
      <c r="R250" s="11" t="s">
        <v>198</v>
      </c>
      <c r="S250" s="11" t="s">
        <v>198</v>
      </c>
      <c r="T250" s="11" t="s">
        <v>198</v>
      </c>
      <c r="U250" s="11" t="s">
        <v>198</v>
      </c>
      <c r="V250" s="11" t="s">
        <v>198</v>
      </c>
      <c r="W250" s="24" t="s">
        <v>198</v>
      </c>
      <c r="X250" s="24" t="s">
        <v>198</v>
      </c>
      <c r="Y250" s="13" t="s">
        <v>764</v>
      </c>
      <c r="Z250" s="21" t="s">
        <v>198</v>
      </c>
      <c r="AA250" s="91"/>
      <c r="AB250" s="22" t="s">
        <v>1570</v>
      </c>
      <c r="AC250" s="59" t="s">
        <v>355</v>
      </c>
      <c r="AD250" s="9" t="s">
        <v>355</v>
      </c>
      <c r="AE250" s="22"/>
      <c r="AF250" s="22"/>
    </row>
    <row r="251" spans="2:32" x14ac:dyDescent="0.2">
      <c r="B251" s="13" t="s">
        <v>764</v>
      </c>
      <c r="C251" s="9" t="s">
        <v>671</v>
      </c>
      <c r="D251" s="10" t="s">
        <v>198</v>
      </c>
      <c r="E251" s="10" t="s">
        <v>198</v>
      </c>
      <c r="F251" s="11" t="s">
        <v>198</v>
      </c>
      <c r="G251" s="11" t="s">
        <v>198</v>
      </c>
      <c r="H251" s="11" t="s">
        <v>198</v>
      </c>
      <c r="I251" s="11" t="s">
        <v>198</v>
      </c>
      <c r="J251" s="11" t="s">
        <v>198</v>
      </c>
      <c r="K251" s="11" t="s">
        <v>198</v>
      </c>
      <c r="L251" s="11" t="s">
        <v>198</v>
      </c>
      <c r="M251" s="11" t="s">
        <v>198</v>
      </c>
      <c r="N251" s="11" t="s">
        <v>198</v>
      </c>
      <c r="O251" s="11" t="s">
        <v>198</v>
      </c>
      <c r="P251" s="11" t="s">
        <v>198</v>
      </c>
      <c r="Q251" s="11" t="s">
        <v>198</v>
      </c>
      <c r="R251" s="11" t="s">
        <v>198</v>
      </c>
      <c r="S251" s="11" t="s">
        <v>198</v>
      </c>
      <c r="T251" s="11" t="s">
        <v>198</v>
      </c>
      <c r="U251" s="11" t="s">
        <v>198</v>
      </c>
      <c r="V251" s="11" t="s">
        <v>198</v>
      </c>
      <c r="W251" s="24" t="s">
        <v>198</v>
      </c>
      <c r="X251" s="24" t="s">
        <v>198</v>
      </c>
      <c r="Y251" s="13" t="s">
        <v>764</v>
      </c>
      <c r="Z251" s="21" t="s">
        <v>198</v>
      </c>
      <c r="AA251" s="91"/>
      <c r="AB251" s="22" t="s">
        <v>1570</v>
      </c>
      <c r="AC251" s="59" t="s">
        <v>355</v>
      </c>
      <c r="AD251" s="9" t="s">
        <v>355</v>
      </c>
      <c r="AE251" s="22"/>
      <c r="AF251" s="22"/>
    </row>
    <row r="252" spans="2:32" x14ac:dyDescent="0.2">
      <c r="B252" s="13" t="s">
        <v>764</v>
      </c>
      <c r="C252" s="9" t="s">
        <v>672</v>
      </c>
      <c r="D252" s="10" t="s">
        <v>198</v>
      </c>
      <c r="E252" s="10" t="s">
        <v>198</v>
      </c>
      <c r="F252" s="11" t="s">
        <v>198</v>
      </c>
      <c r="G252" s="11" t="s">
        <v>198</v>
      </c>
      <c r="H252" s="11" t="s">
        <v>198</v>
      </c>
      <c r="I252" s="11" t="s">
        <v>198</v>
      </c>
      <c r="J252" s="11" t="s">
        <v>198</v>
      </c>
      <c r="K252" s="11" t="s">
        <v>198</v>
      </c>
      <c r="L252" s="11" t="s">
        <v>198</v>
      </c>
      <c r="M252" s="11" t="s">
        <v>198</v>
      </c>
      <c r="N252" s="11" t="s">
        <v>198</v>
      </c>
      <c r="O252" s="11" t="s">
        <v>198</v>
      </c>
      <c r="P252" s="11" t="s">
        <v>198</v>
      </c>
      <c r="Q252" s="11" t="s">
        <v>198</v>
      </c>
      <c r="R252" s="11" t="s">
        <v>198</v>
      </c>
      <c r="S252" s="11" t="s">
        <v>198</v>
      </c>
      <c r="T252" s="11" t="s">
        <v>198</v>
      </c>
      <c r="U252" s="11" t="s">
        <v>198</v>
      </c>
      <c r="V252" s="11" t="s">
        <v>198</v>
      </c>
      <c r="W252" s="24" t="s">
        <v>198</v>
      </c>
      <c r="X252" s="24" t="s">
        <v>198</v>
      </c>
      <c r="Y252" s="13" t="s">
        <v>764</v>
      </c>
      <c r="Z252" s="21" t="s">
        <v>198</v>
      </c>
      <c r="AA252" s="91"/>
      <c r="AB252" s="22" t="s">
        <v>1570</v>
      </c>
      <c r="AC252" s="59" t="s">
        <v>355</v>
      </c>
      <c r="AD252" s="9" t="s">
        <v>355</v>
      </c>
      <c r="AE252" s="22"/>
      <c r="AF252" s="22"/>
    </row>
    <row r="253" spans="2:32" x14ac:dyDescent="0.2">
      <c r="B253" s="13" t="s">
        <v>764</v>
      </c>
      <c r="C253" s="9" t="s">
        <v>673</v>
      </c>
      <c r="D253" s="10" t="s">
        <v>198</v>
      </c>
      <c r="E253" s="10" t="s">
        <v>198</v>
      </c>
      <c r="F253" s="11" t="s">
        <v>198</v>
      </c>
      <c r="G253" s="11" t="s">
        <v>198</v>
      </c>
      <c r="H253" s="11" t="s">
        <v>198</v>
      </c>
      <c r="I253" s="11" t="s">
        <v>198</v>
      </c>
      <c r="J253" s="11" t="s">
        <v>198</v>
      </c>
      <c r="K253" s="11" t="s">
        <v>198</v>
      </c>
      <c r="L253" s="11" t="s">
        <v>198</v>
      </c>
      <c r="M253" s="11" t="s">
        <v>198</v>
      </c>
      <c r="N253" s="11" t="s">
        <v>198</v>
      </c>
      <c r="O253" s="11" t="s">
        <v>198</v>
      </c>
      <c r="P253" s="11" t="s">
        <v>198</v>
      </c>
      <c r="Q253" s="11" t="s">
        <v>198</v>
      </c>
      <c r="R253" s="11" t="s">
        <v>198</v>
      </c>
      <c r="S253" s="11" t="s">
        <v>198</v>
      </c>
      <c r="T253" s="11" t="s">
        <v>198</v>
      </c>
      <c r="U253" s="11" t="s">
        <v>198</v>
      </c>
      <c r="V253" s="11" t="s">
        <v>198</v>
      </c>
      <c r="W253" s="24" t="s">
        <v>198</v>
      </c>
      <c r="X253" s="24" t="s">
        <v>198</v>
      </c>
      <c r="Y253" s="13" t="s">
        <v>764</v>
      </c>
      <c r="Z253" s="21" t="s">
        <v>198</v>
      </c>
      <c r="AA253" s="91"/>
      <c r="AB253" s="22" t="s">
        <v>1570</v>
      </c>
      <c r="AC253" s="59" t="s">
        <v>355</v>
      </c>
      <c r="AD253" s="9" t="s">
        <v>355</v>
      </c>
      <c r="AE253" s="22"/>
      <c r="AF253" s="22"/>
    </row>
    <row r="254" spans="2:32" x14ac:dyDescent="0.2">
      <c r="B254" s="15" t="s">
        <v>186</v>
      </c>
      <c r="C254" s="9" t="s">
        <v>674</v>
      </c>
      <c r="D254" s="10" t="s">
        <v>198</v>
      </c>
      <c r="E254" s="10" t="s">
        <v>198</v>
      </c>
      <c r="F254" s="11" t="s">
        <v>198</v>
      </c>
      <c r="G254" s="11" t="s">
        <v>198</v>
      </c>
      <c r="H254" s="11" t="s">
        <v>198</v>
      </c>
      <c r="I254" s="11" t="s">
        <v>198</v>
      </c>
      <c r="J254" s="11" t="s">
        <v>198</v>
      </c>
      <c r="K254" s="11" t="s">
        <v>198</v>
      </c>
      <c r="L254" s="11" t="s">
        <v>198</v>
      </c>
      <c r="M254" s="11" t="s">
        <v>198</v>
      </c>
      <c r="N254" s="11" t="s">
        <v>198</v>
      </c>
      <c r="O254" s="11" t="s">
        <v>198</v>
      </c>
      <c r="P254" s="11" t="s">
        <v>198</v>
      </c>
      <c r="Q254" s="11" t="s">
        <v>198</v>
      </c>
      <c r="R254" s="11" t="s">
        <v>198</v>
      </c>
      <c r="S254" s="11" t="s">
        <v>198</v>
      </c>
      <c r="T254" s="11" t="s">
        <v>198</v>
      </c>
      <c r="U254" s="11" t="s">
        <v>198</v>
      </c>
      <c r="V254" s="11" t="s">
        <v>198</v>
      </c>
      <c r="W254" s="24" t="s">
        <v>198</v>
      </c>
      <c r="X254" s="24" t="s">
        <v>198</v>
      </c>
      <c r="Y254" s="15" t="s">
        <v>186</v>
      </c>
      <c r="Z254" s="21" t="s">
        <v>198</v>
      </c>
      <c r="AA254" s="91"/>
      <c r="AB254" s="22" t="s">
        <v>1579</v>
      </c>
      <c r="AC254" s="59" t="s">
        <v>355</v>
      </c>
      <c r="AD254" s="9" t="s">
        <v>355</v>
      </c>
      <c r="AE254" s="22"/>
      <c r="AF254" s="22"/>
    </row>
    <row r="255" spans="2:32" x14ac:dyDescent="0.2">
      <c r="B255" s="15" t="s">
        <v>924</v>
      </c>
      <c r="C255" s="9" t="s">
        <v>675</v>
      </c>
      <c r="D255" s="10" t="s">
        <v>198</v>
      </c>
      <c r="E255" s="10" t="s">
        <v>198</v>
      </c>
      <c r="F255" s="11" t="s">
        <v>198</v>
      </c>
      <c r="G255" s="11" t="s">
        <v>198</v>
      </c>
      <c r="H255" s="11" t="s">
        <v>198</v>
      </c>
      <c r="I255" s="11" t="s">
        <v>198</v>
      </c>
      <c r="J255" s="11" t="s">
        <v>198</v>
      </c>
      <c r="K255" s="11" t="s">
        <v>198</v>
      </c>
      <c r="L255" s="11" t="s">
        <v>198</v>
      </c>
      <c r="M255" s="11" t="s">
        <v>198</v>
      </c>
      <c r="N255" s="11" t="s">
        <v>198</v>
      </c>
      <c r="O255" s="11" t="s">
        <v>198</v>
      </c>
      <c r="P255" s="11" t="s">
        <v>198</v>
      </c>
      <c r="Q255" s="11" t="s">
        <v>198</v>
      </c>
      <c r="R255" s="11" t="s">
        <v>198</v>
      </c>
      <c r="S255" s="11" t="s">
        <v>198</v>
      </c>
      <c r="T255" s="11" t="s">
        <v>198</v>
      </c>
      <c r="U255" s="11" t="s">
        <v>198</v>
      </c>
      <c r="V255" s="11" t="s">
        <v>198</v>
      </c>
      <c r="W255" s="24" t="s">
        <v>198</v>
      </c>
      <c r="X255" s="24" t="s">
        <v>198</v>
      </c>
      <c r="Y255" s="15" t="s">
        <v>924</v>
      </c>
      <c r="Z255" s="21" t="s">
        <v>198</v>
      </c>
      <c r="AA255" s="92"/>
      <c r="AB255" s="25" t="s">
        <v>1574</v>
      </c>
      <c r="AC255" s="59" t="s">
        <v>355</v>
      </c>
      <c r="AD255" s="9" t="s">
        <v>355</v>
      </c>
      <c r="AE255" s="22"/>
      <c r="AF255" s="22"/>
    </row>
    <row r="256" spans="2:32" x14ac:dyDescent="0.2">
      <c r="B256" s="13" t="s">
        <v>764</v>
      </c>
      <c r="C256" s="9" t="s">
        <v>676</v>
      </c>
      <c r="D256" s="11" t="s">
        <v>198</v>
      </c>
      <c r="E256" s="11" t="s">
        <v>198</v>
      </c>
      <c r="F256" s="11" t="s">
        <v>198</v>
      </c>
      <c r="G256" s="11" t="s">
        <v>198</v>
      </c>
      <c r="H256" s="11" t="s">
        <v>198</v>
      </c>
      <c r="I256" s="11" t="s">
        <v>198</v>
      </c>
      <c r="J256" s="11" t="s">
        <v>198</v>
      </c>
      <c r="K256" s="11" t="s">
        <v>198</v>
      </c>
      <c r="L256" s="11" t="s">
        <v>198</v>
      </c>
      <c r="M256" s="11" t="s">
        <v>198</v>
      </c>
      <c r="N256" s="11" t="s">
        <v>198</v>
      </c>
      <c r="O256" s="11" t="s">
        <v>198</v>
      </c>
      <c r="P256" s="11" t="s">
        <v>198</v>
      </c>
      <c r="Q256" s="11" t="s">
        <v>198</v>
      </c>
      <c r="R256" s="11" t="s">
        <v>198</v>
      </c>
      <c r="S256" s="11" t="s">
        <v>198</v>
      </c>
      <c r="T256" s="11" t="s">
        <v>198</v>
      </c>
      <c r="U256" s="11" t="s">
        <v>198</v>
      </c>
      <c r="V256" s="11" t="s">
        <v>198</v>
      </c>
      <c r="W256" s="24" t="s">
        <v>198</v>
      </c>
      <c r="X256" s="24" t="s">
        <v>198</v>
      </c>
      <c r="Y256" s="13" t="s">
        <v>764</v>
      </c>
      <c r="Z256" s="21" t="s">
        <v>198</v>
      </c>
      <c r="AA256" s="92"/>
      <c r="AB256" s="22" t="s">
        <v>1570</v>
      </c>
      <c r="AC256" s="59" t="s">
        <v>355</v>
      </c>
      <c r="AD256" s="9" t="s">
        <v>355</v>
      </c>
      <c r="AE256" s="22"/>
      <c r="AF256" s="22"/>
    </row>
    <row r="257" spans="2:32" x14ac:dyDescent="0.2">
      <c r="B257" s="13" t="s">
        <v>764</v>
      </c>
      <c r="C257" s="9" t="s">
        <v>677</v>
      </c>
      <c r="D257" s="11" t="s">
        <v>198</v>
      </c>
      <c r="E257" s="11" t="s">
        <v>198</v>
      </c>
      <c r="F257" s="11" t="s">
        <v>198</v>
      </c>
      <c r="G257" s="11" t="s">
        <v>198</v>
      </c>
      <c r="H257" s="11" t="s">
        <v>198</v>
      </c>
      <c r="I257" s="11" t="s">
        <v>198</v>
      </c>
      <c r="J257" s="11" t="s">
        <v>198</v>
      </c>
      <c r="K257" s="11" t="s">
        <v>198</v>
      </c>
      <c r="L257" s="11" t="s">
        <v>198</v>
      </c>
      <c r="M257" s="11" t="s">
        <v>198</v>
      </c>
      <c r="N257" s="11" t="s">
        <v>198</v>
      </c>
      <c r="O257" s="11" t="s">
        <v>198</v>
      </c>
      <c r="P257" s="11" t="s">
        <v>198</v>
      </c>
      <c r="Q257" s="11" t="s">
        <v>198</v>
      </c>
      <c r="R257" s="11" t="s">
        <v>198</v>
      </c>
      <c r="S257" s="11" t="s">
        <v>198</v>
      </c>
      <c r="T257" s="11" t="s">
        <v>198</v>
      </c>
      <c r="U257" s="11" t="s">
        <v>198</v>
      </c>
      <c r="V257" s="11" t="s">
        <v>198</v>
      </c>
      <c r="W257" s="24" t="s">
        <v>198</v>
      </c>
      <c r="X257" s="24" t="s">
        <v>198</v>
      </c>
      <c r="Y257" s="13" t="s">
        <v>764</v>
      </c>
      <c r="Z257" s="21" t="s">
        <v>198</v>
      </c>
      <c r="AA257" s="92"/>
      <c r="AB257" s="22" t="s">
        <v>1570</v>
      </c>
      <c r="AC257" s="59" t="s">
        <v>355</v>
      </c>
      <c r="AD257" s="9" t="s">
        <v>355</v>
      </c>
      <c r="AE257" s="22"/>
      <c r="AF257" s="22"/>
    </row>
    <row r="258" spans="2:32" x14ac:dyDescent="0.2">
      <c r="B258" s="13" t="s">
        <v>764</v>
      </c>
      <c r="C258" s="9" t="s">
        <v>678</v>
      </c>
      <c r="D258" s="11" t="s">
        <v>198</v>
      </c>
      <c r="E258" s="11" t="s">
        <v>198</v>
      </c>
      <c r="F258" s="11" t="s">
        <v>198</v>
      </c>
      <c r="G258" s="11" t="s">
        <v>198</v>
      </c>
      <c r="H258" s="11" t="s">
        <v>198</v>
      </c>
      <c r="I258" s="11" t="s">
        <v>198</v>
      </c>
      <c r="J258" s="11" t="s">
        <v>198</v>
      </c>
      <c r="K258" s="11" t="s">
        <v>198</v>
      </c>
      <c r="L258" s="11" t="s">
        <v>198</v>
      </c>
      <c r="M258" s="11" t="s">
        <v>198</v>
      </c>
      <c r="N258" s="11" t="s">
        <v>198</v>
      </c>
      <c r="O258" s="11" t="s">
        <v>198</v>
      </c>
      <c r="P258" s="11" t="s">
        <v>198</v>
      </c>
      <c r="Q258" s="11" t="s">
        <v>198</v>
      </c>
      <c r="R258" s="11" t="s">
        <v>198</v>
      </c>
      <c r="S258" s="11" t="s">
        <v>198</v>
      </c>
      <c r="T258" s="11" t="s">
        <v>198</v>
      </c>
      <c r="U258" s="11" t="s">
        <v>198</v>
      </c>
      <c r="V258" s="11" t="s">
        <v>198</v>
      </c>
      <c r="W258" s="24" t="s">
        <v>198</v>
      </c>
      <c r="X258" s="24" t="s">
        <v>198</v>
      </c>
      <c r="Y258" s="13" t="s">
        <v>764</v>
      </c>
      <c r="Z258" s="21" t="s">
        <v>198</v>
      </c>
      <c r="AA258" s="92"/>
      <c r="AB258" s="22" t="s">
        <v>1570</v>
      </c>
      <c r="AC258" s="59" t="s">
        <v>355</v>
      </c>
      <c r="AD258" s="9" t="s">
        <v>355</v>
      </c>
      <c r="AE258" s="22"/>
      <c r="AF258" s="22"/>
    </row>
    <row r="259" spans="2:32" x14ac:dyDescent="0.2">
      <c r="B259" s="13" t="s">
        <v>764</v>
      </c>
      <c r="C259" s="9" t="s">
        <v>679</v>
      </c>
      <c r="D259" s="11" t="s">
        <v>198</v>
      </c>
      <c r="E259" s="11" t="s">
        <v>198</v>
      </c>
      <c r="F259" s="11" t="s">
        <v>198</v>
      </c>
      <c r="G259" s="11" t="s">
        <v>198</v>
      </c>
      <c r="H259" s="11" t="s">
        <v>198</v>
      </c>
      <c r="I259" s="11" t="s">
        <v>198</v>
      </c>
      <c r="J259" s="11" t="s">
        <v>198</v>
      </c>
      <c r="K259" s="11" t="s">
        <v>198</v>
      </c>
      <c r="L259" s="11" t="s">
        <v>198</v>
      </c>
      <c r="M259" s="11" t="s">
        <v>198</v>
      </c>
      <c r="N259" s="11" t="s">
        <v>198</v>
      </c>
      <c r="O259" s="11" t="s">
        <v>198</v>
      </c>
      <c r="P259" s="11" t="s">
        <v>198</v>
      </c>
      <c r="Q259" s="11" t="s">
        <v>198</v>
      </c>
      <c r="R259" s="11" t="s">
        <v>198</v>
      </c>
      <c r="S259" s="11" t="s">
        <v>198</v>
      </c>
      <c r="T259" s="11" t="s">
        <v>198</v>
      </c>
      <c r="U259" s="11" t="s">
        <v>198</v>
      </c>
      <c r="V259" s="11" t="s">
        <v>198</v>
      </c>
      <c r="W259" s="24" t="s">
        <v>198</v>
      </c>
      <c r="X259" s="24" t="s">
        <v>198</v>
      </c>
      <c r="Y259" s="13" t="s">
        <v>764</v>
      </c>
      <c r="Z259" s="21" t="s">
        <v>198</v>
      </c>
      <c r="AA259" s="92"/>
      <c r="AB259" s="22" t="s">
        <v>1570</v>
      </c>
      <c r="AC259" s="59" t="s">
        <v>355</v>
      </c>
      <c r="AD259" s="9" t="s">
        <v>355</v>
      </c>
      <c r="AE259" s="22"/>
      <c r="AF259" s="22"/>
    </row>
    <row r="260" spans="2:32" x14ac:dyDescent="0.2">
      <c r="B260" s="13" t="s">
        <v>764</v>
      </c>
      <c r="C260" s="9" t="s">
        <v>680</v>
      </c>
      <c r="D260" s="10" t="s">
        <v>198</v>
      </c>
      <c r="E260" s="10" t="s">
        <v>198</v>
      </c>
      <c r="F260" s="10" t="s">
        <v>198</v>
      </c>
      <c r="G260" s="10" t="s">
        <v>198</v>
      </c>
      <c r="H260" s="10" t="s">
        <v>198</v>
      </c>
      <c r="I260" s="10" t="s">
        <v>198</v>
      </c>
      <c r="J260" s="10" t="s">
        <v>198</v>
      </c>
      <c r="K260" s="10" t="s">
        <v>198</v>
      </c>
      <c r="L260" s="10" t="s">
        <v>198</v>
      </c>
      <c r="M260" s="10" t="s">
        <v>198</v>
      </c>
      <c r="N260" s="10" t="s">
        <v>198</v>
      </c>
      <c r="O260" s="10" t="s">
        <v>198</v>
      </c>
      <c r="P260" s="10" t="s">
        <v>198</v>
      </c>
      <c r="Q260" s="10" t="s">
        <v>198</v>
      </c>
      <c r="R260" s="10" t="s">
        <v>198</v>
      </c>
      <c r="S260" s="10" t="s">
        <v>198</v>
      </c>
      <c r="T260" s="10" t="s">
        <v>198</v>
      </c>
      <c r="U260" s="10" t="s">
        <v>198</v>
      </c>
      <c r="V260" s="10" t="s">
        <v>198</v>
      </c>
      <c r="W260" s="19" t="s">
        <v>198</v>
      </c>
      <c r="X260" s="24" t="s">
        <v>198</v>
      </c>
      <c r="Y260" s="13" t="s">
        <v>764</v>
      </c>
      <c r="Z260" s="21" t="s">
        <v>198</v>
      </c>
      <c r="AA260" s="92"/>
      <c r="AB260" s="22" t="s">
        <v>1570</v>
      </c>
      <c r="AC260" s="59" t="s">
        <v>355</v>
      </c>
      <c r="AD260" s="9" t="s">
        <v>355</v>
      </c>
      <c r="AE260" s="22"/>
      <c r="AF260" s="22"/>
    </row>
    <row r="261" spans="2:32" x14ac:dyDescent="0.2">
      <c r="B261" s="13" t="s">
        <v>764</v>
      </c>
      <c r="C261" s="9" t="s">
        <v>681</v>
      </c>
      <c r="D261" s="10" t="s">
        <v>198</v>
      </c>
      <c r="E261" s="10" t="s">
        <v>198</v>
      </c>
      <c r="F261" s="10" t="s">
        <v>198</v>
      </c>
      <c r="G261" s="10" t="s">
        <v>198</v>
      </c>
      <c r="H261" s="10" t="s">
        <v>198</v>
      </c>
      <c r="I261" s="10" t="s">
        <v>198</v>
      </c>
      <c r="J261" s="10" t="s">
        <v>198</v>
      </c>
      <c r="K261" s="10" t="s">
        <v>198</v>
      </c>
      <c r="L261" s="10" t="s">
        <v>198</v>
      </c>
      <c r="M261" s="10" t="s">
        <v>198</v>
      </c>
      <c r="N261" s="10" t="s">
        <v>198</v>
      </c>
      <c r="O261" s="10" t="s">
        <v>198</v>
      </c>
      <c r="P261" s="10" t="s">
        <v>198</v>
      </c>
      <c r="Q261" s="10" t="s">
        <v>198</v>
      </c>
      <c r="R261" s="10" t="s">
        <v>198</v>
      </c>
      <c r="S261" s="10" t="s">
        <v>198</v>
      </c>
      <c r="T261" s="10" t="s">
        <v>198</v>
      </c>
      <c r="U261" s="10" t="s">
        <v>198</v>
      </c>
      <c r="V261" s="10" t="s">
        <v>198</v>
      </c>
      <c r="W261" s="19" t="s">
        <v>198</v>
      </c>
      <c r="X261" s="24" t="s">
        <v>198</v>
      </c>
      <c r="Y261" s="13" t="s">
        <v>764</v>
      </c>
      <c r="Z261" s="21" t="s">
        <v>198</v>
      </c>
      <c r="AA261" s="92"/>
      <c r="AB261" s="22" t="s">
        <v>1570</v>
      </c>
      <c r="AC261" s="59" t="s">
        <v>355</v>
      </c>
      <c r="AD261" s="9" t="s">
        <v>355</v>
      </c>
      <c r="AE261" s="22"/>
      <c r="AF261" s="22"/>
    </row>
    <row r="262" spans="2:32" x14ac:dyDescent="0.2">
      <c r="B262" s="15" t="s">
        <v>185</v>
      </c>
      <c r="C262" s="14" t="s">
        <v>682</v>
      </c>
      <c r="D262" s="10" t="s">
        <v>198</v>
      </c>
      <c r="E262" s="10" t="s">
        <v>198</v>
      </c>
      <c r="F262" s="11" t="s">
        <v>198</v>
      </c>
      <c r="G262" s="11" t="s">
        <v>198</v>
      </c>
      <c r="H262" s="11" t="s">
        <v>198</v>
      </c>
      <c r="I262" s="11" t="s">
        <v>198</v>
      </c>
      <c r="J262" s="11" t="s">
        <v>198</v>
      </c>
      <c r="K262" s="11" t="s">
        <v>198</v>
      </c>
      <c r="L262" s="11" t="s">
        <v>198</v>
      </c>
      <c r="M262" s="11" t="s">
        <v>198</v>
      </c>
      <c r="N262" s="11" t="s">
        <v>198</v>
      </c>
      <c r="O262" s="11" t="s">
        <v>198</v>
      </c>
      <c r="P262" s="11" t="s">
        <v>198</v>
      </c>
      <c r="Q262" s="11" t="s">
        <v>198</v>
      </c>
      <c r="R262" s="11" t="s">
        <v>198</v>
      </c>
      <c r="S262" s="11" t="s">
        <v>198</v>
      </c>
      <c r="T262" s="11" t="s">
        <v>198</v>
      </c>
      <c r="U262" s="11" t="s">
        <v>198</v>
      </c>
      <c r="V262" s="11" t="s">
        <v>198</v>
      </c>
      <c r="W262" s="24" t="s">
        <v>198</v>
      </c>
      <c r="X262" s="24" t="s">
        <v>198</v>
      </c>
      <c r="Y262" s="15" t="s">
        <v>185</v>
      </c>
      <c r="Z262" s="21" t="s">
        <v>198</v>
      </c>
      <c r="AA262" s="92"/>
      <c r="AB262" s="25" t="s">
        <v>1571</v>
      </c>
      <c r="AC262" s="59" t="s">
        <v>355</v>
      </c>
      <c r="AD262" s="9" t="s">
        <v>355</v>
      </c>
      <c r="AE262" s="22"/>
      <c r="AF262" s="22"/>
    </row>
    <row r="263" spans="2:32" x14ac:dyDescent="0.2">
      <c r="B263" s="13" t="s">
        <v>898</v>
      </c>
      <c r="C263" s="14" t="s">
        <v>1006</v>
      </c>
      <c r="D263" s="11" t="s">
        <v>198</v>
      </c>
      <c r="E263" s="11" t="s">
        <v>198</v>
      </c>
      <c r="F263" s="11" t="s">
        <v>198</v>
      </c>
      <c r="G263" s="11" t="s">
        <v>198</v>
      </c>
      <c r="H263" s="11" t="s">
        <v>198</v>
      </c>
      <c r="I263" s="11" t="s">
        <v>198</v>
      </c>
      <c r="J263" s="11" t="s">
        <v>198</v>
      </c>
      <c r="K263" s="11" t="s">
        <v>198</v>
      </c>
      <c r="L263" s="11" t="s">
        <v>198</v>
      </c>
      <c r="M263" s="11" t="s">
        <v>198</v>
      </c>
      <c r="N263" s="11" t="s">
        <v>198</v>
      </c>
      <c r="O263" s="11" t="s">
        <v>198</v>
      </c>
      <c r="P263" s="11" t="s">
        <v>198</v>
      </c>
      <c r="Q263" s="11" t="s">
        <v>198</v>
      </c>
      <c r="R263" s="11" t="s">
        <v>198</v>
      </c>
      <c r="S263" s="11" t="s">
        <v>198</v>
      </c>
      <c r="T263" s="11" t="s">
        <v>198</v>
      </c>
      <c r="U263" s="11" t="s">
        <v>198</v>
      </c>
      <c r="V263" s="11" t="s">
        <v>198</v>
      </c>
      <c r="W263" s="24" t="s">
        <v>198</v>
      </c>
      <c r="X263" s="24" t="s">
        <v>198</v>
      </c>
      <c r="Y263" s="13" t="s">
        <v>898</v>
      </c>
      <c r="Z263" s="21" t="s">
        <v>198</v>
      </c>
      <c r="AA263" s="92"/>
      <c r="AB263" s="25" t="s">
        <v>1593</v>
      </c>
      <c r="AC263" s="59" t="s">
        <v>355</v>
      </c>
      <c r="AD263" s="9" t="s">
        <v>355</v>
      </c>
      <c r="AE263" s="22"/>
      <c r="AF263" s="22"/>
    </row>
    <row r="264" spans="2:32" x14ac:dyDescent="0.2">
      <c r="B264" s="13" t="s">
        <v>898</v>
      </c>
      <c r="C264" s="95" t="s">
        <v>1007</v>
      </c>
      <c r="D264" s="10" t="s">
        <v>198</v>
      </c>
      <c r="E264" s="10" t="s">
        <v>198</v>
      </c>
      <c r="F264" s="10" t="s">
        <v>198</v>
      </c>
      <c r="G264" s="10" t="s">
        <v>198</v>
      </c>
      <c r="H264" s="10" t="s">
        <v>198</v>
      </c>
      <c r="I264" s="10" t="s">
        <v>198</v>
      </c>
      <c r="J264" s="10" t="s">
        <v>198</v>
      </c>
      <c r="K264" s="10" t="s">
        <v>198</v>
      </c>
      <c r="L264" s="10" t="s">
        <v>198</v>
      </c>
      <c r="M264" s="10" t="s">
        <v>198</v>
      </c>
      <c r="N264" s="10" t="s">
        <v>198</v>
      </c>
      <c r="O264" s="10" t="s">
        <v>198</v>
      </c>
      <c r="P264" s="10" t="s">
        <v>198</v>
      </c>
      <c r="Q264" s="10" t="s">
        <v>198</v>
      </c>
      <c r="R264" s="10" t="s">
        <v>198</v>
      </c>
      <c r="S264" s="10" t="s">
        <v>198</v>
      </c>
      <c r="T264" s="10" t="s">
        <v>198</v>
      </c>
      <c r="U264" s="10" t="s">
        <v>198</v>
      </c>
      <c r="V264" s="10" t="s">
        <v>198</v>
      </c>
      <c r="W264" s="19" t="s">
        <v>198</v>
      </c>
      <c r="X264" s="24" t="s">
        <v>198</v>
      </c>
      <c r="Y264" s="13" t="s">
        <v>898</v>
      </c>
      <c r="Z264" s="21" t="s">
        <v>198</v>
      </c>
      <c r="AA264" s="92"/>
      <c r="AB264" s="25" t="s">
        <v>1593</v>
      </c>
      <c r="AC264" s="59" t="s">
        <v>355</v>
      </c>
      <c r="AD264" s="9" t="s">
        <v>355</v>
      </c>
      <c r="AE264" s="22"/>
      <c r="AF264" s="22"/>
    </row>
    <row r="265" spans="2:32" x14ac:dyDescent="0.2">
      <c r="B265" s="17" t="s">
        <v>1008</v>
      </c>
      <c r="C265" s="95" t="s">
        <v>1009</v>
      </c>
      <c r="D265" s="10" t="s">
        <v>198</v>
      </c>
      <c r="E265" s="10" t="s">
        <v>198</v>
      </c>
      <c r="F265" s="10" t="s">
        <v>198</v>
      </c>
      <c r="G265" s="10" t="s">
        <v>198</v>
      </c>
      <c r="H265" s="10" t="s">
        <v>198</v>
      </c>
      <c r="I265" s="10" t="s">
        <v>198</v>
      </c>
      <c r="J265" s="10" t="s">
        <v>198</v>
      </c>
      <c r="K265" s="10" t="s">
        <v>198</v>
      </c>
      <c r="L265" s="10" t="s">
        <v>198</v>
      </c>
      <c r="M265" s="10" t="s">
        <v>198</v>
      </c>
      <c r="N265" s="10" t="s">
        <v>198</v>
      </c>
      <c r="O265" s="10" t="s">
        <v>198</v>
      </c>
      <c r="P265" s="10" t="s">
        <v>198</v>
      </c>
      <c r="Q265" s="10" t="s">
        <v>198</v>
      </c>
      <c r="R265" s="10" t="s">
        <v>198</v>
      </c>
      <c r="S265" s="10" t="s">
        <v>198</v>
      </c>
      <c r="T265" s="10" t="s">
        <v>198</v>
      </c>
      <c r="U265" s="10" t="s">
        <v>198</v>
      </c>
      <c r="V265" s="10" t="s">
        <v>198</v>
      </c>
      <c r="W265" s="19" t="s">
        <v>198</v>
      </c>
      <c r="X265" s="24" t="s">
        <v>198</v>
      </c>
      <c r="Y265" s="17" t="s">
        <v>1008</v>
      </c>
      <c r="Z265" s="21" t="s">
        <v>198</v>
      </c>
      <c r="AA265" s="92"/>
      <c r="AB265" s="25" t="s">
        <v>1589</v>
      </c>
      <c r="AC265" s="59" t="s">
        <v>355</v>
      </c>
      <c r="AD265" s="9" t="s">
        <v>355</v>
      </c>
      <c r="AE265" s="22"/>
      <c r="AF265" s="22"/>
    </row>
    <row r="266" spans="2:32" x14ac:dyDescent="0.2">
      <c r="B266" s="103" t="s">
        <v>925</v>
      </c>
      <c r="C266" s="95" t="s">
        <v>683</v>
      </c>
      <c r="D266" s="10" t="s">
        <v>198</v>
      </c>
      <c r="E266" s="10" t="s">
        <v>198</v>
      </c>
      <c r="F266" s="10" t="s">
        <v>198</v>
      </c>
      <c r="G266" s="10" t="s">
        <v>198</v>
      </c>
      <c r="H266" s="10" t="s">
        <v>198</v>
      </c>
      <c r="I266" s="10" t="s">
        <v>198</v>
      </c>
      <c r="J266" s="10" t="s">
        <v>198</v>
      </c>
      <c r="K266" s="10" t="s">
        <v>198</v>
      </c>
      <c r="L266" s="10" t="s">
        <v>198</v>
      </c>
      <c r="M266" s="10" t="s">
        <v>198</v>
      </c>
      <c r="N266" s="10" t="s">
        <v>198</v>
      </c>
      <c r="O266" s="10" t="s">
        <v>198</v>
      </c>
      <c r="P266" s="10" t="s">
        <v>198</v>
      </c>
      <c r="Q266" s="10" t="s">
        <v>198</v>
      </c>
      <c r="R266" s="10" t="s">
        <v>198</v>
      </c>
      <c r="S266" s="10" t="s">
        <v>198</v>
      </c>
      <c r="T266" s="10" t="s">
        <v>198</v>
      </c>
      <c r="U266" s="10" t="s">
        <v>198</v>
      </c>
      <c r="V266" s="10" t="s">
        <v>198</v>
      </c>
      <c r="W266" s="19" t="s">
        <v>198</v>
      </c>
      <c r="X266" s="24" t="s">
        <v>198</v>
      </c>
      <c r="Y266" s="103" t="s">
        <v>925</v>
      </c>
      <c r="Z266" s="21" t="s">
        <v>198</v>
      </c>
      <c r="AA266" s="92"/>
      <c r="AB266" s="25" t="s">
        <v>1582</v>
      </c>
      <c r="AC266" s="59" t="s">
        <v>355</v>
      </c>
      <c r="AD266" s="9" t="s">
        <v>355</v>
      </c>
      <c r="AE266" s="22"/>
      <c r="AF266" s="22"/>
    </row>
    <row r="267" spans="2:32" x14ac:dyDescent="0.2">
      <c r="B267" s="13" t="s">
        <v>764</v>
      </c>
      <c r="C267" s="9" t="s">
        <v>684</v>
      </c>
      <c r="D267" s="10" t="s">
        <v>198</v>
      </c>
      <c r="E267" s="10" t="s">
        <v>198</v>
      </c>
      <c r="F267" s="10" t="s">
        <v>198</v>
      </c>
      <c r="G267" s="10" t="s">
        <v>198</v>
      </c>
      <c r="H267" s="10" t="s">
        <v>198</v>
      </c>
      <c r="I267" s="10" t="s">
        <v>198</v>
      </c>
      <c r="J267" s="10" t="s">
        <v>198</v>
      </c>
      <c r="K267" s="10" t="s">
        <v>198</v>
      </c>
      <c r="L267" s="10" t="s">
        <v>198</v>
      </c>
      <c r="M267" s="10" t="s">
        <v>198</v>
      </c>
      <c r="N267" s="10" t="s">
        <v>198</v>
      </c>
      <c r="O267" s="10" t="s">
        <v>198</v>
      </c>
      <c r="P267" s="10" t="s">
        <v>198</v>
      </c>
      <c r="Q267" s="10" t="s">
        <v>198</v>
      </c>
      <c r="R267" s="10" t="s">
        <v>198</v>
      </c>
      <c r="S267" s="10" t="s">
        <v>198</v>
      </c>
      <c r="T267" s="10" t="s">
        <v>198</v>
      </c>
      <c r="U267" s="10" t="s">
        <v>198</v>
      </c>
      <c r="V267" s="10" t="s">
        <v>198</v>
      </c>
      <c r="W267" s="19" t="s">
        <v>198</v>
      </c>
      <c r="X267" s="24" t="s">
        <v>198</v>
      </c>
      <c r="Y267" s="13" t="s">
        <v>764</v>
      </c>
      <c r="Z267" s="21" t="s">
        <v>198</v>
      </c>
      <c r="AA267" s="92"/>
      <c r="AB267" s="22" t="s">
        <v>1570</v>
      </c>
      <c r="AC267" s="59" t="s">
        <v>355</v>
      </c>
      <c r="AD267" s="9" t="s">
        <v>355</v>
      </c>
      <c r="AE267" s="22"/>
      <c r="AF267" s="22"/>
    </row>
    <row r="268" spans="2:32" x14ac:dyDescent="0.2">
      <c r="B268" s="13" t="s">
        <v>764</v>
      </c>
      <c r="C268" s="9" t="s">
        <v>685</v>
      </c>
      <c r="D268" s="11" t="s">
        <v>198</v>
      </c>
      <c r="E268" s="11" t="s">
        <v>198</v>
      </c>
      <c r="F268" s="11" t="s">
        <v>198</v>
      </c>
      <c r="G268" s="11" t="s">
        <v>198</v>
      </c>
      <c r="H268" s="11" t="s">
        <v>198</v>
      </c>
      <c r="I268" s="11" t="s">
        <v>198</v>
      </c>
      <c r="J268" s="11" t="s">
        <v>198</v>
      </c>
      <c r="K268" s="11" t="s">
        <v>198</v>
      </c>
      <c r="L268" s="11" t="s">
        <v>198</v>
      </c>
      <c r="M268" s="11" t="s">
        <v>198</v>
      </c>
      <c r="N268" s="11" t="s">
        <v>198</v>
      </c>
      <c r="O268" s="11" t="s">
        <v>198</v>
      </c>
      <c r="P268" s="11" t="s">
        <v>198</v>
      </c>
      <c r="Q268" s="11" t="s">
        <v>198</v>
      </c>
      <c r="R268" s="11" t="s">
        <v>198</v>
      </c>
      <c r="S268" s="11" t="s">
        <v>198</v>
      </c>
      <c r="T268" s="11" t="s">
        <v>198</v>
      </c>
      <c r="U268" s="11" t="s">
        <v>198</v>
      </c>
      <c r="V268" s="11" t="s">
        <v>198</v>
      </c>
      <c r="W268" s="24" t="s">
        <v>198</v>
      </c>
      <c r="X268" s="24" t="s">
        <v>198</v>
      </c>
      <c r="Y268" s="13" t="s">
        <v>764</v>
      </c>
      <c r="Z268" s="21" t="s">
        <v>198</v>
      </c>
      <c r="AA268" s="92"/>
      <c r="AB268" s="22" t="s">
        <v>1570</v>
      </c>
      <c r="AC268" s="59" t="s">
        <v>355</v>
      </c>
      <c r="AD268" s="9" t="s">
        <v>355</v>
      </c>
      <c r="AE268" s="22"/>
      <c r="AF268" s="22"/>
    </row>
    <row r="269" spans="2:32" x14ac:dyDescent="0.2">
      <c r="B269" s="13" t="s">
        <v>764</v>
      </c>
      <c r="C269" s="9" t="s">
        <v>686</v>
      </c>
      <c r="D269" s="10" t="s">
        <v>198</v>
      </c>
      <c r="E269" s="10" t="s">
        <v>198</v>
      </c>
      <c r="F269" s="10" t="s">
        <v>198</v>
      </c>
      <c r="G269" s="10" t="s">
        <v>198</v>
      </c>
      <c r="H269" s="10" t="s">
        <v>198</v>
      </c>
      <c r="I269" s="10" t="s">
        <v>198</v>
      </c>
      <c r="J269" s="10" t="s">
        <v>198</v>
      </c>
      <c r="K269" s="10" t="s">
        <v>198</v>
      </c>
      <c r="L269" s="10" t="s">
        <v>198</v>
      </c>
      <c r="M269" s="10" t="s">
        <v>198</v>
      </c>
      <c r="N269" s="10" t="s">
        <v>198</v>
      </c>
      <c r="O269" s="10" t="s">
        <v>198</v>
      </c>
      <c r="P269" s="10" t="s">
        <v>198</v>
      </c>
      <c r="Q269" s="10" t="s">
        <v>198</v>
      </c>
      <c r="R269" s="10" t="s">
        <v>198</v>
      </c>
      <c r="S269" s="10" t="s">
        <v>198</v>
      </c>
      <c r="T269" s="10" t="s">
        <v>198</v>
      </c>
      <c r="U269" s="10" t="s">
        <v>198</v>
      </c>
      <c r="V269" s="10" t="s">
        <v>198</v>
      </c>
      <c r="W269" s="19" t="s">
        <v>198</v>
      </c>
      <c r="X269" s="24" t="s">
        <v>198</v>
      </c>
      <c r="Y269" s="13" t="s">
        <v>764</v>
      </c>
      <c r="Z269" s="21" t="s">
        <v>198</v>
      </c>
      <c r="AA269" s="92"/>
      <c r="AB269" s="22" t="s">
        <v>1570</v>
      </c>
      <c r="AC269" s="59" t="s">
        <v>355</v>
      </c>
      <c r="AD269" s="9" t="s">
        <v>355</v>
      </c>
      <c r="AE269" s="22"/>
      <c r="AF269" s="22"/>
    </row>
    <row r="270" spans="2:32" x14ac:dyDescent="0.2">
      <c r="B270" s="13" t="s">
        <v>764</v>
      </c>
      <c r="C270" s="9" t="s">
        <v>687</v>
      </c>
      <c r="D270" s="10" t="s">
        <v>198</v>
      </c>
      <c r="E270" s="10" t="s">
        <v>198</v>
      </c>
      <c r="F270" s="10" t="s">
        <v>198</v>
      </c>
      <c r="G270" s="10" t="s">
        <v>198</v>
      </c>
      <c r="H270" s="10" t="s">
        <v>198</v>
      </c>
      <c r="I270" s="10" t="s">
        <v>198</v>
      </c>
      <c r="J270" s="10" t="s">
        <v>198</v>
      </c>
      <c r="K270" s="10" t="s">
        <v>198</v>
      </c>
      <c r="L270" s="10" t="s">
        <v>198</v>
      </c>
      <c r="M270" s="10" t="s">
        <v>198</v>
      </c>
      <c r="N270" s="10" t="s">
        <v>198</v>
      </c>
      <c r="O270" s="10" t="s">
        <v>198</v>
      </c>
      <c r="P270" s="10" t="s">
        <v>198</v>
      </c>
      <c r="Q270" s="10" t="s">
        <v>198</v>
      </c>
      <c r="R270" s="10" t="s">
        <v>198</v>
      </c>
      <c r="S270" s="10" t="s">
        <v>198</v>
      </c>
      <c r="T270" s="10" t="s">
        <v>198</v>
      </c>
      <c r="U270" s="10" t="s">
        <v>198</v>
      </c>
      <c r="V270" s="10" t="s">
        <v>198</v>
      </c>
      <c r="W270" s="19" t="s">
        <v>198</v>
      </c>
      <c r="X270" s="24" t="s">
        <v>198</v>
      </c>
      <c r="Y270" s="13" t="s">
        <v>764</v>
      </c>
      <c r="Z270" s="21" t="s">
        <v>198</v>
      </c>
      <c r="AA270" s="92"/>
      <c r="AB270" s="22" t="s">
        <v>1570</v>
      </c>
      <c r="AC270" s="59" t="s">
        <v>355</v>
      </c>
      <c r="AD270" s="9" t="s">
        <v>355</v>
      </c>
      <c r="AE270" s="22"/>
      <c r="AF270" s="22"/>
    </row>
    <row r="271" spans="2:32" x14ac:dyDescent="0.2">
      <c r="B271" s="13" t="s">
        <v>764</v>
      </c>
      <c r="C271" s="9" t="s">
        <v>688</v>
      </c>
      <c r="D271" s="11" t="s">
        <v>198</v>
      </c>
      <c r="E271" s="11" t="s">
        <v>198</v>
      </c>
      <c r="F271" s="11" t="s">
        <v>198</v>
      </c>
      <c r="G271" s="11" t="s">
        <v>198</v>
      </c>
      <c r="H271" s="11" t="s">
        <v>198</v>
      </c>
      <c r="I271" s="11" t="s">
        <v>198</v>
      </c>
      <c r="J271" s="11" t="s">
        <v>198</v>
      </c>
      <c r="K271" s="11" t="s">
        <v>198</v>
      </c>
      <c r="L271" s="11" t="s">
        <v>198</v>
      </c>
      <c r="M271" s="11" t="s">
        <v>198</v>
      </c>
      <c r="N271" s="11" t="s">
        <v>198</v>
      </c>
      <c r="O271" s="11" t="s">
        <v>198</v>
      </c>
      <c r="P271" s="11" t="s">
        <v>198</v>
      </c>
      <c r="Q271" s="11" t="s">
        <v>198</v>
      </c>
      <c r="R271" s="11" t="s">
        <v>198</v>
      </c>
      <c r="S271" s="11" t="s">
        <v>198</v>
      </c>
      <c r="T271" s="11" t="s">
        <v>198</v>
      </c>
      <c r="U271" s="11" t="s">
        <v>198</v>
      </c>
      <c r="V271" s="11" t="s">
        <v>198</v>
      </c>
      <c r="W271" s="24" t="s">
        <v>198</v>
      </c>
      <c r="X271" s="24" t="s">
        <v>198</v>
      </c>
      <c r="Y271" s="13" t="s">
        <v>764</v>
      </c>
      <c r="Z271" s="21" t="s">
        <v>198</v>
      </c>
      <c r="AA271" s="92"/>
      <c r="AB271" s="22" t="s">
        <v>1570</v>
      </c>
      <c r="AC271" s="59" t="s">
        <v>355</v>
      </c>
      <c r="AD271" s="9" t="s">
        <v>355</v>
      </c>
      <c r="AE271" s="22"/>
      <c r="AF271" s="22"/>
    </row>
    <row r="272" spans="2:32" x14ac:dyDescent="0.2">
      <c r="B272" s="13" t="s">
        <v>764</v>
      </c>
      <c r="C272" s="9" t="s">
        <v>689</v>
      </c>
      <c r="D272" s="10" t="s">
        <v>198</v>
      </c>
      <c r="E272" s="10" t="s">
        <v>198</v>
      </c>
      <c r="F272" s="11" t="s">
        <v>198</v>
      </c>
      <c r="G272" s="11" t="s">
        <v>198</v>
      </c>
      <c r="H272" s="11" t="s">
        <v>198</v>
      </c>
      <c r="I272" s="11" t="s">
        <v>198</v>
      </c>
      <c r="J272" s="11" t="s">
        <v>198</v>
      </c>
      <c r="K272" s="11" t="s">
        <v>198</v>
      </c>
      <c r="L272" s="11" t="s">
        <v>198</v>
      </c>
      <c r="M272" s="11" t="s">
        <v>198</v>
      </c>
      <c r="N272" s="11" t="s">
        <v>198</v>
      </c>
      <c r="O272" s="11" t="s">
        <v>198</v>
      </c>
      <c r="P272" s="11" t="s">
        <v>198</v>
      </c>
      <c r="Q272" s="11" t="s">
        <v>198</v>
      </c>
      <c r="R272" s="11" t="s">
        <v>198</v>
      </c>
      <c r="S272" s="11" t="s">
        <v>198</v>
      </c>
      <c r="T272" s="11" t="s">
        <v>198</v>
      </c>
      <c r="U272" s="11" t="s">
        <v>198</v>
      </c>
      <c r="V272" s="11" t="s">
        <v>198</v>
      </c>
      <c r="W272" s="24" t="s">
        <v>198</v>
      </c>
      <c r="X272" s="24" t="s">
        <v>198</v>
      </c>
      <c r="Y272" s="13" t="s">
        <v>764</v>
      </c>
      <c r="Z272" s="21" t="s">
        <v>198</v>
      </c>
      <c r="AA272" s="91"/>
      <c r="AB272" s="22" t="s">
        <v>1570</v>
      </c>
      <c r="AC272" s="59" t="s">
        <v>355</v>
      </c>
      <c r="AD272" s="9" t="s">
        <v>355</v>
      </c>
      <c r="AE272" s="22"/>
      <c r="AF272" s="22"/>
    </row>
    <row r="273" spans="2:32" x14ac:dyDescent="0.2">
      <c r="B273" s="15" t="s">
        <v>899</v>
      </c>
      <c r="C273" s="97" t="s">
        <v>690</v>
      </c>
      <c r="D273" s="10" t="s">
        <v>198</v>
      </c>
      <c r="E273" s="10" t="s">
        <v>198</v>
      </c>
      <c r="F273" s="11" t="s">
        <v>198</v>
      </c>
      <c r="G273" s="11" t="s">
        <v>198</v>
      </c>
      <c r="H273" s="11" t="s">
        <v>198</v>
      </c>
      <c r="I273" s="11" t="s">
        <v>198</v>
      </c>
      <c r="J273" s="11" t="s">
        <v>198</v>
      </c>
      <c r="K273" s="11" t="s">
        <v>198</v>
      </c>
      <c r="L273" s="11" t="s">
        <v>198</v>
      </c>
      <c r="M273" s="11" t="s">
        <v>198</v>
      </c>
      <c r="N273" s="11" t="s">
        <v>198</v>
      </c>
      <c r="O273" s="11" t="s">
        <v>198</v>
      </c>
      <c r="P273" s="11" t="s">
        <v>198</v>
      </c>
      <c r="Q273" s="11" t="s">
        <v>198</v>
      </c>
      <c r="R273" s="11" t="s">
        <v>198</v>
      </c>
      <c r="S273" s="11" t="s">
        <v>198</v>
      </c>
      <c r="T273" s="11" t="s">
        <v>198</v>
      </c>
      <c r="U273" s="11" t="s">
        <v>198</v>
      </c>
      <c r="V273" s="11" t="s">
        <v>198</v>
      </c>
      <c r="W273" s="24" t="s">
        <v>198</v>
      </c>
      <c r="X273" s="24" t="s">
        <v>198</v>
      </c>
      <c r="Y273" s="15" t="s">
        <v>899</v>
      </c>
      <c r="Z273" s="21" t="s">
        <v>198</v>
      </c>
      <c r="AA273" s="91"/>
      <c r="AB273" s="22" t="s">
        <v>1584</v>
      </c>
      <c r="AC273" s="59" t="s">
        <v>355</v>
      </c>
      <c r="AD273" s="9" t="s">
        <v>355</v>
      </c>
      <c r="AE273" s="22"/>
      <c r="AF273" s="22"/>
    </row>
    <row r="274" spans="2:32" x14ac:dyDescent="0.2">
      <c r="B274" s="13" t="s">
        <v>898</v>
      </c>
      <c r="C274" s="97" t="s">
        <v>1010</v>
      </c>
      <c r="D274" s="10" t="s">
        <v>198</v>
      </c>
      <c r="E274" s="10" t="s">
        <v>198</v>
      </c>
      <c r="F274" s="11" t="s">
        <v>198</v>
      </c>
      <c r="G274" s="11" t="s">
        <v>198</v>
      </c>
      <c r="H274" s="11" t="s">
        <v>198</v>
      </c>
      <c r="I274" s="11" t="s">
        <v>198</v>
      </c>
      <c r="J274" s="11" t="s">
        <v>198</v>
      </c>
      <c r="K274" s="11" t="s">
        <v>198</v>
      </c>
      <c r="L274" s="11" t="s">
        <v>198</v>
      </c>
      <c r="M274" s="11" t="s">
        <v>198</v>
      </c>
      <c r="N274" s="11" t="s">
        <v>198</v>
      </c>
      <c r="O274" s="11" t="s">
        <v>198</v>
      </c>
      <c r="P274" s="11" t="s">
        <v>198</v>
      </c>
      <c r="Q274" s="11" t="s">
        <v>198</v>
      </c>
      <c r="R274" s="11" t="s">
        <v>198</v>
      </c>
      <c r="S274" s="11" t="s">
        <v>198</v>
      </c>
      <c r="T274" s="11" t="s">
        <v>198</v>
      </c>
      <c r="U274" s="11" t="s">
        <v>198</v>
      </c>
      <c r="V274" s="11" t="s">
        <v>198</v>
      </c>
      <c r="W274" s="24" t="s">
        <v>198</v>
      </c>
      <c r="X274" s="24" t="s">
        <v>198</v>
      </c>
      <c r="Y274" s="13" t="s">
        <v>898</v>
      </c>
      <c r="Z274" s="21" t="s">
        <v>198</v>
      </c>
      <c r="AA274" s="91"/>
      <c r="AB274" s="22" t="s">
        <v>1593</v>
      </c>
      <c r="AC274" s="59" t="s">
        <v>355</v>
      </c>
      <c r="AD274" s="9" t="s">
        <v>355</v>
      </c>
      <c r="AE274" s="22"/>
      <c r="AF274" s="22"/>
    </row>
    <row r="275" spans="2:32" x14ac:dyDescent="0.2">
      <c r="B275" s="13" t="s">
        <v>898</v>
      </c>
      <c r="C275" s="97" t="s">
        <v>1011</v>
      </c>
      <c r="D275" s="10" t="s">
        <v>198</v>
      </c>
      <c r="E275" s="10" t="s">
        <v>198</v>
      </c>
      <c r="F275" s="11" t="s">
        <v>198</v>
      </c>
      <c r="G275" s="11" t="s">
        <v>198</v>
      </c>
      <c r="H275" s="11" t="s">
        <v>198</v>
      </c>
      <c r="I275" s="11" t="s">
        <v>198</v>
      </c>
      <c r="J275" s="11" t="s">
        <v>198</v>
      </c>
      <c r="K275" s="11" t="s">
        <v>198</v>
      </c>
      <c r="L275" s="11" t="s">
        <v>198</v>
      </c>
      <c r="M275" s="11" t="s">
        <v>198</v>
      </c>
      <c r="N275" s="11" t="s">
        <v>198</v>
      </c>
      <c r="O275" s="11" t="s">
        <v>198</v>
      </c>
      <c r="P275" s="11" t="s">
        <v>198</v>
      </c>
      <c r="Q275" s="11" t="s">
        <v>198</v>
      </c>
      <c r="R275" s="11" t="s">
        <v>198</v>
      </c>
      <c r="S275" s="11" t="s">
        <v>198</v>
      </c>
      <c r="T275" s="11" t="s">
        <v>198</v>
      </c>
      <c r="U275" s="11" t="s">
        <v>198</v>
      </c>
      <c r="V275" s="11" t="s">
        <v>198</v>
      </c>
      <c r="W275" s="24" t="s">
        <v>198</v>
      </c>
      <c r="X275" s="24" t="s">
        <v>198</v>
      </c>
      <c r="Y275" s="13" t="s">
        <v>898</v>
      </c>
      <c r="Z275" s="21" t="s">
        <v>198</v>
      </c>
      <c r="AA275" s="91"/>
      <c r="AB275" s="22" t="s">
        <v>1593</v>
      </c>
      <c r="AC275" s="59" t="s">
        <v>355</v>
      </c>
      <c r="AD275" s="9" t="s">
        <v>355</v>
      </c>
      <c r="AE275" s="22"/>
      <c r="AF275" s="22"/>
    </row>
    <row r="276" spans="2:32" x14ac:dyDescent="0.2">
      <c r="B276" s="16" t="s">
        <v>187</v>
      </c>
      <c r="C276" s="97" t="s">
        <v>1012</v>
      </c>
      <c r="D276" s="10" t="s">
        <v>198</v>
      </c>
      <c r="E276" s="10" t="s">
        <v>198</v>
      </c>
      <c r="F276" s="11" t="s">
        <v>198</v>
      </c>
      <c r="G276" s="11" t="s">
        <v>198</v>
      </c>
      <c r="H276" s="11" t="s">
        <v>198</v>
      </c>
      <c r="I276" s="11" t="s">
        <v>198</v>
      </c>
      <c r="J276" s="11" t="s">
        <v>198</v>
      </c>
      <c r="K276" s="11" t="s">
        <v>198</v>
      </c>
      <c r="L276" s="11" t="s">
        <v>198</v>
      </c>
      <c r="M276" s="11" t="s">
        <v>198</v>
      </c>
      <c r="N276" s="11" t="s">
        <v>198</v>
      </c>
      <c r="O276" s="11" t="s">
        <v>198</v>
      </c>
      <c r="P276" s="11" t="s">
        <v>198</v>
      </c>
      <c r="Q276" s="11" t="s">
        <v>198</v>
      </c>
      <c r="R276" s="11" t="s">
        <v>198</v>
      </c>
      <c r="S276" s="11" t="s">
        <v>198</v>
      </c>
      <c r="T276" s="11" t="s">
        <v>198</v>
      </c>
      <c r="U276" s="11" t="s">
        <v>198</v>
      </c>
      <c r="V276" s="11" t="s">
        <v>198</v>
      </c>
      <c r="W276" s="24" t="s">
        <v>198</v>
      </c>
      <c r="X276" s="24" t="s">
        <v>198</v>
      </c>
      <c r="Y276" s="16" t="s">
        <v>187</v>
      </c>
      <c r="Z276" s="21" t="s">
        <v>198</v>
      </c>
      <c r="AA276" s="91"/>
      <c r="AB276" s="22" t="s">
        <v>1587</v>
      </c>
      <c r="AC276" s="59" t="s">
        <v>355</v>
      </c>
      <c r="AD276" s="9" t="s">
        <v>355</v>
      </c>
      <c r="AE276" s="22"/>
      <c r="AF276" s="22"/>
    </row>
    <row r="277" spans="2:32" x14ac:dyDescent="0.2">
      <c r="B277" s="16" t="s">
        <v>188</v>
      </c>
      <c r="C277" s="97" t="s">
        <v>691</v>
      </c>
      <c r="D277" s="10" t="s">
        <v>198</v>
      </c>
      <c r="E277" s="10" t="s">
        <v>198</v>
      </c>
      <c r="F277" s="10" t="s">
        <v>198</v>
      </c>
      <c r="G277" s="10" t="s">
        <v>198</v>
      </c>
      <c r="H277" s="10" t="s">
        <v>198</v>
      </c>
      <c r="I277" s="10" t="s">
        <v>198</v>
      </c>
      <c r="J277" s="10" t="s">
        <v>198</v>
      </c>
      <c r="K277" s="10" t="s">
        <v>198</v>
      </c>
      <c r="L277" s="10" t="s">
        <v>198</v>
      </c>
      <c r="M277" s="10" t="s">
        <v>198</v>
      </c>
      <c r="N277" s="10" t="s">
        <v>198</v>
      </c>
      <c r="O277" s="10" t="s">
        <v>198</v>
      </c>
      <c r="P277" s="10" t="s">
        <v>198</v>
      </c>
      <c r="Q277" s="10" t="s">
        <v>198</v>
      </c>
      <c r="R277" s="10" t="s">
        <v>198</v>
      </c>
      <c r="S277" s="10" t="s">
        <v>198</v>
      </c>
      <c r="T277" s="10" t="s">
        <v>198</v>
      </c>
      <c r="U277" s="10" t="s">
        <v>198</v>
      </c>
      <c r="V277" s="10" t="s">
        <v>198</v>
      </c>
      <c r="W277" s="19" t="s">
        <v>198</v>
      </c>
      <c r="X277" s="24" t="s">
        <v>198</v>
      </c>
      <c r="Y277" s="16" t="s">
        <v>188</v>
      </c>
      <c r="Z277" s="21" t="s">
        <v>198</v>
      </c>
      <c r="AA277" s="92"/>
      <c r="AB277" s="25" t="s">
        <v>1588</v>
      </c>
      <c r="AC277" s="59" t="s">
        <v>355</v>
      </c>
      <c r="AD277" s="9" t="s">
        <v>355</v>
      </c>
      <c r="AE277" s="22"/>
      <c r="AF277" s="22"/>
    </row>
    <row r="278" spans="2:32" x14ac:dyDescent="0.2">
      <c r="B278" s="13" t="s">
        <v>764</v>
      </c>
      <c r="C278" s="9" t="s">
        <v>692</v>
      </c>
      <c r="D278" s="11" t="s">
        <v>198</v>
      </c>
      <c r="E278" s="11" t="s">
        <v>198</v>
      </c>
      <c r="F278" s="11" t="s">
        <v>198</v>
      </c>
      <c r="G278" s="11" t="s">
        <v>198</v>
      </c>
      <c r="H278" s="11" t="s">
        <v>198</v>
      </c>
      <c r="I278" s="11" t="s">
        <v>198</v>
      </c>
      <c r="J278" s="11" t="s">
        <v>198</v>
      </c>
      <c r="K278" s="11" t="s">
        <v>198</v>
      </c>
      <c r="L278" s="11" t="s">
        <v>198</v>
      </c>
      <c r="M278" s="11" t="s">
        <v>198</v>
      </c>
      <c r="N278" s="11" t="s">
        <v>198</v>
      </c>
      <c r="O278" s="11" t="s">
        <v>198</v>
      </c>
      <c r="P278" s="11" t="s">
        <v>198</v>
      </c>
      <c r="Q278" s="11" t="s">
        <v>198</v>
      </c>
      <c r="R278" s="11" t="s">
        <v>198</v>
      </c>
      <c r="S278" s="11" t="s">
        <v>198</v>
      </c>
      <c r="T278" s="11" t="s">
        <v>198</v>
      </c>
      <c r="U278" s="11" t="s">
        <v>198</v>
      </c>
      <c r="V278" s="11" t="s">
        <v>198</v>
      </c>
      <c r="W278" s="24" t="s">
        <v>198</v>
      </c>
      <c r="X278" s="24" t="s">
        <v>198</v>
      </c>
      <c r="Y278" s="13" t="s">
        <v>764</v>
      </c>
      <c r="Z278" s="21" t="s">
        <v>198</v>
      </c>
      <c r="AA278" s="92"/>
      <c r="AB278" s="22" t="s">
        <v>1570</v>
      </c>
      <c r="AC278" s="59" t="s">
        <v>355</v>
      </c>
      <c r="AD278" s="9" t="s">
        <v>355</v>
      </c>
      <c r="AE278" s="22"/>
      <c r="AF278" s="22"/>
    </row>
    <row r="279" spans="2:32" x14ac:dyDescent="0.2">
      <c r="B279" s="13" t="s">
        <v>764</v>
      </c>
      <c r="C279" s="9" t="s">
        <v>693</v>
      </c>
      <c r="D279" s="10" t="s">
        <v>198</v>
      </c>
      <c r="E279" s="10" t="s">
        <v>198</v>
      </c>
      <c r="F279" s="11" t="s">
        <v>198</v>
      </c>
      <c r="G279" s="11" t="s">
        <v>198</v>
      </c>
      <c r="H279" s="11" t="s">
        <v>198</v>
      </c>
      <c r="I279" s="11" t="s">
        <v>198</v>
      </c>
      <c r="J279" s="11" t="s">
        <v>198</v>
      </c>
      <c r="K279" s="11" t="s">
        <v>198</v>
      </c>
      <c r="L279" s="11" t="s">
        <v>198</v>
      </c>
      <c r="M279" s="11" t="s">
        <v>198</v>
      </c>
      <c r="N279" s="11" t="s">
        <v>198</v>
      </c>
      <c r="O279" s="11" t="s">
        <v>198</v>
      </c>
      <c r="P279" s="11" t="s">
        <v>198</v>
      </c>
      <c r="Q279" s="11" t="s">
        <v>198</v>
      </c>
      <c r="R279" s="11" t="s">
        <v>198</v>
      </c>
      <c r="S279" s="11" t="s">
        <v>198</v>
      </c>
      <c r="T279" s="11" t="s">
        <v>198</v>
      </c>
      <c r="U279" s="11" t="s">
        <v>198</v>
      </c>
      <c r="V279" s="11" t="s">
        <v>198</v>
      </c>
      <c r="W279" s="24" t="s">
        <v>198</v>
      </c>
      <c r="X279" s="24" t="s">
        <v>198</v>
      </c>
      <c r="Y279" s="13" t="s">
        <v>764</v>
      </c>
      <c r="Z279" s="21" t="s">
        <v>198</v>
      </c>
      <c r="AA279" s="91"/>
      <c r="AB279" s="22" t="s">
        <v>1570</v>
      </c>
      <c r="AC279" s="59" t="s">
        <v>355</v>
      </c>
      <c r="AD279" s="9" t="s">
        <v>355</v>
      </c>
      <c r="AE279" s="22"/>
      <c r="AF279" s="22"/>
    </row>
    <row r="280" spans="2:32" x14ac:dyDescent="0.2">
      <c r="B280" s="13" t="s">
        <v>764</v>
      </c>
      <c r="C280" s="9" t="s">
        <v>694</v>
      </c>
      <c r="D280" s="10" t="s">
        <v>198</v>
      </c>
      <c r="E280" s="10" t="s">
        <v>198</v>
      </c>
      <c r="F280" s="10" t="s">
        <v>198</v>
      </c>
      <c r="G280" s="10" t="s">
        <v>198</v>
      </c>
      <c r="H280" s="10" t="s">
        <v>198</v>
      </c>
      <c r="I280" s="10" t="s">
        <v>198</v>
      </c>
      <c r="J280" s="10" t="s">
        <v>198</v>
      </c>
      <c r="K280" s="10" t="s">
        <v>198</v>
      </c>
      <c r="L280" s="10" t="s">
        <v>198</v>
      </c>
      <c r="M280" s="10" t="s">
        <v>198</v>
      </c>
      <c r="N280" s="10" t="s">
        <v>198</v>
      </c>
      <c r="O280" s="10" t="s">
        <v>198</v>
      </c>
      <c r="P280" s="10" t="s">
        <v>198</v>
      </c>
      <c r="Q280" s="10" t="s">
        <v>198</v>
      </c>
      <c r="R280" s="10" t="s">
        <v>198</v>
      </c>
      <c r="S280" s="10" t="s">
        <v>198</v>
      </c>
      <c r="T280" s="10" t="s">
        <v>198</v>
      </c>
      <c r="U280" s="10" t="s">
        <v>198</v>
      </c>
      <c r="V280" s="10" t="s">
        <v>198</v>
      </c>
      <c r="W280" s="19" t="s">
        <v>198</v>
      </c>
      <c r="X280" s="24" t="s">
        <v>198</v>
      </c>
      <c r="Y280" s="13" t="s">
        <v>764</v>
      </c>
      <c r="Z280" s="21" t="s">
        <v>198</v>
      </c>
      <c r="AA280" s="92"/>
      <c r="AB280" s="22" t="s">
        <v>1570</v>
      </c>
      <c r="AC280" s="59" t="s">
        <v>355</v>
      </c>
      <c r="AD280" s="9" t="s">
        <v>355</v>
      </c>
      <c r="AE280" s="22"/>
      <c r="AF280" s="22"/>
    </row>
    <row r="281" spans="2:32" x14ac:dyDescent="0.2">
      <c r="B281" s="13" t="s">
        <v>764</v>
      </c>
      <c r="C281" s="9" t="s">
        <v>695</v>
      </c>
      <c r="D281" s="10" t="s">
        <v>198</v>
      </c>
      <c r="E281" s="10" t="s">
        <v>198</v>
      </c>
      <c r="F281" s="11" t="s">
        <v>198</v>
      </c>
      <c r="G281" s="11" t="s">
        <v>198</v>
      </c>
      <c r="H281" s="11" t="s">
        <v>198</v>
      </c>
      <c r="I281" s="11" t="s">
        <v>198</v>
      </c>
      <c r="J281" s="11" t="s">
        <v>198</v>
      </c>
      <c r="K281" s="11" t="s">
        <v>198</v>
      </c>
      <c r="L281" s="11" t="s">
        <v>198</v>
      </c>
      <c r="M281" s="11" t="s">
        <v>198</v>
      </c>
      <c r="N281" s="11" t="s">
        <v>198</v>
      </c>
      <c r="O281" s="11" t="s">
        <v>198</v>
      </c>
      <c r="P281" s="11" t="s">
        <v>198</v>
      </c>
      <c r="Q281" s="11" t="s">
        <v>198</v>
      </c>
      <c r="R281" s="11" t="s">
        <v>198</v>
      </c>
      <c r="S281" s="11" t="s">
        <v>198</v>
      </c>
      <c r="T281" s="11" t="s">
        <v>198</v>
      </c>
      <c r="U281" s="11" t="s">
        <v>198</v>
      </c>
      <c r="V281" s="11" t="s">
        <v>198</v>
      </c>
      <c r="W281" s="24" t="s">
        <v>198</v>
      </c>
      <c r="X281" s="24" t="s">
        <v>198</v>
      </c>
      <c r="Y281" s="13" t="s">
        <v>764</v>
      </c>
      <c r="Z281" s="21" t="s">
        <v>198</v>
      </c>
      <c r="AA281" s="91"/>
      <c r="AB281" s="22" t="s">
        <v>1570</v>
      </c>
      <c r="AC281" s="59" t="s">
        <v>355</v>
      </c>
      <c r="AD281" s="9" t="s">
        <v>355</v>
      </c>
      <c r="AE281" s="22"/>
      <c r="AF281" s="22"/>
    </row>
    <row r="282" spans="2:32" x14ac:dyDescent="0.2">
      <c r="B282" s="13" t="s">
        <v>764</v>
      </c>
      <c r="C282" s="9" t="s">
        <v>696</v>
      </c>
      <c r="D282" s="10" t="s">
        <v>198</v>
      </c>
      <c r="E282" s="10" t="s">
        <v>198</v>
      </c>
      <c r="F282" s="11" t="s">
        <v>198</v>
      </c>
      <c r="G282" s="11" t="s">
        <v>198</v>
      </c>
      <c r="H282" s="11" t="s">
        <v>198</v>
      </c>
      <c r="I282" s="11" t="s">
        <v>198</v>
      </c>
      <c r="J282" s="11" t="s">
        <v>198</v>
      </c>
      <c r="K282" s="11" t="s">
        <v>198</v>
      </c>
      <c r="L282" s="11" t="s">
        <v>198</v>
      </c>
      <c r="M282" s="11" t="s">
        <v>198</v>
      </c>
      <c r="N282" s="11" t="s">
        <v>198</v>
      </c>
      <c r="O282" s="11" t="s">
        <v>198</v>
      </c>
      <c r="P282" s="11" t="s">
        <v>198</v>
      </c>
      <c r="Q282" s="11" t="s">
        <v>198</v>
      </c>
      <c r="R282" s="11" t="s">
        <v>198</v>
      </c>
      <c r="S282" s="11" t="s">
        <v>198</v>
      </c>
      <c r="T282" s="11" t="s">
        <v>198</v>
      </c>
      <c r="U282" s="11" t="s">
        <v>198</v>
      </c>
      <c r="V282" s="11" t="s">
        <v>198</v>
      </c>
      <c r="W282" s="24" t="s">
        <v>198</v>
      </c>
      <c r="X282" s="24" t="s">
        <v>198</v>
      </c>
      <c r="Y282" s="13" t="s">
        <v>764</v>
      </c>
      <c r="Z282" s="21" t="s">
        <v>198</v>
      </c>
      <c r="AA282" s="91"/>
      <c r="AB282" s="22" t="s">
        <v>1570</v>
      </c>
      <c r="AC282" s="59" t="s">
        <v>355</v>
      </c>
      <c r="AD282" s="9" t="s">
        <v>355</v>
      </c>
      <c r="AE282" s="22"/>
      <c r="AF282" s="22"/>
    </row>
    <row r="283" spans="2:32" x14ac:dyDescent="0.2">
      <c r="B283" s="13" t="s">
        <v>764</v>
      </c>
      <c r="C283" s="9" t="s">
        <v>698</v>
      </c>
      <c r="D283" s="10" t="s">
        <v>198</v>
      </c>
      <c r="E283" s="10" t="s">
        <v>198</v>
      </c>
      <c r="F283" s="11" t="s">
        <v>198</v>
      </c>
      <c r="G283" s="11" t="s">
        <v>198</v>
      </c>
      <c r="H283" s="11" t="s">
        <v>198</v>
      </c>
      <c r="I283" s="11" t="s">
        <v>198</v>
      </c>
      <c r="J283" s="11" t="s">
        <v>198</v>
      </c>
      <c r="K283" s="11" t="s">
        <v>198</v>
      </c>
      <c r="L283" s="11" t="s">
        <v>198</v>
      </c>
      <c r="M283" s="11" t="s">
        <v>198</v>
      </c>
      <c r="N283" s="11" t="s">
        <v>198</v>
      </c>
      <c r="O283" s="11" t="s">
        <v>198</v>
      </c>
      <c r="P283" s="11" t="s">
        <v>198</v>
      </c>
      <c r="Q283" s="11" t="s">
        <v>198</v>
      </c>
      <c r="R283" s="11" t="s">
        <v>198</v>
      </c>
      <c r="S283" s="11" t="s">
        <v>198</v>
      </c>
      <c r="T283" s="11" t="s">
        <v>198</v>
      </c>
      <c r="U283" s="11" t="s">
        <v>198</v>
      </c>
      <c r="V283" s="11" t="s">
        <v>198</v>
      </c>
      <c r="W283" s="24" t="s">
        <v>198</v>
      </c>
      <c r="X283" s="24" t="s">
        <v>198</v>
      </c>
      <c r="Y283" s="13" t="s">
        <v>764</v>
      </c>
      <c r="Z283" s="21" t="s">
        <v>198</v>
      </c>
      <c r="AA283" s="91"/>
      <c r="AB283" s="22" t="s">
        <v>1570</v>
      </c>
      <c r="AC283" s="59" t="s">
        <v>355</v>
      </c>
      <c r="AD283" s="9" t="s">
        <v>355</v>
      </c>
      <c r="AE283" s="22"/>
      <c r="AF283" s="22"/>
    </row>
    <row r="284" spans="2:32" x14ac:dyDescent="0.2">
      <c r="B284" s="15" t="s">
        <v>899</v>
      </c>
      <c r="C284" s="97" t="s">
        <v>697</v>
      </c>
      <c r="D284" s="10" t="s">
        <v>198</v>
      </c>
      <c r="E284" s="10" t="s">
        <v>198</v>
      </c>
      <c r="F284" s="11" t="s">
        <v>198</v>
      </c>
      <c r="G284" s="11" t="s">
        <v>198</v>
      </c>
      <c r="H284" s="11" t="s">
        <v>198</v>
      </c>
      <c r="I284" s="11" t="s">
        <v>198</v>
      </c>
      <c r="J284" s="11" t="s">
        <v>198</v>
      </c>
      <c r="K284" s="11" t="s">
        <v>198</v>
      </c>
      <c r="L284" s="11" t="s">
        <v>198</v>
      </c>
      <c r="M284" s="11" t="s">
        <v>198</v>
      </c>
      <c r="N284" s="11" t="s">
        <v>198</v>
      </c>
      <c r="O284" s="11" t="s">
        <v>198</v>
      </c>
      <c r="P284" s="11" t="s">
        <v>198</v>
      </c>
      <c r="Q284" s="11" t="s">
        <v>198</v>
      </c>
      <c r="R284" s="11" t="s">
        <v>198</v>
      </c>
      <c r="S284" s="11" t="s">
        <v>198</v>
      </c>
      <c r="T284" s="11" t="s">
        <v>198</v>
      </c>
      <c r="U284" s="11" t="s">
        <v>198</v>
      </c>
      <c r="V284" s="11" t="s">
        <v>198</v>
      </c>
      <c r="W284" s="24" t="s">
        <v>198</v>
      </c>
      <c r="X284" s="24" t="s">
        <v>198</v>
      </c>
      <c r="Y284" s="15" t="s">
        <v>899</v>
      </c>
      <c r="Z284" s="21" t="s">
        <v>198</v>
      </c>
      <c r="AA284" s="91"/>
      <c r="AB284" s="22" t="s">
        <v>1584</v>
      </c>
      <c r="AC284" s="59" t="s">
        <v>355</v>
      </c>
      <c r="AD284" s="9" t="s">
        <v>355</v>
      </c>
      <c r="AE284" s="22"/>
      <c r="AF284" s="22"/>
    </row>
    <row r="285" spans="2:32" x14ac:dyDescent="0.2">
      <c r="B285" s="13" t="s">
        <v>898</v>
      </c>
      <c r="C285" s="97" t="s">
        <v>1013</v>
      </c>
      <c r="D285" s="10" t="s">
        <v>198</v>
      </c>
      <c r="E285" s="10" t="s">
        <v>198</v>
      </c>
      <c r="F285" s="11" t="s">
        <v>198</v>
      </c>
      <c r="G285" s="11" t="s">
        <v>198</v>
      </c>
      <c r="H285" s="11" t="s">
        <v>198</v>
      </c>
      <c r="I285" s="11" t="s">
        <v>198</v>
      </c>
      <c r="J285" s="11" t="s">
        <v>198</v>
      </c>
      <c r="K285" s="11" t="s">
        <v>198</v>
      </c>
      <c r="L285" s="11" t="s">
        <v>198</v>
      </c>
      <c r="M285" s="11" t="s">
        <v>198</v>
      </c>
      <c r="N285" s="11" t="s">
        <v>198</v>
      </c>
      <c r="O285" s="11" t="s">
        <v>198</v>
      </c>
      <c r="P285" s="11" t="s">
        <v>198</v>
      </c>
      <c r="Q285" s="11" t="s">
        <v>198</v>
      </c>
      <c r="R285" s="11" t="s">
        <v>198</v>
      </c>
      <c r="S285" s="11" t="s">
        <v>198</v>
      </c>
      <c r="T285" s="11" t="s">
        <v>198</v>
      </c>
      <c r="U285" s="11" t="s">
        <v>198</v>
      </c>
      <c r="V285" s="11" t="s">
        <v>198</v>
      </c>
      <c r="W285" s="24" t="s">
        <v>198</v>
      </c>
      <c r="X285" s="24" t="s">
        <v>198</v>
      </c>
      <c r="Y285" s="13" t="s">
        <v>898</v>
      </c>
      <c r="Z285" s="21" t="s">
        <v>198</v>
      </c>
      <c r="AA285" s="91"/>
      <c r="AB285" s="22" t="s">
        <v>1593</v>
      </c>
      <c r="AC285" s="59" t="s">
        <v>355</v>
      </c>
      <c r="AD285" s="9" t="s">
        <v>355</v>
      </c>
      <c r="AE285" s="22"/>
      <c r="AF285" s="22"/>
    </row>
    <row r="286" spans="2:32" x14ac:dyDescent="0.2">
      <c r="B286" s="13" t="s">
        <v>898</v>
      </c>
      <c r="C286" s="97" t="s">
        <v>1014</v>
      </c>
      <c r="D286" s="10" t="s">
        <v>198</v>
      </c>
      <c r="E286" s="10" t="s">
        <v>198</v>
      </c>
      <c r="F286" s="10" t="s">
        <v>198</v>
      </c>
      <c r="G286" s="10" t="s">
        <v>198</v>
      </c>
      <c r="H286" s="10" t="s">
        <v>198</v>
      </c>
      <c r="I286" s="10" t="s">
        <v>198</v>
      </c>
      <c r="J286" s="10" t="s">
        <v>198</v>
      </c>
      <c r="K286" s="10" t="s">
        <v>198</v>
      </c>
      <c r="L286" s="10" t="s">
        <v>198</v>
      </c>
      <c r="M286" s="10" t="s">
        <v>198</v>
      </c>
      <c r="N286" s="10" t="s">
        <v>198</v>
      </c>
      <c r="O286" s="10" t="s">
        <v>198</v>
      </c>
      <c r="P286" s="10" t="s">
        <v>198</v>
      </c>
      <c r="Q286" s="10" t="s">
        <v>198</v>
      </c>
      <c r="R286" s="10" t="s">
        <v>198</v>
      </c>
      <c r="S286" s="10" t="s">
        <v>198</v>
      </c>
      <c r="T286" s="10" t="s">
        <v>198</v>
      </c>
      <c r="U286" s="10" t="s">
        <v>198</v>
      </c>
      <c r="V286" s="10" t="s">
        <v>198</v>
      </c>
      <c r="W286" s="19" t="s">
        <v>198</v>
      </c>
      <c r="X286" s="24" t="s">
        <v>198</v>
      </c>
      <c r="Y286" s="13" t="s">
        <v>898</v>
      </c>
      <c r="Z286" s="21" t="s">
        <v>198</v>
      </c>
      <c r="AA286" s="92"/>
      <c r="AB286" s="25" t="s">
        <v>1593</v>
      </c>
      <c r="AC286" s="59" t="s">
        <v>355</v>
      </c>
      <c r="AD286" s="9" t="s">
        <v>355</v>
      </c>
      <c r="AE286" s="22"/>
      <c r="AF286" s="22"/>
    </row>
    <row r="287" spans="2:32" x14ac:dyDescent="0.2">
      <c r="B287" s="15" t="s">
        <v>926</v>
      </c>
      <c r="C287" s="97" t="s">
        <v>1015</v>
      </c>
      <c r="D287" s="11" t="s">
        <v>198</v>
      </c>
      <c r="E287" s="11" t="s">
        <v>198</v>
      </c>
      <c r="F287" s="11" t="s">
        <v>198</v>
      </c>
      <c r="G287" s="11" t="s">
        <v>198</v>
      </c>
      <c r="H287" s="11" t="s">
        <v>198</v>
      </c>
      <c r="I287" s="11" t="s">
        <v>198</v>
      </c>
      <c r="J287" s="11" t="s">
        <v>198</v>
      </c>
      <c r="K287" s="11" t="s">
        <v>198</v>
      </c>
      <c r="L287" s="11" t="s">
        <v>198</v>
      </c>
      <c r="M287" s="11" t="s">
        <v>198</v>
      </c>
      <c r="N287" s="11" t="s">
        <v>198</v>
      </c>
      <c r="O287" s="11" t="s">
        <v>198</v>
      </c>
      <c r="P287" s="11" t="s">
        <v>198</v>
      </c>
      <c r="Q287" s="11" t="s">
        <v>198</v>
      </c>
      <c r="R287" s="11" t="s">
        <v>198</v>
      </c>
      <c r="S287" s="11" t="s">
        <v>198</v>
      </c>
      <c r="T287" s="11" t="s">
        <v>198</v>
      </c>
      <c r="U287" s="11" t="s">
        <v>198</v>
      </c>
      <c r="V287" s="11" t="s">
        <v>198</v>
      </c>
      <c r="W287" s="24" t="s">
        <v>198</v>
      </c>
      <c r="X287" s="24" t="s">
        <v>198</v>
      </c>
      <c r="Y287" s="15" t="s">
        <v>926</v>
      </c>
      <c r="Z287" s="21" t="s">
        <v>198</v>
      </c>
      <c r="AA287" s="92"/>
      <c r="AB287" s="25" t="s">
        <v>1573</v>
      </c>
      <c r="AC287" s="59" t="s">
        <v>355</v>
      </c>
      <c r="AD287" s="9" t="s">
        <v>355</v>
      </c>
      <c r="AE287" s="22"/>
      <c r="AF287" s="22"/>
    </row>
    <row r="288" spans="2:32" x14ac:dyDescent="0.2">
      <c r="B288" s="15" t="s">
        <v>934</v>
      </c>
      <c r="C288" s="97" t="s">
        <v>721</v>
      </c>
      <c r="D288" s="10" t="s">
        <v>198</v>
      </c>
      <c r="E288" s="10" t="s">
        <v>198</v>
      </c>
      <c r="F288" s="10" t="s">
        <v>198</v>
      </c>
      <c r="G288" s="10" t="s">
        <v>198</v>
      </c>
      <c r="H288" s="10" t="s">
        <v>198</v>
      </c>
      <c r="I288" s="10" t="s">
        <v>198</v>
      </c>
      <c r="J288" s="10" t="s">
        <v>198</v>
      </c>
      <c r="K288" s="10" t="s">
        <v>198</v>
      </c>
      <c r="L288" s="10" t="s">
        <v>198</v>
      </c>
      <c r="M288" s="10" t="s">
        <v>198</v>
      </c>
      <c r="N288" s="10" t="s">
        <v>198</v>
      </c>
      <c r="O288" s="10" t="s">
        <v>198</v>
      </c>
      <c r="P288" s="10" t="s">
        <v>198</v>
      </c>
      <c r="Q288" s="10" t="s">
        <v>198</v>
      </c>
      <c r="R288" s="10" t="s">
        <v>198</v>
      </c>
      <c r="S288" s="10" t="s">
        <v>198</v>
      </c>
      <c r="T288" s="10" t="s">
        <v>198</v>
      </c>
      <c r="U288" s="10" t="s">
        <v>198</v>
      </c>
      <c r="V288" s="10" t="s">
        <v>198</v>
      </c>
      <c r="W288" s="19" t="s">
        <v>198</v>
      </c>
      <c r="X288" s="24" t="s">
        <v>198</v>
      </c>
      <c r="Y288" s="15" t="s">
        <v>934</v>
      </c>
      <c r="Z288" s="21" t="s">
        <v>198</v>
      </c>
      <c r="AA288" s="92"/>
      <c r="AB288" s="25" t="s">
        <v>1580</v>
      </c>
      <c r="AC288" s="59" t="s">
        <v>355</v>
      </c>
      <c r="AD288" s="9" t="s">
        <v>355</v>
      </c>
      <c r="AE288" s="22"/>
      <c r="AF288" s="22"/>
    </row>
    <row r="289" spans="2:32" x14ac:dyDescent="0.2">
      <c r="B289" s="15" t="s">
        <v>899</v>
      </c>
      <c r="C289" s="97" t="s">
        <v>995</v>
      </c>
      <c r="D289" s="10" t="s">
        <v>198</v>
      </c>
      <c r="E289" s="10" t="s">
        <v>198</v>
      </c>
      <c r="F289" s="11" t="s">
        <v>198</v>
      </c>
      <c r="G289" s="11" t="s">
        <v>198</v>
      </c>
      <c r="H289" s="11" t="s">
        <v>198</v>
      </c>
      <c r="I289" s="11" t="s">
        <v>198</v>
      </c>
      <c r="J289" s="11" t="s">
        <v>198</v>
      </c>
      <c r="K289" s="11" t="s">
        <v>198</v>
      </c>
      <c r="L289" s="11" t="s">
        <v>198</v>
      </c>
      <c r="M289" s="11" t="s">
        <v>198</v>
      </c>
      <c r="N289" s="11" t="s">
        <v>198</v>
      </c>
      <c r="O289" s="11" t="s">
        <v>198</v>
      </c>
      <c r="P289" s="11" t="s">
        <v>198</v>
      </c>
      <c r="Q289" s="11" t="s">
        <v>198</v>
      </c>
      <c r="R289" s="11" t="s">
        <v>198</v>
      </c>
      <c r="S289" s="11" t="s">
        <v>198</v>
      </c>
      <c r="T289" s="11" t="s">
        <v>198</v>
      </c>
      <c r="U289" s="11" t="s">
        <v>198</v>
      </c>
      <c r="V289" s="11" t="s">
        <v>198</v>
      </c>
      <c r="W289" s="24" t="s">
        <v>198</v>
      </c>
      <c r="X289" s="24" t="s">
        <v>198</v>
      </c>
      <c r="Y289" s="15" t="s">
        <v>899</v>
      </c>
      <c r="Z289" s="21" t="s">
        <v>198</v>
      </c>
      <c r="AA289" s="91"/>
      <c r="AB289" s="22" t="s">
        <v>1584</v>
      </c>
      <c r="AC289" s="59" t="s">
        <v>355</v>
      </c>
      <c r="AD289" s="9" t="s">
        <v>355</v>
      </c>
      <c r="AE289" s="22"/>
      <c r="AF289" s="22"/>
    </row>
    <row r="290" spans="2:32" x14ac:dyDescent="0.2">
      <c r="B290" s="15" t="s">
        <v>927</v>
      </c>
      <c r="C290" s="97" t="s">
        <v>699</v>
      </c>
      <c r="D290" s="10" t="s">
        <v>198</v>
      </c>
      <c r="E290" s="10" t="s">
        <v>198</v>
      </c>
      <c r="F290" s="11" t="s">
        <v>198</v>
      </c>
      <c r="G290" s="11" t="s">
        <v>198</v>
      </c>
      <c r="H290" s="11" t="s">
        <v>198</v>
      </c>
      <c r="I290" s="11" t="s">
        <v>198</v>
      </c>
      <c r="J290" s="11" t="s">
        <v>198</v>
      </c>
      <c r="K290" s="11" t="s">
        <v>198</v>
      </c>
      <c r="L290" s="11" t="s">
        <v>198</v>
      </c>
      <c r="M290" s="11" t="s">
        <v>198</v>
      </c>
      <c r="N290" s="11" t="s">
        <v>198</v>
      </c>
      <c r="O290" s="11" t="s">
        <v>198</v>
      </c>
      <c r="P290" s="11" t="s">
        <v>198</v>
      </c>
      <c r="Q290" s="11" t="s">
        <v>198</v>
      </c>
      <c r="R290" s="11" t="s">
        <v>198</v>
      </c>
      <c r="S290" s="11" t="s">
        <v>198</v>
      </c>
      <c r="T290" s="11" t="s">
        <v>198</v>
      </c>
      <c r="U290" s="11" t="s">
        <v>198</v>
      </c>
      <c r="V290" s="11" t="s">
        <v>198</v>
      </c>
      <c r="W290" s="24" t="s">
        <v>198</v>
      </c>
      <c r="X290" s="24" t="s">
        <v>198</v>
      </c>
      <c r="Y290" s="15" t="s">
        <v>927</v>
      </c>
      <c r="Z290" s="21" t="s">
        <v>198</v>
      </c>
      <c r="AA290" s="91"/>
      <c r="AB290" s="22" t="s">
        <v>1572</v>
      </c>
      <c r="AC290" s="59" t="s">
        <v>355</v>
      </c>
      <c r="AD290" s="9" t="s">
        <v>355</v>
      </c>
      <c r="AE290" s="22"/>
      <c r="AF290" s="22"/>
    </row>
    <row r="291" spans="2:32" x14ac:dyDescent="0.2">
      <c r="B291" s="15" t="s">
        <v>186</v>
      </c>
      <c r="C291" s="97" t="s">
        <v>991</v>
      </c>
      <c r="D291" s="10" t="s">
        <v>198</v>
      </c>
      <c r="E291" s="10" t="s">
        <v>198</v>
      </c>
      <c r="F291" s="11" t="s">
        <v>198</v>
      </c>
      <c r="G291" s="11" t="s">
        <v>198</v>
      </c>
      <c r="H291" s="11" t="s">
        <v>198</v>
      </c>
      <c r="I291" s="11" t="s">
        <v>198</v>
      </c>
      <c r="J291" s="11" t="s">
        <v>198</v>
      </c>
      <c r="K291" s="11" t="s">
        <v>198</v>
      </c>
      <c r="L291" s="11" t="s">
        <v>198</v>
      </c>
      <c r="M291" s="11" t="s">
        <v>198</v>
      </c>
      <c r="N291" s="11" t="s">
        <v>198</v>
      </c>
      <c r="O291" s="11" t="s">
        <v>198</v>
      </c>
      <c r="P291" s="11" t="s">
        <v>198</v>
      </c>
      <c r="Q291" s="11" t="s">
        <v>198</v>
      </c>
      <c r="R291" s="11" t="s">
        <v>198</v>
      </c>
      <c r="S291" s="11" t="s">
        <v>198</v>
      </c>
      <c r="T291" s="11" t="s">
        <v>198</v>
      </c>
      <c r="U291" s="11" t="s">
        <v>198</v>
      </c>
      <c r="V291" s="11" t="s">
        <v>198</v>
      </c>
      <c r="W291" s="24" t="s">
        <v>198</v>
      </c>
      <c r="X291" s="24" t="s">
        <v>198</v>
      </c>
      <c r="Y291" s="15" t="s">
        <v>186</v>
      </c>
      <c r="Z291" s="21" t="s">
        <v>198</v>
      </c>
      <c r="AA291" s="91"/>
      <c r="AB291" s="22" t="s">
        <v>1579</v>
      </c>
      <c r="AC291" s="59" t="s">
        <v>355</v>
      </c>
      <c r="AD291" s="9" t="s">
        <v>355</v>
      </c>
      <c r="AE291" s="22"/>
      <c r="AF291" s="22"/>
    </row>
    <row r="292" spans="2:32" x14ac:dyDescent="0.2">
      <c r="B292" s="15" t="s">
        <v>186</v>
      </c>
      <c r="C292" s="97" t="s">
        <v>700</v>
      </c>
      <c r="D292" s="10" t="s">
        <v>198</v>
      </c>
      <c r="E292" s="10" t="s">
        <v>198</v>
      </c>
      <c r="F292" s="11" t="s">
        <v>198</v>
      </c>
      <c r="G292" s="11" t="s">
        <v>198</v>
      </c>
      <c r="H292" s="11" t="s">
        <v>198</v>
      </c>
      <c r="I292" s="11" t="s">
        <v>198</v>
      </c>
      <c r="J292" s="11" t="s">
        <v>198</v>
      </c>
      <c r="K292" s="11" t="s">
        <v>198</v>
      </c>
      <c r="L292" s="11" t="s">
        <v>198</v>
      </c>
      <c r="M292" s="11" t="s">
        <v>198</v>
      </c>
      <c r="N292" s="11" t="s">
        <v>198</v>
      </c>
      <c r="O292" s="11" t="s">
        <v>198</v>
      </c>
      <c r="P292" s="11" t="s">
        <v>198</v>
      </c>
      <c r="Q292" s="11" t="s">
        <v>198</v>
      </c>
      <c r="R292" s="11" t="s">
        <v>198</v>
      </c>
      <c r="S292" s="11" t="s">
        <v>198</v>
      </c>
      <c r="T292" s="11" t="s">
        <v>198</v>
      </c>
      <c r="U292" s="11" t="s">
        <v>198</v>
      </c>
      <c r="V292" s="11" t="s">
        <v>198</v>
      </c>
      <c r="W292" s="24" t="s">
        <v>198</v>
      </c>
      <c r="X292" s="24" t="s">
        <v>198</v>
      </c>
      <c r="Y292" s="15" t="s">
        <v>186</v>
      </c>
      <c r="Z292" s="21" t="s">
        <v>198</v>
      </c>
      <c r="AA292" s="91"/>
      <c r="AB292" s="22" t="s">
        <v>1579</v>
      </c>
      <c r="AC292" s="59" t="s">
        <v>355</v>
      </c>
      <c r="AD292" s="9" t="s">
        <v>355</v>
      </c>
      <c r="AE292" s="22"/>
      <c r="AF292" s="22"/>
    </row>
    <row r="293" spans="2:32" x14ac:dyDescent="0.2">
      <c r="B293" s="15" t="s">
        <v>994</v>
      </c>
      <c r="C293" s="97" t="s">
        <v>701</v>
      </c>
      <c r="D293" s="10" t="s">
        <v>198</v>
      </c>
      <c r="E293" s="10" t="s">
        <v>198</v>
      </c>
      <c r="F293" s="11" t="s">
        <v>198</v>
      </c>
      <c r="G293" s="11" t="s">
        <v>198</v>
      </c>
      <c r="H293" s="11" t="s">
        <v>198</v>
      </c>
      <c r="I293" s="11" t="s">
        <v>198</v>
      </c>
      <c r="J293" s="11" t="s">
        <v>198</v>
      </c>
      <c r="K293" s="11" t="s">
        <v>198</v>
      </c>
      <c r="L293" s="11" t="s">
        <v>198</v>
      </c>
      <c r="M293" s="11" t="s">
        <v>198</v>
      </c>
      <c r="N293" s="11" t="s">
        <v>198</v>
      </c>
      <c r="O293" s="11" t="s">
        <v>198</v>
      </c>
      <c r="P293" s="11" t="s">
        <v>198</v>
      </c>
      <c r="Q293" s="11" t="s">
        <v>198</v>
      </c>
      <c r="R293" s="11" t="s">
        <v>198</v>
      </c>
      <c r="S293" s="11" t="s">
        <v>198</v>
      </c>
      <c r="T293" s="11" t="s">
        <v>198</v>
      </c>
      <c r="U293" s="11" t="s">
        <v>198</v>
      </c>
      <c r="V293" s="11" t="s">
        <v>198</v>
      </c>
      <c r="W293" s="24" t="s">
        <v>198</v>
      </c>
      <c r="X293" s="24" t="s">
        <v>198</v>
      </c>
      <c r="Y293" s="15" t="s">
        <v>994</v>
      </c>
      <c r="Z293" s="21" t="s">
        <v>198</v>
      </c>
      <c r="AA293" s="91"/>
      <c r="AB293" s="22" t="s">
        <v>1583</v>
      </c>
      <c r="AC293" s="59" t="s">
        <v>355</v>
      </c>
      <c r="AD293" s="9" t="s">
        <v>355</v>
      </c>
      <c r="AE293" s="22"/>
      <c r="AF293" s="22"/>
    </row>
    <row r="294" spans="2:32" x14ac:dyDescent="0.2">
      <c r="B294" s="15" t="s">
        <v>185</v>
      </c>
      <c r="C294" s="97" t="s">
        <v>702</v>
      </c>
      <c r="D294" s="10" t="s">
        <v>198</v>
      </c>
      <c r="E294" s="10" t="s">
        <v>198</v>
      </c>
      <c r="F294" s="10" t="s">
        <v>198</v>
      </c>
      <c r="G294" s="10" t="s">
        <v>198</v>
      </c>
      <c r="H294" s="10" t="s">
        <v>198</v>
      </c>
      <c r="I294" s="10" t="s">
        <v>198</v>
      </c>
      <c r="J294" s="10" t="s">
        <v>198</v>
      </c>
      <c r="K294" s="10" t="s">
        <v>198</v>
      </c>
      <c r="L294" s="10" t="s">
        <v>198</v>
      </c>
      <c r="M294" s="10" t="s">
        <v>198</v>
      </c>
      <c r="N294" s="10" t="s">
        <v>198</v>
      </c>
      <c r="O294" s="10" t="s">
        <v>198</v>
      </c>
      <c r="P294" s="10" t="s">
        <v>198</v>
      </c>
      <c r="Q294" s="10" t="s">
        <v>198</v>
      </c>
      <c r="R294" s="10" t="s">
        <v>198</v>
      </c>
      <c r="S294" s="10" t="s">
        <v>198</v>
      </c>
      <c r="T294" s="10" t="s">
        <v>198</v>
      </c>
      <c r="U294" s="10" t="s">
        <v>198</v>
      </c>
      <c r="V294" s="10" t="s">
        <v>198</v>
      </c>
      <c r="W294" s="19" t="s">
        <v>198</v>
      </c>
      <c r="X294" s="24" t="s">
        <v>198</v>
      </c>
      <c r="Y294" s="15" t="s">
        <v>185</v>
      </c>
      <c r="Z294" s="21" t="s">
        <v>198</v>
      </c>
      <c r="AA294" s="92"/>
      <c r="AB294" s="25" t="s">
        <v>1571</v>
      </c>
      <c r="AC294" s="59" t="s">
        <v>355</v>
      </c>
      <c r="AD294" s="9" t="s">
        <v>355</v>
      </c>
      <c r="AE294" s="22"/>
      <c r="AF294" s="22"/>
    </row>
    <row r="295" spans="2:32" x14ac:dyDescent="0.2">
      <c r="B295" s="13" t="s">
        <v>867</v>
      </c>
      <c r="C295" s="97" t="s">
        <v>703</v>
      </c>
      <c r="D295" s="11" t="s">
        <v>198</v>
      </c>
      <c r="E295" s="11" t="s">
        <v>198</v>
      </c>
      <c r="F295" s="11" t="s">
        <v>198</v>
      </c>
      <c r="G295" s="11" t="s">
        <v>198</v>
      </c>
      <c r="H295" s="11" t="s">
        <v>198</v>
      </c>
      <c r="I295" s="11" t="s">
        <v>198</v>
      </c>
      <c r="J295" s="11" t="s">
        <v>198</v>
      </c>
      <c r="K295" s="11" t="s">
        <v>198</v>
      </c>
      <c r="L295" s="11" t="s">
        <v>198</v>
      </c>
      <c r="M295" s="11" t="s">
        <v>198</v>
      </c>
      <c r="N295" s="11" t="s">
        <v>198</v>
      </c>
      <c r="O295" s="11" t="s">
        <v>198</v>
      </c>
      <c r="P295" s="11" t="s">
        <v>198</v>
      </c>
      <c r="Q295" s="11" t="s">
        <v>198</v>
      </c>
      <c r="R295" s="11" t="s">
        <v>198</v>
      </c>
      <c r="S295" s="11" t="s">
        <v>198</v>
      </c>
      <c r="T295" s="11" t="s">
        <v>198</v>
      </c>
      <c r="U295" s="11" t="s">
        <v>198</v>
      </c>
      <c r="V295" s="11" t="s">
        <v>198</v>
      </c>
      <c r="W295" s="24" t="s">
        <v>198</v>
      </c>
      <c r="X295" s="24" t="s">
        <v>198</v>
      </c>
      <c r="Y295" s="13" t="s">
        <v>867</v>
      </c>
      <c r="Z295" s="21" t="s">
        <v>198</v>
      </c>
      <c r="AA295" s="92"/>
      <c r="AB295" s="25" t="s">
        <v>1592</v>
      </c>
      <c r="AC295" s="59" t="s">
        <v>355</v>
      </c>
      <c r="AD295" s="9" t="s">
        <v>355</v>
      </c>
      <c r="AE295" s="22"/>
      <c r="AF295" s="22"/>
    </row>
    <row r="296" spans="2:32" x14ac:dyDescent="0.2">
      <c r="B296" s="15" t="s">
        <v>928</v>
      </c>
      <c r="C296" s="97" t="s">
        <v>704</v>
      </c>
      <c r="D296" s="10" t="s">
        <v>198</v>
      </c>
      <c r="E296" s="10" t="s">
        <v>198</v>
      </c>
      <c r="F296" s="10" t="s">
        <v>198</v>
      </c>
      <c r="G296" s="10" t="s">
        <v>198</v>
      </c>
      <c r="H296" s="10" t="s">
        <v>198</v>
      </c>
      <c r="I296" s="10" t="s">
        <v>198</v>
      </c>
      <c r="J296" s="10" t="s">
        <v>198</v>
      </c>
      <c r="K296" s="10" t="s">
        <v>198</v>
      </c>
      <c r="L296" s="10" t="s">
        <v>198</v>
      </c>
      <c r="M296" s="10" t="s">
        <v>198</v>
      </c>
      <c r="N296" s="10" t="s">
        <v>198</v>
      </c>
      <c r="O296" s="10" t="s">
        <v>198</v>
      </c>
      <c r="P296" s="10" t="s">
        <v>198</v>
      </c>
      <c r="Q296" s="10" t="s">
        <v>198</v>
      </c>
      <c r="R296" s="10" t="s">
        <v>198</v>
      </c>
      <c r="S296" s="10" t="s">
        <v>198</v>
      </c>
      <c r="T296" s="10" t="s">
        <v>198</v>
      </c>
      <c r="U296" s="10" t="s">
        <v>198</v>
      </c>
      <c r="V296" s="10" t="s">
        <v>198</v>
      </c>
      <c r="W296" s="19" t="s">
        <v>198</v>
      </c>
      <c r="X296" s="24" t="s">
        <v>198</v>
      </c>
      <c r="Y296" s="15" t="s">
        <v>928</v>
      </c>
      <c r="Z296" s="21" t="s">
        <v>198</v>
      </c>
      <c r="AA296" s="92"/>
      <c r="AB296" s="25" t="s">
        <v>1581</v>
      </c>
      <c r="AC296" s="59" t="s">
        <v>355</v>
      </c>
      <c r="AD296" s="9" t="s">
        <v>355</v>
      </c>
      <c r="AE296" s="22"/>
      <c r="AF296" s="22"/>
    </row>
    <row r="297" spans="2:32" x14ac:dyDescent="0.2">
      <c r="B297" s="15" t="s">
        <v>929</v>
      </c>
      <c r="C297" s="97" t="s">
        <v>705</v>
      </c>
      <c r="D297" s="10" t="s">
        <v>198</v>
      </c>
      <c r="E297" s="10" t="s">
        <v>198</v>
      </c>
      <c r="F297" s="11" t="s">
        <v>198</v>
      </c>
      <c r="G297" s="11" t="s">
        <v>198</v>
      </c>
      <c r="H297" s="11" t="s">
        <v>198</v>
      </c>
      <c r="I297" s="11" t="s">
        <v>198</v>
      </c>
      <c r="J297" s="11" t="s">
        <v>198</v>
      </c>
      <c r="K297" s="11" t="s">
        <v>198</v>
      </c>
      <c r="L297" s="11" t="s">
        <v>198</v>
      </c>
      <c r="M297" s="11" t="s">
        <v>198</v>
      </c>
      <c r="N297" s="11" t="s">
        <v>198</v>
      </c>
      <c r="O297" s="11" t="s">
        <v>198</v>
      </c>
      <c r="P297" s="11" t="s">
        <v>198</v>
      </c>
      <c r="Q297" s="11" t="s">
        <v>198</v>
      </c>
      <c r="R297" s="11" t="s">
        <v>198</v>
      </c>
      <c r="S297" s="11" t="s">
        <v>198</v>
      </c>
      <c r="T297" s="11" t="s">
        <v>198</v>
      </c>
      <c r="U297" s="11" t="s">
        <v>198</v>
      </c>
      <c r="V297" s="11" t="s">
        <v>198</v>
      </c>
      <c r="W297" s="24" t="s">
        <v>198</v>
      </c>
      <c r="X297" s="24" t="s">
        <v>198</v>
      </c>
      <c r="Y297" s="15" t="s">
        <v>929</v>
      </c>
      <c r="Z297" s="21" t="s">
        <v>198</v>
      </c>
      <c r="AA297" s="91"/>
      <c r="AB297" s="22" t="s">
        <v>1581</v>
      </c>
      <c r="AC297" s="59" t="s">
        <v>355</v>
      </c>
      <c r="AD297" s="9" t="s">
        <v>355</v>
      </c>
      <c r="AE297" s="22"/>
      <c r="AF297" s="22"/>
    </row>
    <row r="298" spans="2:32" x14ac:dyDescent="0.2">
      <c r="B298" s="15" t="s">
        <v>930</v>
      </c>
      <c r="C298" s="97" t="s">
        <v>993</v>
      </c>
      <c r="D298" s="10" t="s">
        <v>198</v>
      </c>
      <c r="E298" s="10" t="s">
        <v>198</v>
      </c>
      <c r="F298" s="11" t="s">
        <v>198</v>
      </c>
      <c r="G298" s="11" t="s">
        <v>198</v>
      </c>
      <c r="H298" s="11" t="s">
        <v>198</v>
      </c>
      <c r="I298" s="11" t="s">
        <v>198</v>
      </c>
      <c r="J298" s="11" t="s">
        <v>198</v>
      </c>
      <c r="K298" s="11" t="s">
        <v>198</v>
      </c>
      <c r="L298" s="11" t="s">
        <v>198</v>
      </c>
      <c r="M298" s="11" t="s">
        <v>198</v>
      </c>
      <c r="N298" s="11" t="s">
        <v>198</v>
      </c>
      <c r="O298" s="11" t="s">
        <v>198</v>
      </c>
      <c r="P298" s="11" t="s">
        <v>198</v>
      </c>
      <c r="Q298" s="11" t="s">
        <v>198</v>
      </c>
      <c r="R298" s="11" t="s">
        <v>198</v>
      </c>
      <c r="S298" s="11" t="s">
        <v>198</v>
      </c>
      <c r="T298" s="11" t="s">
        <v>198</v>
      </c>
      <c r="U298" s="11" t="s">
        <v>198</v>
      </c>
      <c r="V298" s="11" t="s">
        <v>198</v>
      </c>
      <c r="W298" s="24" t="s">
        <v>198</v>
      </c>
      <c r="X298" s="24" t="s">
        <v>198</v>
      </c>
      <c r="Y298" s="15" t="s">
        <v>930</v>
      </c>
      <c r="Z298" s="21" t="s">
        <v>198</v>
      </c>
      <c r="AA298" s="91"/>
      <c r="AB298" s="22" t="s">
        <v>1580</v>
      </c>
      <c r="AC298" s="59" t="s">
        <v>355</v>
      </c>
      <c r="AD298" s="9" t="s">
        <v>355</v>
      </c>
      <c r="AE298" s="22"/>
      <c r="AF298" s="22"/>
    </row>
    <row r="299" spans="2:32" x14ac:dyDescent="0.2">
      <c r="B299" s="13" t="s">
        <v>874</v>
      </c>
      <c r="C299" s="97" t="s">
        <v>706</v>
      </c>
      <c r="D299" s="10" t="s">
        <v>198</v>
      </c>
      <c r="E299" s="10" t="s">
        <v>198</v>
      </c>
      <c r="F299" s="11" t="s">
        <v>198</v>
      </c>
      <c r="G299" s="11" t="s">
        <v>198</v>
      </c>
      <c r="H299" s="11" t="s">
        <v>198</v>
      </c>
      <c r="I299" s="11" t="s">
        <v>198</v>
      </c>
      <c r="J299" s="11" t="s">
        <v>198</v>
      </c>
      <c r="K299" s="11" t="s">
        <v>198</v>
      </c>
      <c r="L299" s="11" t="s">
        <v>198</v>
      </c>
      <c r="M299" s="11" t="s">
        <v>198</v>
      </c>
      <c r="N299" s="11" t="s">
        <v>198</v>
      </c>
      <c r="O299" s="11" t="s">
        <v>198</v>
      </c>
      <c r="P299" s="11" t="s">
        <v>198</v>
      </c>
      <c r="Q299" s="11" t="s">
        <v>198</v>
      </c>
      <c r="R299" s="11" t="s">
        <v>198</v>
      </c>
      <c r="S299" s="11" t="s">
        <v>198</v>
      </c>
      <c r="T299" s="11" t="s">
        <v>198</v>
      </c>
      <c r="U299" s="11" t="s">
        <v>198</v>
      </c>
      <c r="V299" s="11" t="s">
        <v>198</v>
      </c>
      <c r="W299" s="24" t="s">
        <v>198</v>
      </c>
      <c r="X299" s="24" t="s">
        <v>198</v>
      </c>
      <c r="Y299" s="13" t="s">
        <v>874</v>
      </c>
      <c r="Z299" s="21" t="s">
        <v>198</v>
      </c>
      <c r="AA299" s="91"/>
      <c r="AB299" s="22" t="s">
        <v>1591</v>
      </c>
      <c r="AC299" s="59" t="s">
        <v>355</v>
      </c>
      <c r="AD299" s="9" t="s">
        <v>355</v>
      </c>
      <c r="AE299" s="22"/>
      <c r="AF299" s="22"/>
    </row>
    <row r="300" spans="2:32" x14ac:dyDescent="0.2">
      <c r="B300" s="13" t="s">
        <v>898</v>
      </c>
      <c r="C300" s="97" t="s">
        <v>1016</v>
      </c>
      <c r="D300" s="10" t="s">
        <v>198</v>
      </c>
      <c r="E300" s="10" t="s">
        <v>198</v>
      </c>
      <c r="F300" s="11" t="s">
        <v>198</v>
      </c>
      <c r="G300" s="11" t="s">
        <v>198</v>
      </c>
      <c r="H300" s="11" t="s">
        <v>198</v>
      </c>
      <c r="I300" s="11" t="s">
        <v>198</v>
      </c>
      <c r="J300" s="11" t="s">
        <v>198</v>
      </c>
      <c r="K300" s="11" t="s">
        <v>198</v>
      </c>
      <c r="L300" s="11" t="s">
        <v>198</v>
      </c>
      <c r="M300" s="11" t="s">
        <v>198</v>
      </c>
      <c r="N300" s="11" t="s">
        <v>198</v>
      </c>
      <c r="O300" s="11" t="s">
        <v>198</v>
      </c>
      <c r="P300" s="11" t="s">
        <v>198</v>
      </c>
      <c r="Q300" s="11" t="s">
        <v>198</v>
      </c>
      <c r="R300" s="11" t="s">
        <v>198</v>
      </c>
      <c r="S300" s="11" t="s">
        <v>198</v>
      </c>
      <c r="T300" s="11" t="s">
        <v>198</v>
      </c>
      <c r="U300" s="11" t="s">
        <v>198</v>
      </c>
      <c r="V300" s="11" t="s">
        <v>198</v>
      </c>
      <c r="W300" s="24" t="s">
        <v>198</v>
      </c>
      <c r="X300" s="24" t="s">
        <v>198</v>
      </c>
      <c r="Y300" s="13" t="s">
        <v>898</v>
      </c>
      <c r="Z300" s="21" t="s">
        <v>198</v>
      </c>
      <c r="AA300" s="91"/>
      <c r="AB300" s="22" t="s">
        <v>1593</v>
      </c>
      <c r="AC300" s="59" t="s">
        <v>355</v>
      </c>
      <c r="AD300" s="9" t="s">
        <v>355</v>
      </c>
      <c r="AE300" s="22"/>
      <c r="AF300" s="22"/>
    </row>
    <row r="301" spans="2:32" x14ac:dyDescent="0.2">
      <c r="B301" s="13" t="s">
        <v>898</v>
      </c>
      <c r="C301" s="97" t="s">
        <v>1017</v>
      </c>
      <c r="D301" s="10" t="s">
        <v>198</v>
      </c>
      <c r="E301" s="10" t="s">
        <v>198</v>
      </c>
      <c r="F301" s="11" t="s">
        <v>198</v>
      </c>
      <c r="G301" s="11" t="s">
        <v>198</v>
      </c>
      <c r="H301" s="11" t="s">
        <v>198</v>
      </c>
      <c r="I301" s="11" t="s">
        <v>198</v>
      </c>
      <c r="J301" s="11" t="s">
        <v>198</v>
      </c>
      <c r="K301" s="11" t="s">
        <v>198</v>
      </c>
      <c r="L301" s="11" t="s">
        <v>198</v>
      </c>
      <c r="M301" s="11" t="s">
        <v>198</v>
      </c>
      <c r="N301" s="11" t="s">
        <v>198</v>
      </c>
      <c r="O301" s="11" t="s">
        <v>198</v>
      </c>
      <c r="P301" s="11" t="s">
        <v>198</v>
      </c>
      <c r="Q301" s="11" t="s">
        <v>198</v>
      </c>
      <c r="R301" s="11" t="s">
        <v>198</v>
      </c>
      <c r="S301" s="11" t="s">
        <v>198</v>
      </c>
      <c r="T301" s="11" t="s">
        <v>198</v>
      </c>
      <c r="U301" s="11" t="s">
        <v>198</v>
      </c>
      <c r="V301" s="11" t="s">
        <v>198</v>
      </c>
      <c r="W301" s="24" t="s">
        <v>198</v>
      </c>
      <c r="X301" s="24" t="s">
        <v>198</v>
      </c>
      <c r="Y301" s="13" t="s">
        <v>898</v>
      </c>
      <c r="Z301" s="21" t="s">
        <v>198</v>
      </c>
      <c r="AA301" s="91"/>
      <c r="AB301" s="22" t="s">
        <v>1593</v>
      </c>
      <c r="AC301" s="59" t="s">
        <v>355</v>
      </c>
      <c r="AD301" s="9" t="s">
        <v>355</v>
      </c>
      <c r="AE301" s="22"/>
      <c r="AF301" s="22"/>
    </row>
    <row r="302" spans="2:32" x14ac:dyDescent="0.2">
      <c r="B302" s="13" t="s">
        <v>874</v>
      </c>
      <c r="C302" s="97" t="s">
        <v>1018</v>
      </c>
      <c r="D302" s="10" t="s">
        <v>198</v>
      </c>
      <c r="E302" s="10" t="s">
        <v>198</v>
      </c>
      <c r="F302" s="11" t="s">
        <v>198</v>
      </c>
      <c r="G302" s="11" t="s">
        <v>198</v>
      </c>
      <c r="H302" s="11" t="s">
        <v>198</v>
      </c>
      <c r="I302" s="11" t="s">
        <v>198</v>
      </c>
      <c r="J302" s="11" t="s">
        <v>198</v>
      </c>
      <c r="K302" s="11" t="s">
        <v>198</v>
      </c>
      <c r="L302" s="11" t="s">
        <v>198</v>
      </c>
      <c r="M302" s="11" t="s">
        <v>198</v>
      </c>
      <c r="N302" s="11" t="s">
        <v>198</v>
      </c>
      <c r="O302" s="11" t="s">
        <v>198</v>
      </c>
      <c r="P302" s="11" t="s">
        <v>198</v>
      </c>
      <c r="Q302" s="11" t="s">
        <v>198</v>
      </c>
      <c r="R302" s="11" t="s">
        <v>198</v>
      </c>
      <c r="S302" s="11" t="s">
        <v>198</v>
      </c>
      <c r="T302" s="11" t="s">
        <v>198</v>
      </c>
      <c r="U302" s="11" t="s">
        <v>198</v>
      </c>
      <c r="V302" s="11" t="s">
        <v>198</v>
      </c>
      <c r="W302" s="24" t="s">
        <v>198</v>
      </c>
      <c r="X302" s="24" t="s">
        <v>198</v>
      </c>
      <c r="Y302" s="13" t="s">
        <v>874</v>
      </c>
      <c r="Z302" s="21" t="s">
        <v>198</v>
      </c>
      <c r="AA302" s="91"/>
      <c r="AB302" s="22" t="s">
        <v>1591</v>
      </c>
      <c r="AC302" s="59" t="s">
        <v>355</v>
      </c>
      <c r="AD302" s="9" t="s">
        <v>355</v>
      </c>
      <c r="AE302" s="22"/>
      <c r="AF302" s="22"/>
    </row>
    <row r="303" spans="2:32" x14ac:dyDescent="0.2">
      <c r="B303" s="13" t="s">
        <v>898</v>
      </c>
      <c r="C303" s="97" t="s">
        <v>1019</v>
      </c>
      <c r="D303" s="11" t="s">
        <v>198</v>
      </c>
      <c r="E303" s="11" t="s">
        <v>198</v>
      </c>
      <c r="F303" s="11" t="s">
        <v>198</v>
      </c>
      <c r="G303" s="11" t="s">
        <v>198</v>
      </c>
      <c r="H303" s="11" t="s">
        <v>198</v>
      </c>
      <c r="I303" s="11" t="s">
        <v>198</v>
      </c>
      <c r="J303" s="11" t="s">
        <v>198</v>
      </c>
      <c r="K303" s="11" t="s">
        <v>198</v>
      </c>
      <c r="L303" s="11" t="s">
        <v>198</v>
      </c>
      <c r="M303" s="11" t="s">
        <v>198</v>
      </c>
      <c r="N303" s="11" t="s">
        <v>198</v>
      </c>
      <c r="O303" s="11" t="s">
        <v>198</v>
      </c>
      <c r="P303" s="11" t="s">
        <v>198</v>
      </c>
      <c r="Q303" s="11" t="s">
        <v>198</v>
      </c>
      <c r="R303" s="11" t="s">
        <v>198</v>
      </c>
      <c r="S303" s="11" t="s">
        <v>198</v>
      </c>
      <c r="T303" s="11" t="s">
        <v>198</v>
      </c>
      <c r="U303" s="11" t="s">
        <v>198</v>
      </c>
      <c r="V303" s="11" t="s">
        <v>198</v>
      </c>
      <c r="W303" s="24" t="s">
        <v>198</v>
      </c>
      <c r="X303" s="24" t="s">
        <v>198</v>
      </c>
      <c r="Y303" s="13" t="s">
        <v>898</v>
      </c>
      <c r="Z303" s="21" t="s">
        <v>198</v>
      </c>
      <c r="AA303" s="92"/>
      <c r="AB303" s="25" t="s">
        <v>1593</v>
      </c>
      <c r="AC303" s="59" t="s">
        <v>355</v>
      </c>
      <c r="AD303" s="9" t="s">
        <v>355</v>
      </c>
      <c r="AE303" s="22"/>
      <c r="AF303" s="22"/>
    </row>
    <row r="304" spans="2:32" x14ac:dyDescent="0.2">
      <c r="B304" s="13" t="s">
        <v>1020</v>
      </c>
      <c r="C304" s="97" t="s">
        <v>1021</v>
      </c>
      <c r="D304" s="10" t="s">
        <v>198</v>
      </c>
      <c r="E304" s="10" t="s">
        <v>198</v>
      </c>
      <c r="F304" s="10" t="s">
        <v>198</v>
      </c>
      <c r="G304" s="10" t="s">
        <v>198</v>
      </c>
      <c r="H304" s="10" t="s">
        <v>198</v>
      </c>
      <c r="I304" s="10" t="s">
        <v>198</v>
      </c>
      <c r="J304" s="10" t="s">
        <v>198</v>
      </c>
      <c r="K304" s="10" t="s">
        <v>198</v>
      </c>
      <c r="L304" s="10" t="s">
        <v>198</v>
      </c>
      <c r="M304" s="10" t="s">
        <v>198</v>
      </c>
      <c r="N304" s="10" t="s">
        <v>198</v>
      </c>
      <c r="O304" s="10" t="s">
        <v>198</v>
      </c>
      <c r="P304" s="10" t="s">
        <v>198</v>
      </c>
      <c r="Q304" s="10" t="s">
        <v>198</v>
      </c>
      <c r="R304" s="10" t="s">
        <v>198</v>
      </c>
      <c r="S304" s="10" t="s">
        <v>198</v>
      </c>
      <c r="T304" s="10" t="s">
        <v>198</v>
      </c>
      <c r="U304" s="10" t="s">
        <v>198</v>
      </c>
      <c r="V304" s="10" t="s">
        <v>198</v>
      </c>
      <c r="W304" s="19" t="s">
        <v>198</v>
      </c>
      <c r="X304" s="24" t="s">
        <v>198</v>
      </c>
      <c r="Y304" s="13" t="s">
        <v>1020</v>
      </c>
      <c r="Z304" s="21" t="s">
        <v>198</v>
      </c>
      <c r="AA304" s="92"/>
      <c r="AB304" s="25" t="s">
        <v>1590</v>
      </c>
      <c r="AC304" s="59" t="s">
        <v>355</v>
      </c>
      <c r="AD304" s="9" t="s">
        <v>355</v>
      </c>
      <c r="AE304" s="22"/>
      <c r="AF304" s="22"/>
    </row>
    <row r="305" spans="2:32" x14ac:dyDescent="0.2">
      <c r="B305" s="13" t="s">
        <v>867</v>
      </c>
      <c r="C305" s="97" t="s">
        <v>1022</v>
      </c>
      <c r="D305" s="10" t="s">
        <v>198</v>
      </c>
      <c r="E305" s="10" t="s">
        <v>198</v>
      </c>
      <c r="F305" s="11" t="s">
        <v>198</v>
      </c>
      <c r="G305" s="11" t="s">
        <v>198</v>
      </c>
      <c r="H305" s="11" t="s">
        <v>198</v>
      </c>
      <c r="I305" s="11" t="s">
        <v>198</v>
      </c>
      <c r="J305" s="11" t="s">
        <v>198</v>
      </c>
      <c r="K305" s="11" t="s">
        <v>198</v>
      </c>
      <c r="L305" s="11" t="s">
        <v>198</v>
      </c>
      <c r="M305" s="11" t="s">
        <v>198</v>
      </c>
      <c r="N305" s="11" t="s">
        <v>198</v>
      </c>
      <c r="O305" s="11" t="s">
        <v>198</v>
      </c>
      <c r="P305" s="11" t="s">
        <v>198</v>
      </c>
      <c r="Q305" s="11" t="s">
        <v>198</v>
      </c>
      <c r="R305" s="11" t="s">
        <v>198</v>
      </c>
      <c r="S305" s="11" t="s">
        <v>198</v>
      </c>
      <c r="T305" s="11" t="s">
        <v>198</v>
      </c>
      <c r="U305" s="11" t="s">
        <v>198</v>
      </c>
      <c r="V305" s="11" t="s">
        <v>198</v>
      </c>
      <c r="W305" s="24" t="s">
        <v>198</v>
      </c>
      <c r="X305" s="24" t="s">
        <v>198</v>
      </c>
      <c r="Y305" s="13" t="s">
        <v>867</v>
      </c>
      <c r="Z305" s="21" t="s">
        <v>198</v>
      </c>
      <c r="AA305" s="91"/>
      <c r="AB305" s="22" t="s">
        <v>1592</v>
      </c>
      <c r="AC305" s="59" t="s">
        <v>355</v>
      </c>
      <c r="AD305" s="9" t="s">
        <v>355</v>
      </c>
      <c r="AE305" s="22"/>
      <c r="AF305" s="22"/>
    </row>
    <row r="306" spans="2:32" x14ac:dyDescent="0.2">
      <c r="B306" s="15" t="s">
        <v>870</v>
      </c>
      <c r="C306" s="97" t="s">
        <v>1000</v>
      </c>
      <c r="D306" s="10" t="s">
        <v>198</v>
      </c>
      <c r="E306" s="10" t="s">
        <v>198</v>
      </c>
      <c r="F306" s="11" t="s">
        <v>198</v>
      </c>
      <c r="G306" s="11" t="s">
        <v>198</v>
      </c>
      <c r="H306" s="11" t="s">
        <v>198</v>
      </c>
      <c r="I306" s="11" t="s">
        <v>198</v>
      </c>
      <c r="J306" s="11" t="s">
        <v>198</v>
      </c>
      <c r="K306" s="11" t="s">
        <v>198</v>
      </c>
      <c r="L306" s="11" t="s">
        <v>198</v>
      </c>
      <c r="M306" s="11" t="s">
        <v>198</v>
      </c>
      <c r="N306" s="11" t="s">
        <v>198</v>
      </c>
      <c r="O306" s="11" t="s">
        <v>198</v>
      </c>
      <c r="P306" s="11" t="s">
        <v>198</v>
      </c>
      <c r="Q306" s="11" t="s">
        <v>198</v>
      </c>
      <c r="R306" s="11" t="s">
        <v>198</v>
      </c>
      <c r="S306" s="11" t="s">
        <v>198</v>
      </c>
      <c r="T306" s="11" t="s">
        <v>198</v>
      </c>
      <c r="U306" s="11" t="s">
        <v>198</v>
      </c>
      <c r="V306" s="11" t="s">
        <v>198</v>
      </c>
      <c r="W306" s="24" t="s">
        <v>198</v>
      </c>
      <c r="X306" s="24" t="s">
        <v>198</v>
      </c>
      <c r="Y306" s="15" t="s">
        <v>870</v>
      </c>
      <c r="Z306" s="21" t="s">
        <v>198</v>
      </c>
      <c r="AA306" s="91"/>
      <c r="AB306" s="22" t="s">
        <v>1586</v>
      </c>
      <c r="AC306" s="59" t="s">
        <v>355</v>
      </c>
      <c r="AD306" s="9" t="s">
        <v>355</v>
      </c>
      <c r="AE306" s="22"/>
      <c r="AF306" s="22"/>
    </row>
    <row r="307" spans="2:32" x14ac:dyDescent="0.2">
      <c r="B307" s="15" t="s">
        <v>996</v>
      </c>
      <c r="C307" s="97" t="s">
        <v>999</v>
      </c>
      <c r="D307" s="10" t="s">
        <v>198</v>
      </c>
      <c r="E307" s="10" t="s">
        <v>198</v>
      </c>
      <c r="F307" s="11" t="s">
        <v>198</v>
      </c>
      <c r="G307" s="11" t="s">
        <v>198</v>
      </c>
      <c r="H307" s="11" t="s">
        <v>198</v>
      </c>
      <c r="I307" s="11" t="s">
        <v>198</v>
      </c>
      <c r="J307" s="11" t="s">
        <v>198</v>
      </c>
      <c r="K307" s="11" t="s">
        <v>198</v>
      </c>
      <c r="L307" s="11" t="s">
        <v>198</v>
      </c>
      <c r="M307" s="11" t="s">
        <v>198</v>
      </c>
      <c r="N307" s="11" t="s">
        <v>198</v>
      </c>
      <c r="O307" s="11" t="s">
        <v>198</v>
      </c>
      <c r="P307" s="11" t="s">
        <v>198</v>
      </c>
      <c r="Q307" s="11" t="s">
        <v>198</v>
      </c>
      <c r="R307" s="11" t="s">
        <v>198</v>
      </c>
      <c r="S307" s="11" t="s">
        <v>198</v>
      </c>
      <c r="T307" s="11" t="s">
        <v>198</v>
      </c>
      <c r="U307" s="11" t="s">
        <v>198</v>
      </c>
      <c r="V307" s="11" t="s">
        <v>198</v>
      </c>
      <c r="W307" s="24" t="s">
        <v>198</v>
      </c>
      <c r="X307" s="24" t="s">
        <v>198</v>
      </c>
      <c r="Y307" s="15" t="s">
        <v>996</v>
      </c>
      <c r="Z307" s="21" t="s">
        <v>198</v>
      </c>
      <c r="AA307" s="91"/>
      <c r="AB307" s="22" t="s">
        <v>1585</v>
      </c>
      <c r="AC307" s="59" t="s">
        <v>355</v>
      </c>
      <c r="AD307" s="9" t="s">
        <v>355</v>
      </c>
      <c r="AE307" s="22"/>
      <c r="AF307" s="22"/>
    </row>
    <row r="308" spans="2:32" x14ac:dyDescent="0.2">
      <c r="B308" s="13" t="s">
        <v>874</v>
      </c>
      <c r="C308" s="97" t="s">
        <v>1023</v>
      </c>
      <c r="D308" s="10" t="s">
        <v>198</v>
      </c>
      <c r="E308" s="10" t="s">
        <v>198</v>
      </c>
      <c r="F308" s="11" t="s">
        <v>198</v>
      </c>
      <c r="G308" s="11" t="s">
        <v>198</v>
      </c>
      <c r="H308" s="11" t="s">
        <v>198</v>
      </c>
      <c r="I308" s="11" t="s">
        <v>198</v>
      </c>
      <c r="J308" s="11" t="s">
        <v>198</v>
      </c>
      <c r="K308" s="11" t="s">
        <v>198</v>
      </c>
      <c r="L308" s="11" t="s">
        <v>198</v>
      </c>
      <c r="M308" s="11" t="s">
        <v>198</v>
      </c>
      <c r="N308" s="11" t="s">
        <v>198</v>
      </c>
      <c r="O308" s="11" t="s">
        <v>198</v>
      </c>
      <c r="P308" s="11" t="s">
        <v>198</v>
      </c>
      <c r="Q308" s="11" t="s">
        <v>198</v>
      </c>
      <c r="R308" s="11" t="s">
        <v>198</v>
      </c>
      <c r="S308" s="11" t="s">
        <v>198</v>
      </c>
      <c r="T308" s="11" t="s">
        <v>198</v>
      </c>
      <c r="U308" s="11" t="s">
        <v>198</v>
      </c>
      <c r="V308" s="11" t="s">
        <v>198</v>
      </c>
      <c r="W308" s="24" t="s">
        <v>198</v>
      </c>
      <c r="X308" s="24" t="s">
        <v>198</v>
      </c>
      <c r="Y308" s="13" t="s">
        <v>874</v>
      </c>
      <c r="Z308" s="21" t="s">
        <v>198</v>
      </c>
      <c r="AA308" s="91"/>
      <c r="AB308" s="22" t="s">
        <v>1591</v>
      </c>
      <c r="AC308" s="59" t="s">
        <v>355</v>
      </c>
      <c r="AD308" s="9" t="s">
        <v>355</v>
      </c>
      <c r="AE308" s="22"/>
      <c r="AF308" s="22"/>
    </row>
    <row r="309" spans="2:32" x14ac:dyDescent="0.2">
      <c r="B309" s="13" t="s">
        <v>874</v>
      </c>
      <c r="C309" s="97" t="s">
        <v>1024</v>
      </c>
      <c r="D309" s="10" t="s">
        <v>198</v>
      </c>
      <c r="E309" s="10" t="s">
        <v>198</v>
      </c>
      <c r="F309" s="11" t="s">
        <v>198</v>
      </c>
      <c r="G309" s="11" t="s">
        <v>198</v>
      </c>
      <c r="H309" s="11" t="s">
        <v>198</v>
      </c>
      <c r="I309" s="11" t="s">
        <v>198</v>
      </c>
      <c r="J309" s="11" t="s">
        <v>198</v>
      </c>
      <c r="K309" s="11" t="s">
        <v>198</v>
      </c>
      <c r="L309" s="11" t="s">
        <v>198</v>
      </c>
      <c r="M309" s="11" t="s">
        <v>198</v>
      </c>
      <c r="N309" s="11" t="s">
        <v>198</v>
      </c>
      <c r="O309" s="11" t="s">
        <v>198</v>
      </c>
      <c r="P309" s="11" t="s">
        <v>198</v>
      </c>
      <c r="Q309" s="11" t="s">
        <v>198</v>
      </c>
      <c r="R309" s="11" t="s">
        <v>198</v>
      </c>
      <c r="S309" s="11" t="s">
        <v>198</v>
      </c>
      <c r="T309" s="11" t="s">
        <v>198</v>
      </c>
      <c r="U309" s="11" t="s">
        <v>198</v>
      </c>
      <c r="V309" s="11" t="s">
        <v>198</v>
      </c>
      <c r="W309" s="24" t="s">
        <v>198</v>
      </c>
      <c r="X309" s="24" t="s">
        <v>198</v>
      </c>
      <c r="Y309" s="13" t="s">
        <v>874</v>
      </c>
      <c r="Z309" s="21" t="s">
        <v>198</v>
      </c>
      <c r="AA309" s="91"/>
      <c r="AB309" s="22" t="s">
        <v>1591</v>
      </c>
      <c r="AC309" s="59" t="s">
        <v>355</v>
      </c>
      <c r="AD309" s="9" t="s">
        <v>355</v>
      </c>
      <c r="AE309" s="22"/>
      <c r="AF309" s="22"/>
    </row>
    <row r="310" spans="2:32" x14ac:dyDescent="0.2">
      <c r="B310" s="13" t="s">
        <v>874</v>
      </c>
      <c r="C310" s="97" t="s">
        <v>1025</v>
      </c>
      <c r="D310" s="10" t="s">
        <v>198</v>
      </c>
      <c r="E310" s="10" t="s">
        <v>198</v>
      </c>
      <c r="F310" s="11" t="s">
        <v>198</v>
      </c>
      <c r="G310" s="11" t="s">
        <v>198</v>
      </c>
      <c r="H310" s="11" t="s">
        <v>198</v>
      </c>
      <c r="I310" s="11" t="s">
        <v>198</v>
      </c>
      <c r="J310" s="11" t="s">
        <v>198</v>
      </c>
      <c r="K310" s="11" t="s">
        <v>198</v>
      </c>
      <c r="L310" s="11" t="s">
        <v>198</v>
      </c>
      <c r="M310" s="11" t="s">
        <v>198</v>
      </c>
      <c r="N310" s="11" t="s">
        <v>198</v>
      </c>
      <c r="O310" s="11" t="s">
        <v>198</v>
      </c>
      <c r="P310" s="11" t="s">
        <v>198</v>
      </c>
      <c r="Q310" s="11" t="s">
        <v>198</v>
      </c>
      <c r="R310" s="11" t="s">
        <v>198</v>
      </c>
      <c r="S310" s="11" t="s">
        <v>198</v>
      </c>
      <c r="T310" s="11" t="s">
        <v>198</v>
      </c>
      <c r="U310" s="11" t="s">
        <v>198</v>
      </c>
      <c r="V310" s="11" t="s">
        <v>198</v>
      </c>
      <c r="W310" s="24" t="s">
        <v>198</v>
      </c>
      <c r="X310" s="24" t="s">
        <v>198</v>
      </c>
      <c r="Y310" s="13" t="s">
        <v>874</v>
      </c>
      <c r="Z310" s="21" t="s">
        <v>198</v>
      </c>
      <c r="AA310" s="92"/>
      <c r="AB310" s="25" t="s">
        <v>1591</v>
      </c>
      <c r="AC310" s="59" t="s">
        <v>355</v>
      </c>
      <c r="AD310" s="9" t="s">
        <v>355</v>
      </c>
      <c r="AE310" s="22"/>
      <c r="AF310" s="22"/>
    </row>
    <row r="311" spans="2:32" x14ac:dyDescent="0.2">
      <c r="B311" s="13" t="s">
        <v>874</v>
      </c>
      <c r="C311" s="97" t="s">
        <v>1026</v>
      </c>
      <c r="D311" s="11" t="s">
        <v>198</v>
      </c>
      <c r="E311" s="11" t="s">
        <v>198</v>
      </c>
      <c r="F311" s="11" t="s">
        <v>198</v>
      </c>
      <c r="G311" s="11" t="s">
        <v>198</v>
      </c>
      <c r="H311" s="11" t="s">
        <v>198</v>
      </c>
      <c r="I311" s="11" t="s">
        <v>198</v>
      </c>
      <c r="J311" s="11" t="s">
        <v>198</v>
      </c>
      <c r="K311" s="11" t="s">
        <v>198</v>
      </c>
      <c r="L311" s="11" t="s">
        <v>198</v>
      </c>
      <c r="M311" s="11" t="s">
        <v>198</v>
      </c>
      <c r="N311" s="11" t="s">
        <v>198</v>
      </c>
      <c r="O311" s="11" t="s">
        <v>198</v>
      </c>
      <c r="P311" s="11" t="s">
        <v>198</v>
      </c>
      <c r="Q311" s="11" t="s">
        <v>198</v>
      </c>
      <c r="R311" s="11" t="s">
        <v>198</v>
      </c>
      <c r="S311" s="11" t="s">
        <v>198</v>
      </c>
      <c r="T311" s="11" t="s">
        <v>198</v>
      </c>
      <c r="U311" s="11" t="s">
        <v>198</v>
      </c>
      <c r="V311" s="11" t="s">
        <v>198</v>
      </c>
      <c r="W311" s="24" t="s">
        <v>198</v>
      </c>
      <c r="X311" s="24" t="s">
        <v>198</v>
      </c>
      <c r="Y311" s="13" t="s">
        <v>874</v>
      </c>
      <c r="Z311" s="21" t="s">
        <v>198</v>
      </c>
      <c r="AA311" s="92"/>
      <c r="AB311" s="25" t="s">
        <v>1591</v>
      </c>
      <c r="AC311" s="59" t="s">
        <v>355</v>
      </c>
      <c r="AD311" s="9" t="s">
        <v>355</v>
      </c>
      <c r="AE311" s="22"/>
      <c r="AF311" s="22"/>
    </row>
    <row r="312" spans="2:32" x14ac:dyDescent="0.2">
      <c r="B312" s="13" t="s">
        <v>1020</v>
      </c>
      <c r="C312" s="97" t="s">
        <v>1027</v>
      </c>
      <c r="D312" s="10" t="s">
        <v>198</v>
      </c>
      <c r="E312" s="10" t="s">
        <v>198</v>
      </c>
      <c r="F312" s="11" t="s">
        <v>198</v>
      </c>
      <c r="G312" s="11" t="s">
        <v>198</v>
      </c>
      <c r="H312" s="11" t="s">
        <v>198</v>
      </c>
      <c r="I312" s="11" t="s">
        <v>198</v>
      </c>
      <c r="J312" s="11" t="s">
        <v>198</v>
      </c>
      <c r="K312" s="11" t="s">
        <v>198</v>
      </c>
      <c r="L312" s="11" t="s">
        <v>198</v>
      </c>
      <c r="M312" s="11" t="s">
        <v>198</v>
      </c>
      <c r="N312" s="11" t="s">
        <v>198</v>
      </c>
      <c r="O312" s="11" t="s">
        <v>198</v>
      </c>
      <c r="P312" s="11" t="s">
        <v>198</v>
      </c>
      <c r="Q312" s="11" t="s">
        <v>198</v>
      </c>
      <c r="R312" s="11" t="s">
        <v>198</v>
      </c>
      <c r="S312" s="11" t="s">
        <v>198</v>
      </c>
      <c r="T312" s="11" t="s">
        <v>198</v>
      </c>
      <c r="U312" s="11" t="s">
        <v>198</v>
      </c>
      <c r="V312" s="11" t="s">
        <v>198</v>
      </c>
      <c r="W312" s="24" t="s">
        <v>198</v>
      </c>
      <c r="X312" s="24" t="s">
        <v>198</v>
      </c>
      <c r="Y312" s="13" t="s">
        <v>1020</v>
      </c>
      <c r="Z312" s="21" t="s">
        <v>198</v>
      </c>
      <c r="AA312" s="92"/>
      <c r="AB312" s="25" t="s">
        <v>1590</v>
      </c>
      <c r="AC312" s="59" t="s">
        <v>355</v>
      </c>
      <c r="AD312" s="9" t="s">
        <v>355</v>
      </c>
      <c r="AE312" s="22"/>
      <c r="AF312" s="22"/>
    </row>
    <row r="313" spans="2:32" x14ac:dyDescent="0.2">
      <c r="B313" s="13" t="s">
        <v>867</v>
      </c>
      <c r="C313" s="97" t="s">
        <v>707</v>
      </c>
      <c r="D313" s="11" t="s">
        <v>198</v>
      </c>
      <c r="E313" s="11" t="s">
        <v>198</v>
      </c>
      <c r="F313" s="11" t="s">
        <v>198</v>
      </c>
      <c r="G313" s="11" t="s">
        <v>198</v>
      </c>
      <c r="H313" s="11" t="s">
        <v>198</v>
      </c>
      <c r="I313" s="11" t="s">
        <v>198</v>
      </c>
      <c r="J313" s="11" t="s">
        <v>198</v>
      </c>
      <c r="K313" s="11" t="s">
        <v>198</v>
      </c>
      <c r="L313" s="11" t="s">
        <v>198</v>
      </c>
      <c r="M313" s="11" t="s">
        <v>198</v>
      </c>
      <c r="N313" s="11" t="s">
        <v>198</v>
      </c>
      <c r="O313" s="11" t="s">
        <v>198</v>
      </c>
      <c r="P313" s="11" t="s">
        <v>198</v>
      </c>
      <c r="Q313" s="11" t="s">
        <v>198</v>
      </c>
      <c r="R313" s="11" t="s">
        <v>198</v>
      </c>
      <c r="S313" s="11" t="s">
        <v>198</v>
      </c>
      <c r="T313" s="11" t="s">
        <v>198</v>
      </c>
      <c r="U313" s="11" t="s">
        <v>198</v>
      </c>
      <c r="V313" s="11" t="s">
        <v>198</v>
      </c>
      <c r="W313" s="24" t="s">
        <v>198</v>
      </c>
      <c r="X313" s="24" t="s">
        <v>198</v>
      </c>
      <c r="Y313" s="13" t="s">
        <v>867</v>
      </c>
      <c r="Z313" s="21" t="s">
        <v>198</v>
      </c>
      <c r="AA313" s="92"/>
      <c r="AB313" s="25" t="s">
        <v>1592</v>
      </c>
      <c r="AC313" s="59" t="s">
        <v>355</v>
      </c>
      <c r="AD313" s="9" t="s">
        <v>355</v>
      </c>
      <c r="AE313" s="22"/>
      <c r="AF313" s="22"/>
    </row>
    <row r="314" spans="2:32" x14ac:dyDescent="0.2">
      <c r="B314" s="15" t="s">
        <v>870</v>
      </c>
      <c r="C314" s="97" t="s">
        <v>1001</v>
      </c>
      <c r="D314" s="11" t="s">
        <v>198</v>
      </c>
      <c r="E314" s="11" t="s">
        <v>198</v>
      </c>
      <c r="F314" s="11" t="s">
        <v>198</v>
      </c>
      <c r="G314" s="11" t="s">
        <v>198</v>
      </c>
      <c r="H314" s="11" t="s">
        <v>198</v>
      </c>
      <c r="I314" s="11" t="s">
        <v>198</v>
      </c>
      <c r="J314" s="11" t="s">
        <v>198</v>
      </c>
      <c r="K314" s="11" t="s">
        <v>198</v>
      </c>
      <c r="L314" s="11" t="s">
        <v>198</v>
      </c>
      <c r="M314" s="11" t="s">
        <v>198</v>
      </c>
      <c r="N314" s="11" t="s">
        <v>198</v>
      </c>
      <c r="O314" s="11" t="s">
        <v>198</v>
      </c>
      <c r="P314" s="11" t="s">
        <v>198</v>
      </c>
      <c r="Q314" s="11" t="s">
        <v>198</v>
      </c>
      <c r="R314" s="11" t="s">
        <v>198</v>
      </c>
      <c r="S314" s="11" t="s">
        <v>198</v>
      </c>
      <c r="T314" s="11" t="s">
        <v>198</v>
      </c>
      <c r="U314" s="11" t="s">
        <v>198</v>
      </c>
      <c r="V314" s="11" t="s">
        <v>198</v>
      </c>
      <c r="W314" s="24" t="s">
        <v>198</v>
      </c>
      <c r="X314" s="24" t="s">
        <v>198</v>
      </c>
      <c r="Y314" s="15" t="s">
        <v>870</v>
      </c>
      <c r="Z314" s="21" t="s">
        <v>198</v>
      </c>
      <c r="AA314" s="92"/>
      <c r="AB314" s="25" t="s">
        <v>1586</v>
      </c>
      <c r="AC314" s="59" t="s">
        <v>355</v>
      </c>
      <c r="AD314" s="9" t="s">
        <v>355</v>
      </c>
      <c r="AE314" s="22"/>
      <c r="AF314" s="22"/>
    </row>
    <row r="315" spans="2:32" x14ac:dyDescent="0.2">
      <c r="B315" s="15" t="s">
        <v>996</v>
      </c>
      <c r="C315" s="97" t="s">
        <v>723</v>
      </c>
      <c r="D315" s="11" t="s">
        <v>198</v>
      </c>
      <c r="E315" s="11" t="s">
        <v>198</v>
      </c>
      <c r="F315" s="11" t="s">
        <v>198</v>
      </c>
      <c r="G315" s="11" t="s">
        <v>198</v>
      </c>
      <c r="H315" s="11" t="s">
        <v>198</v>
      </c>
      <c r="I315" s="11" t="s">
        <v>198</v>
      </c>
      <c r="J315" s="11" t="s">
        <v>198</v>
      </c>
      <c r="K315" s="11" t="s">
        <v>198</v>
      </c>
      <c r="L315" s="11" t="s">
        <v>198</v>
      </c>
      <c r="M315" s="11" t="s">
        <v>198</v>
      </c>
      <c r="N315" s="11" t="s">
        <v>198</v>
      </c>
      <c r="O315" s="11" t="s">
        <v>198</v>
      </c>
      <c r="P315" s="11" t="s">
        <v>198</v>
      </c>
      <c r="Q315" s="11" t="s">
        <v>198</v>
      </c>
      <c r="R315" s="11" t="s">
        <v>198</v>
      </c>
      <c r="S315" s="11" t="s">
        <v>198</v>
      </c>
      <c r="T315" s="11" t="s">
        <v>198</v>
      </c>
      <c r="U315" s="11" t="s">
        <v>198</v>
      </c>
      <c r="V315" s="11" t="s">
        <v>198</v>
      </c>
      <c r="W315" s="24" t="s">
        <v>198</v>
      </c>
      <c r="X315" s="24" t="s">
        <v>198</v>
      </c>
      <c r="Y315" s="15" t="s">
        <v>996</v>
      </c>
      <c r="Z315" s="21" t="s">
        <v>198</v>
      </c>
      <c r="AA315" s="92"/>
      <c r="AB315" s="25" t="s">
        <v>1585</v>
      </c>
      <c r="AC315" s="59" t="s">
        <v>355</v>
      </c>
      <c r="AD315" s="9" t="s">
        <v>355</v>
      </c>
      <c r="AE315" s="22"/>
      <c r="AF315" s="22"/>
    </row>
    <row r="316" spans="2:32" x14ac:dyDescent="0.2">
      <c r="B316" s="13" t="s">
        <v>874</v>
      </c>
      <c r="C316" s="97" t="s">
        <v>1028</v>
      </c>
      <c r="D316" s="11" t="s">
        <v>198</v>
      </c>
      <c r="E316" s="11" t="s">
        <v>198</v>
      </c>
      <c r="F316" s="11" t="s">
        <v>198</v>
      </c>
      <c r="G316" s="11" t="s">
        <v>198</v>
      </c>
      <c r="H316" s="11" t="s">
        <v>198</v>
      </c>
      <c r="I316" s="11" t="s">
        <v>198</v>
      </c>
      <c r="J316" s="11" t="s">
        <v>198</v>
      </c>
      <c r="K316" s="11" t="s">
        <v>198</v>
      </c>
      <c r="L316" s="11" t="s">
        <v>198</v>
      </c>
      <c r="M316" s="11" t="s">
        <v>198</v>
      </c>
      <c r="N316" s="11" t="s">
        <v>198</v>
      </c>
      <c r="O316" s="11" t="s">
        <v>198</v>
      </c>
      <c r="P316" s="11" t="s">
        <v>198</v>
      </c>
      <c r="Q316" s="11" t="s">
        <v>198</v>
      </c>
      <c r="R316" s="11" t="s">
        <v>198</v>
      </c>
      <c r="S316" s="11" t="s">
        <v>198</v>
      </c>
      <c r="T316" s="11" t="s">
        <v>198</v>
      </c>
      <c r="U316" s="11" t="s">
        <v>198</v>
      </c>
      <c r="V316" s="11" t="s">
        <v>198</v>
      </c>
      <c r="W316" s="24" t="s">
        <v>198</v>
      </c>
      <c r="X316" s="24" t="s">
        <v>198</v>
      </c>
      <c r="Y316" s="13" t="s">
        <v>874</v>
      </c>
      <c r="Z316" s="21" t="s">
        <v>198</v>
      </c>
      <c r="AA316" s="92"/>
      <c r="AB316" s="25" t="s">
        <v>1591</v>
      </c>
      <c r="AC316" s="59" t="s">
        <v>355</v>
      </c>
      <c r="AD316" s="9" t="s">
        <v>355</v>
      </c>
      <c r="AE316" s="22"/>
      <c r="AF316" s="22"/>
    </row>
    <row r="317" spans="2:32" x14ac:dyDescent="0.2">
      <c r="B317" s="13" t="s">
        <v>874</v>
      </c>
      <c r="C317" s="97" t="s">
        <v>724</v>
      </c>
      <c r="D317" s="11" t="s">
        <v>198</v>
      </c>
      <c r="E317" s="11" t="s">
        <v>198</v>
      </c>
      <c r="F317" s="11" t="s">
        <v>198</v>
      </c>
      <c r="G317" s="11" t="s">
        <v>198</v>
      </c>
      <c r="H317" s="11" t="s">
        <v>198</v>
      </c>
      <c r="I317" s="11" t="s">
        <v>198</v>
      </c>
      <c r="J317" s="11" t="s">
        <v>198</v>
      </c>
      <c r="K317" s="11" t="s">
        <v>198</v>
      </c>
      <c r="L317" s="11" t="s">
        <v>198</v>
      </c>
      <c r="M317" s="11" t="s">
        <v>198</v>
      </c>
      <c r="N317" s="11" t="s">
        <v>198</v>
      </c>
      <c r="O317" s="11" t="s">
        <v>198</v>
      </c>
      <c r="P317" s="11" t="s">
        <v>198</v>
      </c>
      <c r="Q317" s="11" t="s">
        <v>198</v>
      </c>
      <c r="R317" s="11" t="s">
        <v>198</v>
      </c>
      <c r="S317" s="11" t="s">
        <v>198</v>
      </c>
      <c r="T317" s="11" t="s">
        <v>198</v>
      </c>
      <c r="U317" s="11" t="s">
        <v>198</v>
      </c>
      <c r="V317" s="11" t="s">
        <v>198</v>
      </c>
      <c r="W317" s="24" t="s">
        <v>198</v>
      </c>
      <c r="X317" s="24" t="s">
        <v>198</v>
      </c>
      <c r="Y317" s="13" t="s">
        <v>874</v>
      </c>
      <c r="Z317" s="21" t="s">
        <v>198</v>
      </c>
      <c r="AA317" s="92"/>
      <c r="AB317" s="25" t="s">
        <v>1591</v>
      </c>
      <c r="AC317" s="59" t="s">
        <v>355</v>
      </c>
      <c r="AD317" s="9" t="s">
        <v>355</v>
      </c>
      <c r="AE317" s="22"/>
      <c r="AF317" s="22"/>
    </row>
    <row r="318" spans="2:32" x14ac:dyDescent="0.2">
      <c r="B318" s="13" t="s">
        <v>764</v>
      </c>
      <c r="C318" s="97" t="s">
        <v>1029</v>
      </c>
      <c r="D318" s="11" t="s">
        <v>198</v>
      </c>
      <c r="E318" s="11" t="s">
        <v>198</v>
      </c>
      <c r="F318" s="11" t="s">
        <v>198</v>
      </c>
      <c r="G318" s="11" t="s">
        <v>198</v>
      </c>
      <c r="H318" s="11" t="s">
        <v>198</v>
      </c>
      <c r="I318" s="11" t="s">
        <v>198</v>
      </c>
      <c r="J318" s="11" t="s">
        <v>198</v>
      </c>
      <c r="K318" s="11" t="s">
        <v>198</v>
      </c>
      <c r="L318" s="11" t="s">
        <v>198</v>
      </c>
      <c r="M318" s="11" t="s">
        <v>198</v>
      </c>
      <c r="N318" s="11" t="s">
        <v>198</v>
      </c>
      <c r="O318" s="11" t="s">
        <v>198</v>
      </c>
      <c r="P318" s="11" t="s">
        <v>198</v>
      </c>
      <c r="Q318" s="11" t="s">
        <v>198</v>
      </c>
      <c r="R318" s="11" t="s">
        <v>198</v>
      </c>
      <c r="S318" s="11" t="s">
        <v>198</v>
      </c>
      <c r="T318" s="11" t="s">
        <v>198</v>
      </c>
      <c r="U318" s="11" t="s">
        <v>198</v>
      </c>
      <c r="V318" s="11" t="s">
        <v>198</v>
      </c>
      <c r="W318" s="24" t="s">
        <v>198</v>
      </c>
      <c r="X318" s="24" t="s">
        <v>198</v>
      </c>
      <c r="Y318" s="13" t="s">
        <v>764</v>
      </c>
      <c r="Z318" s="21" t="s">
        <v>198</v>
      </c>
      <c r="AA318" s="92"/>
      <c r="AB318" s="22" t="s">
        <v>1570</v>
      </c>
      <c r="AC318" s="59" t="s">
        <v>355</v>
      </c>
      <c r="AD318" s="9" t="s">
        <v>355</v>
      </c>
      <c r="AE318" s="22"/>
      <c r="AF318" s="22"/>
    </row>
    <row r="319" spans="2:32" x14ac:dyDescent="0.2">
      <c r="B319" s="13" t="s">
        <v>867</v>
      </c>
      <c r="C319" s="97" t="s">
        <v>1030</v>
      </c>
      <c r="D319" s="10" t="s">
        <v>198</v>
      </c>
      <c r="E319" s="10" t="s">
        <v>198</v>
      </c>
      <c r="F319" s="11" t="s">
        <v>198</v>
      </c>
      <c r="G319" s="11" t="s">
        <v>198</v>
      </c>
      <c r="H319" s="11" t="s">
        <v>198</v>
      </c>
      <c r="I319" s="11" t="s">
        <v>198</v>
      </c>
      <c r="J319" s="11" t="s">
        <v>198</v>
      </c>
      <c r="K319" s="11" t="s">
        <v>198</v>
      </c>
      <c r="L319" s="11" t="s">
        <v>198</v>
      </c>
      <c r="M319" s="11" t="s">
        <v>198</v>
      </c>
      <c r="N319" s="11" t="s">
        <v>198</v>
      </c>
      <c r="O319" s="11" t="s">
        <v>198</v>
      </c>
      <c r="P319" s="11" t="s">
        <v>198</v>
      </c>
      <c r="Q319" s="11" t="s">
        <v>198</v>
      </c>
      <c r="R319" s="11" t="s">
        <v>198</v>
      </c>
      <c r="S319" s="11" t="s">
        <v>198</v>
      </c>
      <c r="T319" s="11" t="s">
        <v>198</v>
      </c>
      <c r="U319" s="11" t="s">
        <v>198</v>
      </c>
      <c r="V319" s="11" t="s">
        <v>198</v>
      </c>
      <c r="W319" s="24" t="s">
        <v>198</v>
      </c>
      <c r="X319" s="24" t="s">
        <v>198</v>
      </c>
      <c r="Y319" s="13" t="s">
        <v>867</v>
      </c>
      <c r="Z319" s="21" t="s">
        <v>198</v>
      </c>
      <c r="AA319" s="92"/>
      <c r="AB319" s="22" t="s">
        <v>1570</v>
      </c>
      <c r="AC319" s="59" t="s">
        <v>355</v>
      </c>
      <c r="AD319" s="9" t="s">
        <v>355</v>
      </c>
      <c r="AE319" s="22"/>
      <c r="AF319" s="22"/>
    </row>
    <row r="320" spans="2:32" x14ac:dyDescent="0.2">
      <c r="B320" s="13" t="s">
        <v>867</v>
      </c>
      <c r="C320" s="97" t="s">
        <v>1031</v>
      </c>
      <c r="D320" s="10" t="s">
        <v>198</v>
      </c>
      <c r="E320" s="10" t="s">
        <v>198</v>
      </c>
      <c r="F320" s="11" t="s">
        <v>198</v>
      </c>
      <c r="G320" s="11" t="s">
        <v>198</v>
      </c>
      <c r="H320" s="11" t="s">
        <v>198</v>
      </c>
      <c r="I320" s="11" t="s">
        <v>198</v>
      </c>
      <c r="J320" s="11" t="s">
        <v>198</v>
      </c>
      <c r="K320" s="11" t="s">
        <v>198</v>
      </c>
      <c r="L320" s="11" t="s">
        <v>198</v>
      </c>
      <c r="M320" s="11" t="s">
        <v>198</v>
      </c>
      <c r="N320" s="11" t="s">
        <v>198</v>
      </c>
      <c r="O320" s="11" t="s">
        <v>198</v>
      </c>
      <c r="P320" s="11" t="s">
        <v>198</v>
      </c>
      <c r="Q320" s="11" t="s">
        <v>198</v>
      </c>
      <c r="R320" s="11" t="s">
        <v>198</v>
      </c>
      <c r="S320" s="11" t="s">
        <v>198</v>
      </c>
      <c r="T320" s="11" t="s">
        <v>198</v>
      </c>
      <c r="U320" s="11" t="s">
        <v>198</v>
      </c>
      <c r="V320" s="11" t="s">
        <v>198</v>
      </c>
      <c r="W320" s="24" t="s">
        <v>198</v>
      </c>
      <c r="X320" s="24" t="s">
        <v>198</v>
      </c>
      <c r="Y320" s="13" t="s">
        <v>867</v>
      </c>
      <c r="Z320" s="21" t="s">
        <v>198</v>
      </c>
      <c r="AA320" s="91"/>
      <c r="AB320" s="22" t="s">
        <v>1592</v>
      </c>
      <c r="AC320" s="59" t="s">
        <v>355</v>
      </c>
      <c r="AD320" s="9" t="s">
        <v>355</v>
      </c>
      <c r="AE320" s="22"/>
      <c r="AF320" s="22"/>
    </row>
    <row r="321" spans="1:32" x14ac:dyDescent="0.2">
      <c r="B321" s="15" t="s">
        <v>870</v>
      </c>
      <c r="C321" s="97" t="s">
        <v>1002</v>
      </c>
      <c r="D321" s="10" t="s">
        <v>198</v>
      </c>
      <c r="E321" s="10" t="s">
        <v>198</v>
      </c>
      <c r="F321" s="11" t="s">
        <v>198</v>
      </c>
      <c r="G321" s="11" t="s">
        <v>198</v>
      </c>
      <c r="H321" s="11" t="s">
        <v>198</v>
      </c>
      <c r="I321" s="11" t="s">
        <v>198</v>
      </c>
      <c r="J321" s="11" t="s">
        <v>198</v>
      </c>
      <c r="K321" s="11" t="s">
        <v>198</v>
      </c>
      <c r="L321" s="11" t="s">
        <v>198</v>
      </c>
      <c r="M321" s="11" t="s">
        <v>198</v>
      </c>
      <c r="N321" s="11" t="s">
        <v>198</v>
      </c>
      <c r="O321" s="11" t="s">
        <v>198</v>
      </c>
      <c r="P321" s="11" t="s">
        <v>198</v>
      </c>
      <c r="Q321" s="11" t="s">
        <v>198</v>
      </c>
      <c r="R321" s="11" t="s">
        <v>198</v>
      </c>
      <c r="S321" s="11" t="s">
        <v>198</v>
      </c>
      <c r="T321" s="11" t="s">
        <v>198</v>
      </c>
      <c r="U321" s="11" t="s">
        <v>198</v>
      </c>
      <c r="V321" s="11" t="s">
        <v>198</v>
      </c>
      <c r="W321" s="24" t="s">
        <v>198</v>
      </c>
      <c r="X321" s="24" t="s">
        <v>198</v>
      </c>
      <c r="Y321" s="15" t="s">
        <v>870</v>
      </c>
      <c r="Z321" s="21" t="s">
        <v>198</v>
      </c>
      <c r="AA321" s="91"/>
      <c r="AB321" s="22" t="s">
        <v>1586</v>
      </c>
      <c r="AC321" s="59" t="s">
        <v>355</v>
      </c>
      <c r="AD321" s="9" t="s">
        <v>355</v>
      </c>
      <c r="AE321" s="22"/>
      <c r="AF321" s="22"/>
    </row>
    <row r="322" spans="1:32" x14ac:dyDescent="0.2">
      <c r="B322" s="15" t="s">
        <v>996</v>
      </c>
      <c r="C322" s="97" t="s">
        <v>997</v>
      </c>
      <c r="D322" s="10" t="s">
        <v>198</v>
      </c>
      <c r="E322" s="10" t="s">
        <v>198</v>
      </c>
      <c r="F322" s="11" t="s">
        <v>198</v>
      </c>
      <c r="G322" s="11" t="s">
        <v>198</v>
      </c>
      <c r="H322" s="11" t="s">
        <v>198</v>
      </c>
      <c r="I322" s="11" t="s">
        <v>198</v>
      </c>
      <c r="J322" s="11" t="s">
        <v>198</v>
      </c>
      <c r="K322" s="11" t="s">
        <v>198</v>
      </c>
      <c r="L322" s="11" t="s">
        <v>198</v>
      </c>
      <c r="M322" s="11" t="s">
        <v>198</v>
      </c>
      <c r="N322" s="11" t="s">
        <v>198</v>
      </c>
      <c r="O322" s="11" t="s">
        <v>198</v>
      </c>
      <c r="P322" s="11" t="s">
        <v>198</v>
      </c>
      <c r="Q322" s="11" t="s">
        <v>198</v>
      </c>
      <c r="R322" s="11" t="s">
        <v>198</v>
      </c>
      <c r="S322" s="11" t="s">
        <v>198</v>
      </c>
      <c r="T322" s="11" t="s">
        <v>198</v>
      </c>
      <c r="U322" s="11" t="s">
        <v>198</v>
      </c>
      <c r="V322" s="11" t="s">
        <v>198</v>
      </c>
      <c r="W322" s="24" t="s">
        <v>198</v>
      </c>
      <c r="X322" s="24" t="s">
        <v>198</v>
      </c>
      <c r="Y322" s="15" t="s">
        <v>996</v>
      </c>
      <c r="Z322" s="21" t="s">
        <v>198</v>
      </c>
      <c r="AA322" s="91"/>
      <c r="AB322" s="22" t="s">
        <v>1585</v>
      </c>
      <c r="AC322" s="59" t="s">
        <v>355</v>
      </c>
      <c r="AD322" s="9" t="s">
        <v>355</v>
      </c>
      <c r="AE322" s="22"/>
      <c r="AF322" s="22"/>
    </row>
    <row r="323" spans="1:32" x14ac:dyDescent="0.2">
      <c r="B323" s="13" t="s">
        <v>874</v>
      </c>
      <c r="C323" s="97" t="s">
        <v>1032</v>
      </c>
      <c r="D323" s="10" t="s">
        <v>198</v>
      </c>
      <c r="E323" s="10" t="s">
        <v>198</v>
      </c>
      <c r="F323" s="11" t="s">
        <v>198</v>
      </c>
      <c r="G323" s="11" t="s">
        <v>198</v>
      </c>
      <c r="H323" s="11" t="s">
        <v>198</v>
      </c>
      <c r="I323" s="11" t="s">
        <v>198</v>
      </c>
      <c r="J323" s="11" t="s">
        <v>198</v>
      </c>
      <c r="K323" s="11" t="s">
        <v>198</v>
      </c>
      <c r="L323" s="11" t="s">
        <v>198</v>
      </c>
      <c r="M323" s="11" t="s">
        <v>198</v>
      </c>
      <c r="N323" s="11" t="s">
        <v>198</v>
      </c>
      <c r="O323" s="11" t="s">
        <v>198</v>
      </c>
      <c r="P323" s="11" t="s">
        <v>198</v>
      </c>
      <c r="Q323" s="11" t="s">
        <v>198</v>
      </c>
      <c r="R323" s="11" t="s">
        <v>198</v>
      </c>
      <c r="S323" s="11" t="s">
        <v>198</v>
      </c>
      <c r="T323" s="11" t="s">
        <v>198</v>
      </c>
      <c r="U323" s="11" t="s">
        <v>198</v>
      </c>
      <c r="V323" s="11" t="s">
        <v>198</v>
      </c>
      <c r="W323" s="24" t="s">
        <v>198</v>
      </c>
      <c r="X323" s="24" t="s">
        <v>198</v>
      </c>
      <c r="Y323" s="13" t="s">
        <v>874</v>
      </c>
      <c r="Z323" s="21" t="s">
        <v>198</v>
      </c>
      <c r="AA323" s="91"/>
      <c r="AB323" s="22" t="s">
        <v>1591</v>
      </c>
      <c r="AC323" s="59" t="s">
        <v>355</v>
      </c>
      <c r="AD323" s="9" t="s">
        <v>355</v>
      </c>
      <c r="AE323" s="22"/>
      <c r="AF323" s="22"/>
    </row>
    <row r="324" spans="1:32" x14ac:dyDescent="0.2">
      <c r="B324" s="13" t="s">
        <v>874</v>
      </c>
      <c r="C324" s="97" t="s">
        <v>1033</v>
      </c>
      <c r="D324" s="10" t="s">
        <v>198</v>
      </c>
      <c r="E324" s="10" t="s">
        <v>198</v>
      </c>
      <c r="F324" s="11" t="s">
        <v>198</v>
      </c>
      <c r="G324" s="11" t="s">
        <v>198</v>
      </c>
      <c r="H324" s="11" t="s">
        <v>198</v>
      </c>
      <c r="I324" s="11" t="s">
        <v>198</v>
      </c>
      <c r="J324" s="11" t="s">
        <v>198</v>
      </c>
      <c r="K324" s="11" t="s">
        <v>198</v>
      </c>
      <c r="L324" s="11" t="s">
        <v>198</v>
      </c>
      <c r="M324" s="11" t="s">
        <v>198</v>
      </c>
      <c r="N324" s="11" t="s">
        <v>198</v>
      </c>
      <c r="O324" s="11" t="s">
        <v>198</v>
      </c>
      <c r="P324" s="11" t="s">
        <v>198</v>
      </c>
      <c r="Q324" s="11" t="s">
        <v>198</v>
      </c>
      <c r="R324" s="11" t="s">
        <v>198</v>
      </c>
      <c r="S324" s="11" t="s">
        <v>198</v>
      </c>
      <c r="T324" s="11" t="s">
        <v>198</v>
      </c>
      <c r="U324" s="11" t="s">
        <v>198</v>
      </c>
      <c r="V324" s="11" t="s">
        <v>198</v>
      </c>
      <c r="W324" s="24" t="s">
        <v>198</v>
      </c>
      <c r="X324" s="24" t="s">
        <v>198</v>
      </c>
      <c r="Y324" s="13" t="s">
        <v>874</v>
      </c>
      <c r="Z324" s="21" t="s">
        <v>198</v>
      </c>
      <c r="AA324" s="91"/>
      <c r="AB324" s="22" t="s">
        <v>1591</v>
      </c>
      <c r="AC324" s="59" t="s">
        <v>355</v>
      </c>
      <c r="AD324" s="9" t="s">
        <v>355</v>
      </c>
      <c r="AE324" s="22"/>
      <c r="AF324" s="22"/>
    </row>
    <row r="325" spans="1:32" x14ac:dyDescent="0.2">
      <c r="B325" s="13" t="s">
        <v>874</v>
      </c>
      <c r="C325" s="97" t="s">
        <v>1034</v>
      </c>
      <c r="D325" s="10" t="s">
        <v>198</v>
      </c>
      <c r="E325" s="10" t="s">
        <v>198</v>
      </c>
      <c r="F325" s="10" t="s">
        <v>198</v>
      </c>
      <c r="G325" s="10" t="s">
        <v>198</v>
      </c>
      <c r="H325" s="10" t="s">
        <v>198</v>
      </c>
      <c r="I325" s="10" t="s">
        <v>198</v>
      </c>
      <c r="J325" s="10" t="s">
        <v>198</v>
      </c>
      <c r="K325" s="10" t="s">
        <v>198</v>
      </c>
      <c r="L325" s="10" t="s">
        <v>198</v>
      </c>
      <c r="M325" s="10" t="s">
        <v>198</v>
      </c>
      <c r="N325" s="10" t="s">
        <v>198</v>
      </c>
      <c r="O325" s="10" t="s">
        <v>198</v>
      </c>
      <c r="P325" s="10" t="s">
        <v>198</v>
      </c>
      <c r="Q325" s="10" t="s">
        <v>198</v>
      </c>
      <c r="R325" s="10" t="s">
        <v>198</v>
      </c>
      <c r="S325" s="10" t="s">
        <v>198</v>
      </c>
      <c r="T325" s="10" t="s">
        <v>198</v>
      </c>
      <c r="U325" s="10" t="s">
        <v>198</v>
      </c>
      <c r="V325" s="10" t="s">
        <v>198</v>
      </c>
      <c r="W325" s="19" t="s">
        <v>198</v>
      </c>
      <c r="X325" s="24" t="s">
        <v>198</v>
      </c>
      <c r="Y325" s="13" t="s">
        <v>874</v>
      </c>
      <c r="Z325" s="21" t="s">
        <v>198</v>
      </c>
      <c r="AA325" s="92"/>
      <c r="AB325" s="25" t="s">
        <v>1591</v>
      </c>
      <c r="AC325" s="59" t="s">
        <v>355</v>
      </c>
      <c r="AD325" s="9" t="s">
        <v>355</v>
      </c>
      <c r="AE325" s="22"/>
      <c r="AF325" s="22"/>
    </row>
    <row r="326" spans="1:32" x14ac:dyDescent="0.2">
      <c r="B326" s="13" t="s">
        <v>764</v>
      </c>
      <c r="C326" s="97" t="s">
        <v>708</v>
      </c>
      <c r="D326" s="10" t="s">
        <v>198</v>
      </c>
      <c r="E326" s="10" t="s">
        <v>198</v>
      </c>
      <c r="F326" s="10" t="s">
        <v>198</v>
      </c>
      <c r="G326" s="10" t="s">
        <v>198</v>
      </c>
      <c r="H326" s="10" t="s">
        <v>198</v>
      </c>
      <c r="I326" s="10" t="s">
        <v>198</v>
      </c>
      <c r="J326" s="10" t="s">
        <v>198</v>
      </c>
      <c r="K326" s="10" t="s">
        <v>198</v>
      </c>
      <c r="L326" s="10" t="s">
        <v>198</v>
      </c>
      <c r="M326" s="10" t="s">
        <v>198</v>
      </c>
      <c r="N326" s="10" t="s">
        <v>198</v>
      </c>
      <c r="O326" s="10" t="s">
        <v>198</v>
      </c>
      <c r="P326" s="10" t="s">
        <v>198</v>
      </c>
      <c r="Q326" s="10" t="s">
        <v>198</v>
      </c>
      <c r="R326" s="10" t="s">
        <v>198</v>
      </c>
      <c r="S326" s="10" t="s">
        <v>198</v>
      </c>
      <c r="T326" s="10" t="s">
        <v>198</v>
      </c>
      <c r="U326" s="10" t="s">
        <v>198</v>
      </c>
      <c r="V326" s="10" t="s">
        <v>198</v>
      </c>
      <c r="W326" s="19" t="s">
        <v>198</v>
      </c>
      <c r="X326" s="24" t="s">
        <v>198</v>
      </c>
      <c r="Y326" s="13" t="s">
        <v>764</v>
      </c>
      <c r="Z326" s="21" t="s">
        <v>198</v>
      </c>
      <c r="AA326" s="92"/>
      <c r="AB326" s="22" t="s">
        <v>1570</v>
      </c>
      <c r="AC326" s="59" t="s">
        <v>355</v>
      </c>
      <c r="AD326" s="9" t="s">
        <v>355</v>
      </c>
      <c r="AE326" s="22"/>
      <c r="AF326" s="22"/>
    </row>
    <row r="327" spans="1:32" x14ac:dyDescent="0.2">
      <c r="B327" s="13" t="s">
        <v>764</v>
      </c>
      <c r="C327" s="97" t="s">
        <v>1035</v>
      </c>
      <c r="D327" s="10" t="s">
        <v>198</v>
      </c>
      <c r="E327" s="10" t="s">
        <v>198</v>
      </c>
      <c r="F327" s="11" t="s">
        <v>198</v>
      </c>
      <c r="G327" s="11" t="s">
        <v>198</v>
      </c>
      <c r="H327" s="11" t="s">
        <v>198</v>
      </c>
      <c r="I327" s="11" t="s">
        <v>198</v>
      </c>
      <c r="J327" s="11" t="s">
        <v>198</v>
      </c>
      <c r="K327" s="11" t="s">
        <v>198</v>
      </c>
      <c r="L327" s="11" t="s">
        <v>198</v>
      </c>
      <c r="M327" s="11" t="s">
        <v>198</v>
      </c>
      <c r="N327" s="11" t="s">
        <v>198</v>
      </c>
      <c r="O327" s="11" t="s">
        <v>198</v>
      </c>
      <c r="P327" s="11" t="s">
        <v>198</v>
      </c>
      <c r="Q327" s="11" t="s">
        <v>198</v>
      </c>
      <c r="R327" s="11" t="s">
        <v>198</v>
      </c>
      <c r="S327" s="11" t="s">
        <v>198</v>
      </c>
      <c r="T327" s="11" t="s">
        <v>198</v>
      </c>
      <c r="U327" s="11" t="s">
        <v>198</v>
      </c>
      <c r="V327" s="11" t="s">
        <v>198</v>
      </c>
      <c r="W327" s="24" t="s">
        <v>198</v>
      </c>
      <c r="X327" s="24" t="s">
        <v>198</v>
      </c>
      <c r="Y327" s="13" t="s">
        <v>764</v>
      </c>
      <c r="Z327" s="21" t="s">
        <v>198</v>
      </c>
      <c r="AA327" s="92"/>
      <c r="AB327" s="22" t="s">
        <v>1570</v>
      </c>
      <c r="AC327" s="59" t="s">
        <v>355</v>
      </c>
      <c r="AD327" s="9" t="s">
        <v>355</v>
      </c>
      <c r="AE327" s="22"/>
      <c r="AF327" s="22"/>
    </row>
    <row r="328" spans="1:32" x14ac:dyDescent="0.2">
      <c r="B328" s="13" t="s">
        <v>764</v>
      </c>
      <c r="C328" s="97" t="s">
        <v>1036</v>
      </c>
      <c r="D328" s="10" t="s">
        <v>198</v>
      </c>
      <c r="E328" s="10" t="s">
        <v>198</v>
      </c>
      <c r="F328" s="11" t="s">
        <v>198</v>
      </c>
      <c r="G328" s="11" t="s">
        <v>198</v>
      </c>
      <c r="H328" s="11" t="s">
        <v>198</v>
      </c>
      <c r="I328" s="11" t="s">
        <v>198</v>
      </c>
      <c r="J328" s="11" t="s">
        <v>198</v>
      </c>
      <c r="K328" s="11" t="s">
        <v>198</v>
      </c>
      <c r="L328" s="11" t="s">
        <v>198</v>
      </c>
      <c r="M328" s="11" t="s">
        <v>198</v>
      </c>
      <c r="N328" s="11" t="s">
        <v>198</v>
      </c>
      <c r="O328" s="11" t="s">
        <v>198</v>
      </c>
      <c r="P328" s="11" t="s">
        <v>198</v>
      </c>
      <c r="Q328" s="11" t="s">
        <v>198</v>
      </c>
      <c r="R328" s="11" t="s">
        <v>198</v>
      </c>
      <c r="S328" s="11" t="s">
        <v>198</v>
      </c>
      <c r="T328" s="11" t="s">
        <v>198</v>
      </c>
      <c r="U328" s="11" t="s">
        <v>198</v>
      </c>
      <c r="V328" s="11" t="s">
        <v>198</v>
      </c>
      <c r="W328" s="24" t="s">
        <v>198</v>
      </c>
      <c r="X328" s="24" t="s">
        <v>198</v>
      </c>
      <c r="Y328" s="13" t="s">
        <v>764</v>
      </c>
      <c r="Z328" s="21" t="s">
        <v>198</v>
      </c>
      <c r="AA328" s="92"/>
      <c r="AB328" s="22" t="s">
        <v>1570</v>
      </c>
      <c r="AC328" s="59" t="s">
        <v>355</v>
      </c>
      <c r="AD328" s="9" t="s">
        <v>355</v>
      </c>
      <c r="AE328" s="22"/>
      <c r="AF328" s="22"/>
    </row>
    <row r="329" spans="1:32" s="1" customFormat="1" x14ac:dyDescent="0.2">
      <c r="A329" s="6"/>
      <c r="B329" s="13" t="s">
        <v>867</v>
      </c>
      <c r="C329" s="97" t="s">
        <v>709</v>
      </c>
      <c r="D329" s="10" t="s">
        <v>198</v>
      </c>
      <c r="E329" s="10" t="s">
        <v>198</v>
      </c>
      <c r="F329" s="11" t="s">
        <v>198</v>
      </c>
      <c r="G329" s="11" t="s">
        <v>198</v>
      </c>
      <c r="H329" s="11" t="s">
        <v>198</v>
      </c>
      <c r="I329" s="11" t="s">
        <v>198</v>
      </c>
      <c r="J329" s="11" t="s">
        <v>198</v>
      </c>
      <c r="K329" s="11" t="s">
        <v>198</v>
      </c>
      <c r="L329" s="11" t="s">
        <v>198</v>
      </c>
      <c r="M329" s="11" t="s">
        <v>198</v>
      </c>
      <c r="N329" s="11" t="s">
        <v>198</v>
      </c>
      <c r="O329" s="11" t="s">
        <v>198</v>
      </c>
      <c r="P329" s="11" t="s">
        <v>198</v>
      </c>
      <c r="Q329" s="11" t="s">
        <v>198</v>
      </c>
      <c r="R329" s="11" t="s">
        <v>198</v>
      </c>
      <c r="S329" s="11" t="s">
        <v>198</v>
      </c>
      <c r="T329" s="11" t="s">
        <v>198</v>
      </c>
      <c r="U329" s="11" t="s">
        <v>198</v>
      </c>
      <c r="V329" s="11" t="s">
        <v>198</v>
      </c>
      <c r="W329" s="24" t="s">
        <v>198</v>
      </c>
      <c r="X329" s="24" t="s">
        <v>198</v>
      </c>
      <c r="Y329" s="13" t="s">
        <v>867</v>
      </c>
      <c r="Z329" s="21" t="s">
        <v>198</v>
      </c>
      <c r="AA329" s="91"/>
      <c r="AB329" s="22" t="s">
        <v>1592</v>
      </c>
      <c r="AC329" s="59" t="s">
        <v>355</v>
      </c>
      <c r="AD329" s="9" t="s">
        <v>355</v>
      </c>
      <c r="AE329" s="22"/>
      <c r="AF329" s="22"/>
    </row>
    <row r="330" spans="1:32" s="1" customFormat="1" x14ac:dyDescent="0.2">
      <c r="A330" s="6"/>
      <c r="B330" s="13" t="s">
        <v>867</v>
      </c>
      <c r="C330" s="97" t="s">
        <v>710</v>
      </c>
      <c r="D330" s="10" t="s">
        <v>198</v>
      </c>
      <c r="E330" s="10" t="s">
        <v>198</v>
      </c>
      <c r="F330" s="11" t="s">
        <v>198</v>
      </c>
      <c r="G330" s="11" t="s">
        <v>198</v>
      </c>
      <c r="H330" s="11" t="s">
        <v>198</v>
      </c>
      <c r="I330" s="11" t="s">
        <v>198</v>
      </c>
      <c r="J330" s="11" t="s">
        <v>198</v>
      </c>
      <c r="K330" s="11" t="s">
        <v>198</v>
      </c>
      <c r="L330" s="11" t="s">
        <v>198</v>
      </c>
      <c r="M330" s="11" t="s">
        <v>198</v>
      </c>
      <c r="N330" s="11" t="s">
        <v>198</v>
      </c>
      <c r="O330" s="11" t="s">
        <v>198</v>
      </c>
      <c r="P330" s="11" t="s">
        <v>198</v>
      </c>
      <c r="Q330" s="11" t="s">
        <v>198</v>
      </c>
      <c r="R330" s="11" t="s">
        <v>198</v>
      </c>
      <c r="S330" s="11" t="s">
        <v>198</v>
      </c>
      <c r="T330" s="11" t="s">
        <v>198</v>
      </c>
      <c r="U330" s="11" t="s">
        <v>198</v>
      </c>
      <c r="V330" s="11" t="s">
        <v>198</v>
      </c>
      <c r="W330" s="24" t="s">
        <v>198</v>
      </c>
      <c r="X330" s="24" t="s">
        <v>198</v>
      </c>
      <c r="Y330" s="13" t="s">
        <v>867</v>
      </c>
      <c r="Z330" s="21" t="s">
        <v>198</v>
      </c>
      <c r="AA330" s="91"/>
      <c r="AB330" s="22" t="s">
        <v>1592</v>
      </c>
      <c r="AC330" s="59" t="s">
        <v>355</v>
      </c>
      <c r="AD330" s="9" t="s">
        <v>355</v>
      </c>
      <c r="AE330" s="22"/>
      <c r="AF330" s="22"/>
    </row>
    <row r="331" spans="1:32" s="1" customFormat="1" x14ac:dyDescent="0.2">
      <c r="A331" s="6"/>
      <c r="B331" s="15" t="s">
        <v>870</v>
      </c>
      <c r="C331" s="97" t="s">
        <v>1003</v>
      </c>
      <c r="D331" s="10" t="s">
        <v>198</v>
      </c>
      <c r="E331" s="10" t="s">
        <v>198</v>
      </c>
      <c r="F331" s="11" t="s">
        <v>198</v>
      </c>
      <c r="G331" s="11" t="s">
        <v>198</v>
      </c>
      <c r="H331" s="11" t="s">
        <v>198</v>
      </c>
      <c r="I331" s="11" t="s">
        <v>198</v>
      </c>
      <c r="J331" s="11" t="s">
        <v>198</v>
      </c>
      <c r="K331" s="11" t="s">
        <v>198</v>
      </c>
      <c r="L331" s="11" t="s">
        <v>198</v>
      </c>
      <c r="M331" s="11" t="s">
        <v>198</v>
      </c>
      <c r="N331" s="11" t="s">
        <v>198</v>
      </c>
      <c r="O331" s="11" t="s">
        <v>198</v>
      </c>
      <c r="P331" s="11" t="s">
        <v>198</v>
      </c>
      <c r="Q331" s="11" t="s">
        <v>198</v>
      </c>
      <c r="R331" s="11" t="s">
        <v>198</v>
      </c>
      <c r="S331" s="11" t="s">
        <v>198</v>
      </c>
      <c r="T331" s="11" t="s">
        <v>198</v>
      </c>
      <c r="U331" s="11" t="s">
        <v>198</v>
      </c>
      <c r="V331" s="11" t="s">
        <v>198</v>
      </c>
      <c r="W331" s="24" t="s">
        <v>198</v>
      </c>
      <c r="X331" s="24" t="s">
        <v>198</v>
      </c>
      <c r="Y331" s="15" t="s">
        <v>870</v>
      </c>
      <c r="Z331" s="21" t="s">
        <v>198</v>
      </c>
      <c r="AA331" s="91"/>
      <c r="AB331" s="22" t="s">
        <v>1586</v>
      </c>
      <c r="AC331" s="59" t="s">
        <v>355</v>
      </c>
      <c r="AD331" s="9" t="s">
        <v>355</v>
      </c>
      <c r="AE331" s="22"/>
      <c r="AF331" s="22"/>
    </row>
    <row r="332" spans="1:32" s="1" customFormat="1" x14ac:dyDescent="0.2">
      <c r="A332" s="6"/>
      <c r="B332" s="15" t="s">
        <v>996</v>
      </c>
      <c r="C332" s="97" t="s">
        <v>998</v>
      </c>
      <c r="D332" s="10" t="s">
        <v>198</v>
      </c>
      <c r="E332" s="10" t="s">
        <v>198</v>
      </c>
      <c r="F332" s="11" t="s">
        <v>198</v>
      </c>
      <c r="G332" s="11" t="s">
        <v>198</v>
      </c>
      <c r="H332" s="11" t="s">
        <v>198</v>
      </c>
      <c r="I332" s="11" t="s">
        <v>198</v>
      </c>
      <c r="J332" s="11" t="s">
        <v>198</v>
      </c>
      <c r="K332" s="11" t="s">
        <v>198</v>
      </c>
      <c r="L332" s="11" t="s">
        <v>198</v>
      </c>
      <c r="M332" s="11" t="s">
        <v>198</v>
      </c>
      <c r="N332" s="11" t="s">
        <v>198</v>
      </c>
      <c r="O332" s="11" t="s">
        <v>198</v>
      </c>
      <c r="P332" s="11" t="s">
        <v>198</v>
      </c>
      <c r="Q332" s="11" t="s">
        <v>198</v>
      </c>
      <c r="R332" s="11" t="s">
        <v>198</v>
      </c>
      <c r="S332" s="11" t="s">
        <v>198</v>
      </c>
      <c r="T332" s="11" t="s">
        <v>198</v>
      </c>
      <c r="U332" s="11" t="s">
        <v>198</v>
      </c>
      <c r="V332" s="11" t="s">
        <v>198</v>
      </c>
      <c r="W332" s="24" t="s">
        <v>198</v>
      </c>
      <c r="X332" s="24" t="s">
        <v>198</v>
      </c>
      <c r="Y332" s="15" t="s">
        <v>996</v>
      </c>
      <c r="Z332" s="21" t="s">
        <v>198</v>
      </c>
      <c r="AA332" s="91"/>
      <c r="AB332" s="22" t="s">
        <v>1585</v>
      </c>
      <c r="AC332" s="59" t="s">
        <v>355</v>
      </c>
      <c r="AD332" s="9" t="s">
        <v>355</v>
      </c>
      <c r="AE332" s="22"/>
      <c r="AF332" s="22"/>
    </row>
    <row r="333" spans="1:32" s="1" customFormat="1" x14ac:dyDescent="0.2">
      <c r="A333" s="6"/>
      <c r="B333" s="13" t="s">
        <v>874</v>
      </c>
      <c r="C333" s="97" t="s">
        <v>1037</v>
      </c>
      <c r="D333" s="10" t="s">
        <v>198</v>
      </c>
      <c r="E333" s="10" t="s">
        <v>198</v>
      </c>
      <c r="F333" s="11" t="s">
        <v>198</v>
      </c>
      <c r="G333" s="11" t="s">
        <v>198</v>
      </c>
      <c r="H333" s="11" t="s">
        <v>198</v>
      </c>
      <c r="I333" s="11" t="s">
        <v>198</v>
      </c>
      <c r="J333" s="11" t="s">
        <v>198</v>
      </c>
      <c r="K333" s="11" t="s">
        <v>198</v>
      </c>
      <c r="L333" s="11" t="s">
        <v>198</v>
      </c>
      <c r="M333" s="11" t="s">
        <v>198</v>
      </c>
      <c r="N333" s="11" t="s">
        <v>198</v>
      </c>
      <c r="O333" s="11" t="s">
        <v>198</v>
      </c>
      <c r="P333" s="11" t="s">
        <v>198</v>
      </c>
      <c r="Q333" s="11" t="s">
        <v>198</v>
      </c>
      <c r="R333" s="11" t="s">
        <v>198</v>
      </c>
      <c r="S333" s="11" t="s">
        <v>198</v>
      </c>
      <c r="T333" s="11" t="s">
        <v>198</v>
      </c>
      <c r="U333" s="11" t="s">
        <v>198</v>
      </c>
      <c r="V333" s="11" t="s">
        <v>198</v>
      </c>
      <c r="W333" s="24" t="s">
        <v>198</v>
      </c>
      <c r="X333" s="24" t="s">
        <v>198</v>
      </c>
      <c r="Y333" s="13" t="s">
        <v>874</v>
      </c>
      <c r="Z333" s="21" t="s">
        <v>198</v>
      </c>
      <c r="AA333" s="91"/>
      <c r="AB333" s="22" t="s">
        <v>1591</v>
      </c>
      <c r="AC333" s="59" t="s">
        <v>355</v>
      </c>
      <c r="AD333" s="9" t="s">
        <v>355</v>
      </c>
      <c r="AE333" s="22"/>
      <c r="AF333" s="22"/>
    </row>
    <row r="334" spans="1:32" s="1" customFormat="1" x14ac:dyDescent="0.2">
      <c r="A334" s="6"/>
      <c r="B334" s="13" t="s">
        <v>874</v>
      </c>
      <c r="C334" s="97" t="s">
        <v>1038</v>
      </c>
      <c r="D334" s="10" t="s">
        <v>198</v>
      </c>
      <c r="E334" s="10" t="s">
        <v>198</v>
      </c>
      <c r="F334" s="11" t="s">
        <v>198</v>
      </c>
      <c r="G334" s="11" t="s">
        <v>198</v>
      </c>
      <c r="H334" s="11" t="s">
        <v>198</v>
      </c>
      <c r="I334" s="11" t="s">
        <v>198</v>
      </c>
      <c r="J334" s="11" t="s">
        <v>198</v>
      </c>
      <c r="K334" s="11" t="s">
        <v>198</v>
      </c>
      <c r="L334" s="11" t="s">
        <v>198</v>
      </c>
      <c r="M334" s="11" t="s">
        <v>198</v>
      </c>
      <c r="N334" s="11" t="s">
        <v>198</v>
      </c>
      <c r="O334" s="11" t="s">
        <v>198</v>
      </c>
      <c r="P334" s="11" t="s">
        <v>198</v>
      </c>
      <c r="Q334" s="11" t="s">
        <v>198</v>
      </c>
      <c r="R334" s="11" t="s">
        <v>198</v>
      </c>
      <c r="S334" s="11" t="s">
        <v>198</v>
      </c>
      <c r="T334" s="11" t="s">
        <v>198</v>
      </c>
      <c r="U334" s="11" t="s">
        <v>198</v>
      </c>
      <c r="V334" s="11" t="s">
        <v>198</v>
      </c>
      <c r="W334" s="24" t="s">
        <v>198</v>
      </c>
      <c r="X334" s="24" t="s">
        <v>198</v>
      </c>
      <c r="Y334" s="13" t="s">
        <v>874</v>
      </c>
      <c r="Z334" s="21" t="s">
        <v>198</v>
      </c>
      <c r="AA334" s="91"/>
      <c r="AB334" s="22" t="s">
        <v>1591</v>
      </c>
      <c r="AC334" s="59" t="s">
        <v>355</v>
      </c>
      <c r="AD334" s="9" t="s">
        <v>355</v>
      </c>
      <c r="AE334" s="22"/>
      <c r="AF334" s="22"/>
    </row>
    <row r="335" spans="1:32" s="1" customFormat="1" x14ac:dyDescent="0.2">
      <c r="A335" s="6"/>
      <c r="B335" s="13" t="s">
        <v>874</v>
      </c>
      <c r="C335" s="97" t="s">
        <v>711</v>
      </c>
      <c r="D335" s="10" t="s">
        <v>198</v>
      </c>
      <c r="E335" s="10" t="s">
        <v>198</v>
      </c>
      <c r="F335" s="11" t="s">
        <v>198</v>
      </c>
      <c r="G335" s="11" t="s">
        <v>198</v>
      </c>
      <c r="H335" s="11" t="s">
        <v>198</v>
      </c>
      <c r="I335" s="11" t="s">
        <v>198</v>
      </c>
      <c r="J335" s="11" t="s">
        <v>198</v>
      </c>
      <c r="K335" s="11" t="s">
        <v>198</v>
      </c>
      <c r="L335" s="11" t="s">
        <v>198</v>
      </c>
      <c r="M335" s="11" t="s">
        <v>198</v>
      </c>
      <c r="N335" s="11" t="s">
        <v>198</v>
      </c>
      <c r="O335" s="11" t="s">
        <v>198</v>
      </c>
      <c r="P335" s="11" t="s">
        <v>198</v>
      </c>
      <c r="Q335" s="11" t="s">
        <v>198</v>
      </c>
      <c r="R335" s="11" t="s">
        <v>198</v>
      </c>
      <c r="S335" s="11" t="s">
        <v>198</v>
      </c>
      <c r="T335" s="11" t="s">
        <v>198</v>
      </c>
      <c r="U335" s="11" t="s">
        <v>198</v>
      </c>
      <c r="V335" s="11" t="s">
        <v>198</v>
      </c>
      <c r="W335" s="24" t="s">
        <v>198</v>
      </c>
      <c r="X335" s="24" t="s">
        <v>198</v>
      </c>
      <c r="Y335" s="13" t="s">
        <v>874</v>
      </c>
      <c r="Z335" s="21" t="s">
        <v>198</v>
      </c>
      <c r="AA335" s="91"/>
      <c r="AB335" s="22" t="s">
        <v>1591</v>
      </c>
      <c r="AC335" s="59" t="s">
        <v>355</v>
      </c>
      <c r="AD335" s="9" t="s">
        <v>355</v>
      </c>
      <c r="AE335" s="22"/>
      <c r="AF335" s="22"/>
    </row>
    <row r="338" spans="1:30" s="1" customFormat="1" x14ac:dyDescent="0.2">
      <c r="A338" s="6"/>
      <c r="B338" s="1" t="s">
        <v>729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s="1" customFormat="1" x14ac:dyDescent="0.2">
      <c r="A339" s="6"/>
      <c r="B339" s="1" t="s">
        <v>731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s="1" customFormat="1" x14ac:dyDescent="0.2">
      <c r="A340" s="6"/>
      <c r="B340" s="1" t="s">
        <v>730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s="1" customFormat="1" x14ac:dyDescent="0.2">
      <c r="A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</sheetData>
  <sheetProtection algorithmName="SHA-512" hashValue="rmMNEMH/2L7XF8hwx+MQxXYfsmFzVE/fK0h2D+fUKxQQRjP4D0jTE1Nity19QI9ue/E5cDTjg3vi7FUu7WQY8w==" saltValue="KCeK2l+m0nGEEFRsDryG9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8">
    <mergeCell ref="AF8:AF9"/>
    <mergeCell ref="Y7:AB7"/>
    <mergeCell ref="AC7:AD7"/>
    <mergeCell ref="AE7:AF7"/>
    <mergeCell ref="Y8:Y9"/>
    <mergeCell ref="Z8:Z9"/>
    <mergeCell ref="AA8:AA9"/>
    <mergeCell ref="AB8:AB9"/>
    <mergeCell ref="AC8:AC9"/>
    <mergeCell ref="AD8:AD9"/>
    <mergeCell ref="AE8:AE9"/>
    <mergeCell ref="W6:X6"/>
    <mergeCell ref="W7:X9"/>
    <mergeCell ref="B7:B9"/>
    <mergeCell ref="C7:C9"/>
    <mergeCell ref="D7:D9"/>
    <mergeCell ref="E7:T7"/>
    <mergeCell ref="U7:V7"/>
  </mergeCells>
  <phoneticPr fontId="3"/>
  <conditionalFormatting sqref="Y10:Y177">
    <cfRule type="duplicateValues" dxfId="159" priority="3"/>
    <cfRule type="notContainsBlanks" dxfId="158" priority="4">
      <formula>LEN(TRIM(Y10))&gt;0</formula>
    </cfRule>
  </conditionalFormatting>
  <conditionalFormatting sqref="Z53">
    <cfRule type="notContainsBlanks" dxfId="1" priority="2">
      <formula>LEN(TRIM(Z53))&gt;0</formula>
    </cfRule>
  </conditionalFormatting>
  <conditionalFormatting sqref="Z54:Z60">
    <cfRule type="notContainsBlanks" dxfId="0" priority="1">
      <formula>LEN(TRIM(Z54))&gt;0</formula>
    </cfRule>
  </conditionalFormatting>
  <dataValidations count="176">
    <dataValidation type="list" allowBlank="1" showInputMessage="1" showErrorMessage="1" sqref="Y177" xr:uid="{6C90EA6D-72B3-4947-91F2-216D12E7FDE9}">
      <formula1>$D$177:$X$177</formula1>
    </dataValidation>
    <dataValidation type="list" allowBlank="1" showInputMessage="1" showErrorMessage="1" sqref="Y176" xr:uid="{4E5B8573-F31A-4415-BBCC-AC7781E5D921}">
      <formula1>$D$176:$X$176</formula1>
    </dataValidation>
    <dataValidation type="list" allowBlank="1" showInputMessage="1" showErrorMessage="1" sqref="Y175" xr:uid="{F96A43E0-699D-413A-B60D-6B175135E50C}">
      <formula1>$D$175:$X$175</formula1>
    </dataValidation>
    <dataValidation type="list" allowBlank="1" showInputMessage="1" showErrorMessage="1" sqref="Y174" xr:uid="{2896570E-B773-49DC-BE97-159C602C4724}">
      <formula1>$D$174:$X$174</formula1>
    </dataValidation>
    <dataValidation type="list" allowBlank="1" showInputMessage="1" showErrorMessage="1" sqref="Y173" xr:uid="{15487B91-C089-49F3-B7C0-9CEE0CCA68B0}">
      <formula1>$D$173:$X$173</formula1>
    </dataValidation>
    <dataValidation type="list" allowBlank="1" showInputMessage="1" showErrorMessage="1" sqref="Y172" xr:uid="{18E74D24-7092-408B-B21F-A3EF6C814A95}">
      <formula1>$D$172:$X$172</formula1>
    </dataValidation>
    <dataValidation type="list" allowBlank="1" showInputMessage="1" showErrorMessage="1" sqref="Y171" xr:uid="{C6F5F3AD-79CE-4FAD-BE3B-E4E69643A395}">
      <formula1>$D$171:$X$171</formula1>
    </dataValidation>
    <dataValidation type="list" allowBlank="1" showInputMessage="1" showErrorMessage="1" sqref="Y170" xr:uid="{7DD02081-F953-4912-B02B-25CD9A0C5A50}">
      <formula1>$D$170:$X$170</formula1>
    </dataValidation>
    <dataValidation type="list" allowBlank="1" showInputMessage="1" showErrorMessage="1" sqref="Y169" xr:uid="{171545BA-B2BF-4CF3-A559-DAC840276560}">
      <formula1>$D$169:$X$169</formula1>
    </dataValidation>
    <dataValidation type="list" allowBlank="1" showInputMessage="1" showErrorMessage="1" sqref="Y168" xr:uid="{33344E50-54BC-4DC2-8CC8-83D927A09589}">
      <formula1>$D$168:$X$168</formula1>
    </dataValidation>
    <dataValidation type="list" allowBlank="1" showInputMessage="1" showErrorMessage="1" sqref="Y167" xr:uid="{A6F7F517-720B-4CA9-A2E5-A222A23A555E}">
      <formula1>$D$167:$X$167</formula1>
    </dataValidation>
    <dataValidation type="list" allowBlank="1" showInputMessage="1" showErrorMessage="1" sqref="Y166" xr:uid="{5537EF4B-8F1E-49B2-A323-6EFD2497F89B}">
      <formula1>$D$166:$X$166</formula1>
    </dataValidation>
    <dataValidation type="list" allowBlank="1" showInputMessage="1" showErrorMessage="1" sqref="Y165" xr:uid="{57E7C3EB-B7D5-4A28-BCE2-7421CCFFB624}">
      <formula1>$D$165:$X$165</formula1>
    </dataValidation>
    <dataValidation type="list" allowBlank="1" showInputMessage="1" showErrorMessage="1" sqref="Y164" xr:uid="{E250BD90-4294-4BD1-8D1C-7A99C038CE90}">
      <formula1>$D$164:$X$164</formula1>
    </dataValidation>
    <dataValidation type="list" allowBlank="1" showInputMessage="1" showErrorMessage="1" sqref="Y163" xr:uid="{30DD6580-234C-4296-AD26-FD2696ECF6C7}">
      <formula1>$D$163:$X$163</formula1>
    </dataValidation>
    <dataValidation type="list" allowBlank="1" showInputMessage="1" showErrorMessage="1" sqref="Y162" xr:uid="{F303EA20-94C6-4A98-8202-DC5BEEC8BDED}">
      <formula1>$D$162:$X$162</formula1>
    </dataValidation>
    <dataValidation type="list" allowBlank="1" showInputMessage="1" showErrorMessage="1" sqref="Y161" xr:uid="{F6AB3FB8-9FD1-4A3C-8C80-B39A3F0A1D35}">
      <formula1>$D$161:$X$161</formula1>
    </dataValidation>
    <dataValidation type="list" allowBlank="1" showInputMessage="1" showErrorMessage="1" sqref="Y160" xr:uid="{8E2FDF33-A0BE-4DA4-8316-26CF0DF52BC4}">
      <formula1>$D$160:$X$160</formula1>
    </dataValidation>
    <dataValidation type="list" allowBlank="1" showInputMessage="1" showErrorMessage="1" sqref="Y159" xr:uid="{F5CD91D3-9F89-4391-9198-F7D86D6BA1D9}">
      <formula1>$D$159:$X$159</formula1>
    </dataValidation>
    <dataValidation type="list" allowBlank="1" showInputMessage="1" showErrorMessage="1" sqref="Y158" xr:uid="{03ED893C-2C68-43D8-BFF6-9707EE96B5F5}">
      <formula1>$D$158:$X$158</formula1>
    </dataValidation>
    <dataValidation type="list" allowBlank="1" showInputMessage="1" showErrorMessage="1" sqref="Y157" xr:uid="{C39D1FD1-D68D-4A93-9891-4BDA634189DB}">
      <formula1>$D$157:$X$157</formula1>
    </dataValidation>
    <dataValidation type="list" allowBlank="1" showInputMessage="1" showErrorMessage="1" sqref="Y156" xr:uid="{F3806DED-135F-4969-AB82-B92AA085AF47}">
      <formula1>$D$156:$X$156</formula1>
    </dataValidation>
    <dataValidation type="list" allowBlank="1" showInputMessage="1" showErrorMessage="1" sqref="Y150" xr:uid="{5750B2FB-C246-45E6-A758-81889B41F498}">
      <formula1>$D$150:$X$150</formula1>
    </dataValidation>
    <dataValidation type="list" allowBlank="1" showInputMessage="1" showErrorMessage="1" sqref="Y149" xr:uid="{C20D387E-705E-4516-9C64-2D2FA1D54190}">
      <formula1>$D$149:$X$149</formula1>
    </dataValidation>
    <dataValidation type="list" allowBlank="1" showInputMessage="1" showErrorMessage="1" sqref="Y148" xr:uid="{2BD4C864-6A7A-4C7B-8E61-90648062374E}">
      <formula1>$D$148:$X$148</formula1>
    </dataValidation>
    <dataValidation type="list" allowBlank="1" showInputMessage="1" showErrorMessage="1" sqref="Y147" xr:uid="{3297BD42-64FB-4231-A62A-F68A30D254EB}">
      <formula1>$D$147:$X$147</formula1>
    </dataValidation>
    <dataValidation type="list" allowBlank="1" showInputMessage="1" showErrorMessage="1" sqref="Y146" xr:uid="{FA51C258-A57F-45B1-829F-CEB6DFC75D94}">
      <formula1>$D$146:$X$146</formula1>
    </dataValidation>
    <dataValidation type="list" allowBlank="1" showInputMessage="1" showErrorMessage="1" sqref="Y145" xr:uid="{22E4893A-82F5-467B-9CEA-A0C03C95E938}">
      <formula1>$D$145:$X$145</formula1>
    </dataValidation>
    <dataValidation type="list" allowBlank="1" showInputMessage="1" showErrorMessage="1" sqref="Y144" xr:uid="{BAC68648-B60A-4BE2-9FD9-6977D1D58C58}">
      <formula1>$D$144:$X$144</formula1>
    </dataValidation>
    <dataValidation type="list" allowBlank="1" showInputMessage="1" showErrorMessage="1" sqref="Y143" xr:uid="{BCD134CB-08E3-4C81-8A5C-A8B0AD8C5D28}">
      <formula1>$D$143:$X$143</formula1>
    </dataValidation>
    <dataValidation type="list" allowBlank="1" showInputMessage="1" showErrorMessage="1" sqref="Y142" xr:uid="{EA72A406-B293-4DD5-9A96-EF9C7D8DB639}">
      <formula1>$D$142:$X$142</formula1>
    </dataValidation>
    <dataValidation type="list" allowBlank="1" showInputMessage="1" showErrorMessage="1" sqref="Y141" xr:uid="{53E43752-D3BA-4DCA-870C-3BDBB5034C3B}">
      <formula1>$D$141:$X$141</formula1>
    </dataValidation>
    <dataValidation type="list" allowBlank="1" showInputMessage="1" showErrorMessage="1" sqref="Y140" xr:uid="{20AB368B-28D7-46C9-915E-55F32F97F4C6}">
      <formula1>$D$140:$X$140</formula1>
    </dataValidation>
    <dataValidation type="list" allowBlank="1" showInputMessage="1" showErrorMessage="1" sqref="Y139" xr:uid="{C53AB857-644C-44B8-8A6F-FC95D5B5040F}">
      <formula1>$D$139:$X$139</formula1>
    </dataValidation>
    <dataValidation type="list" allowBlank="1" showInputMessage="1" showErrorMessage="1" sqref="Y138" xr:uid="{72D6DAA5-0008-493A-A9AA-B81ADD2E8C56}">
      <formula1>$D$138:$X$138</formula1>
    </dataValidation>
    <dataValidation type="list" allowBlank="1" showInputMessage="1" showErrorMessage="1" sqref="Y137" xr:uid="{BFEF6731-C48E-40A8-8BF8-800593E6C31F}">
      <formula1>$D$137:$X$137</formula1>
    </dataValidation>
    <dataValidation type="list" allowBlank="1" showInputMessage="1" showErrorMessage="1" sqref="Y136" xr:uid="{04F6D8AC-C30A-40DF-AF40-692AED11A1CB}">
      <formula1>$D$136:$X$136</formula1>
    </dataValidation>
    <dataValidation type="list" allowBlank="1" showInputMessage="1" showErrorMessage="1" sqref="Y155" xr:uid="{7F1E5BC1-FD85-4E57-ADB4-6CC88C81A2CD}">
      <formula1>$D$155:$X$155</formula1>
    </dataValidation>
    <dataValidation type="list" allowBlank="1" showInputMessage="1" showErrorMessage="1" sqref="Y154" xr:uid="{0D58E54B-EC7F-4487-9BD6-0D8FB01B69C9}">
      <formula1>$D$154:$X$154</formula1>
    </dataValidation>
    <dataValidation type="list" allowBlank="1" showInputMessage="1" showErrorMessage="1" sqref="Y153" xr:uid="{98D7BA32-B280-4B50-B2B1-AC9B4F111D66}">
      <formula1>$D$153:$X$153</formula1>
    </dataValidation>
    <dataValidation type="list" allowBlank="1" showInputMessage="1" showErrorMessage="1" sqref="Y152" xr:uid="{135E5CD4-FE84-4009-B112-C965C2A3DABF}">
      <formula1>$D$152:$X$152</formula1>
    </dataValidation>
    <dataValidation type="list" allowBlank="1" showInputMessage="1" showErrorMessage="1" sqref="Y151" xr:uid="{9082C534-3B6A-4672-9C37-EC94FF4FEFCE}">
      <formula1>$D$151:$X$151</formula1>
    </dataValidation>
    <dataValidation type="list" allowBlank="1" showInputMessage="1" showErrorMessage="1" sqref="Y135" xr:uid="{193E8B8D-A20B-4876-8079-A925EAFD6CE4}">
      <formula1>$D$135:$X$135</formula1>
    </dataValidation>
    <dataValidation type="list" allowBlank="1" showInputMessage="1" showErrorMessage="1" sqref="Y134" xr:uid="{58C4B9FF-B56E-4158-B1AC-47A07DDCE44D}">
      <formula1>$D$134:$X$134</formula1>
    </dataValidation>
    <dataValidation type="list" allowBlank="1" showInputMessage="1" showErrorMessage="1" sqref="Y133" xr:uid="{91052D42-9EAC-47CC-AC28-F24EDDE609EC}">
      <formula1>$D$133:$X$133</formula1>
    </dataValidation>
    <dataValidation type="list" allowBlank="1" showInputMessage="1" showErrorMessage="1" sqref="Y132" xr:uid="{06955A4C-2CFB-4003-9B56-D418BE8B85EF}">
      <formula1>$D$132:$X$132</formula1>
    </dataValidation>
    <dataValidation type="list" allowBlank="1" showInputMessage="1" showErrorMessage="1" sqref="Y131" xr:uid="{D2DB988C-C876-4BE4-B0D4-C6ED8112B6B7}">
      <formula1>$D$131:$X$131</formula1>
    </dataValidation>
    <dataValidation type="list" allowBlank="1" showInputMessage="1" showErrorMessage="1" sqref="Y130" xr:uid="{2C7065BE-DEA6-435A-9923-07E9B198C931}">
      <formula1>$D$130:$X$130</formula1>
    </dataValidation>
    <dataValidation type="list" allowBlank="1" showInputMessage="1" showErrorMessage="1" sqref="Y129" xr:uid="{664A6C33-09A3-4B3F-942D-86A13B79E891}">
      <formula1>$D$129:$X$129</formula1>
    </dataValidation>
    <dataValidation type="list" allowBlank="1" showInputMessage="1" showErrorMessage="1" sqref="Y128" xr:uid="{34944E94-6410-4423-A278-F211C0B5ED85}">
      <formula1>$D$128:$X$128</formula1>
    </dataValidation>
    <dataValidation type="list" allowBlank="1" showInputMessage="1" showErrorMessage="1" sqref="Y127" xr:uid="{D2EA5615-6962-468E-B079-0595A03B147D}">
      <formula1>$D$127:$X$127</formula1>
    </dataValidation>
    <dataValidation type="list" allowBlank="1" showInputMessage="1" showErrorMessage="1" sqref="Y126" xr:uid="{FD731CCC-8076-4B3A-82C7-8183B9332773}">
      <formula1>$D$126:$X$126</formula1>
    </dataValidation>
    <dataValidation type="list" allowBlank="1" showInputMessage="1" showErrorMessage="1" sqref="Y125" xr:uid="{A30F8AD5-B5E5-47E9-8FEE-BAE469D56D5F}">
      <formula1>$D$125:$X$125</formula1>
    </dataValidation>
    <dataValidation type="list" allowBlank="1" showInputMessage="1" showErrorMessage="1" sqref="Y124" xr:uid="{03DC4D1B-2413-4A1D-8203-8A5E0133CEC0}">
      <formula1>$D$124:$X$124</formula1>
    </dataValidation>
    <dataValidation type="list" allowBlank="1" showInputMessage="1" showErrorMessage="1" sqref="Y123" xr:uid="{B7CA5612-054F-48E2-84CE-1A87BF84ADBB}">
      <formula1>$D$123:$X$123</formula1>
    </dataValidation>
    <dataValidation type="list" allowBlank="1" showInputMessage="1" showErrorMessage="1" sqref="Y122" xr:uid="{13AD972F-1B35-41CF-AA25-1ADE0D859807}">
      <formula1>$D$122:$X$122</formula1>
    </dataValidation>
    <dataValidation type="list" allowBlank="1" showInputMessage="1" showErrorMessage="1" sqref="Y121" xr:uid="{0642AB40-BB74-436C-B514-2EC4B6270D41}">
      <formula1>$D$121:$X$121</formula1>
    </dataValidation>
    <dataValidation type="list" allowBlank="1" showInputMessage="1" showErrorMessage="1" sqref="Y120" xr:uid="{EFD24EA6-83FF-44FB-89EB-F83587E4B568}">
      <formula1>$D$120:$X$120</formula1>
    </dataValidation>
    <dataValidation type="list" allowBlank="1" showInputMessage="1" showErrorMessage="1" sqref="Y119" xr:uid="{5239088F-FD0D-4E91-A1DF-ADAE394183DD}">
      <formula1>$D$119:$X$119</formula1>
    </dataValidation>
    <dataValidation type="list" allowBlank="1" showInputMessage="1" showErrorMessage="1" sqref="Y118" xr:uid="{E36CD127-3C8F-44A2-99B8-4C5030118C32}">
      <formula1>$D$118:$X$118</formula1>
    </dataValidation>
    <dataValidation type="list" allowBlank="1" showInputMessage="1" showErrorMessage="1" sqref="Y117" xr:uid="{8D853677-D8E7-4CD4-A7CE-2E0BAC263D7C}">
      <formula1>$D$117:$X$117</formula1>
    </dataValidation>
    <dataValidation type="list" allowBlank="1" showInputMessage="1" showErrorMessage="1" sqref="Y116" xr:uid="{25A0F7CB-1ED6-4B35-8203-67AF4ED81E8B}">
      <formula1>$D$116:$X$116</formula1>
    </dataValidation>
    <dataValidation type="list" allowBlank="1" showInputMessage="1" showErrorMessage="1" sqref="Y115" xr:uid="{B9DB85F9-23CC-42E4-B14C-2856E4B55406}">
      <formula1>$D$115:$X$115</formula1>
    </dataValidation>
    <dataValidation type="list" allowBlank="1" showInputMessage="1" showErrorMessage="1" sqref="Y114" xr:uid="{5A68F6CD-942F-4484-B2D1-8A2CD1A6498C}">
      <formula1>$D$114:$X$114</formula1>
    </dataValidation>
    <dataValidation type="list" allowBlank="1" showInputMessage="1" showErrorMessage="1" sqref="Y113" xr:uid="{4A726D2F-7FFD-4D28-9090-491F0E14F631}">
      <formula1>$D$113:$X$113</formula1>
    </dataValidation>
    <dataValidation type="list" allowBlank="1" showInputMessage="1" showErrorMessage="1" sqref="Y112" xr:uid="{5D84D058-74FC-47BF-9DE5-56DA64FFA41E}">
      <formula1>$D$112:$X$112</formula1>
    </dataValidation>
    <dataValidation type="list" allowBlank="1" showInputMessage="1" showErrorMessage="1" sqref="Y111" xr:uid="{700163BD-64CC-4292-842F-9BA23692D7FE}">
      <formula1>$D$111:$X$111</formula1>
    </dataValidation>
    <dataValidation type="list" allowBlank="1" showInputMessage="1" showErrorMessage="1" sqref="Y110" xr:uid="{DE7AC903-80B7-4347-8B86-3389EADE1304}">
      <formula1>$D$110:$X$110</formula1>
    </dataValidation>
    <dataValidation type="list" allowBlank="1" showInputMessage="1" showErrorMessage="1" sqref="Y109" xr:uid="{C8A766B9-B4B6-43AF-A39B-ED5ABA15026A}">
      <formula1>$D$109:$X$109</formula1>
    </dataValidation>
    <dataValidation type="list" allowBlank="1" showInputMessage="1" showErrorMessage="1" sqref="Y108" xr:uid="{97F8C13E-4C47-4C7F-BF82-0658AA8C89EC}">
      <formula1>$D$108:$X$108</formula1>
    </dataValidation>
    <dataValidation type="list" allowBlank="1" showInputMessage="1" showErrorMessage="1" sqref="Y107" xr:uid="{71A490BE-BC31-4A3D-A9A7-CF345E7B6D17}">
      <formula1>$D$107:$X$107</formula1>
    </dataValidation>
    <dataValidation type="list" allowBlank="1" showInputMessage="1" showErrorMessage="1" sqref="Y106" xr:uid="{38E6DD8D-F998-430F-8F0C-DB172DCF312A}">
      <formula1>$D$106:$X$106</formula1>
    </dataValidation>
    <dataValidation type="list" allowBlank="1" showInputMessage="1" showErrorMessage="1" sqref="Y105" xr:uid="{5D4C2DBD-0223-4535-B9A9-030966201494}">
      <formula1>$D$105:$X$105</formula1>
    </dataValidation>
    <dataValidation type="list" allowBlank="1" showInputMessage="1" showErrorMessage="1" sqref="Y104" xr:uid="{52BEB0C7-8898-41F9-9A91-20F1846321AA}">
      <formula1>$D$104:$X$104</formula1>
    </dataValidation>
    <dataValidation type="list" allowBlank="1" showInputMessage="1" showErrorMessage="1" sqref="Y103" xr:uid="{37485076-EB31-421B-B26E-9271005055A2}">
      <formula1>$D$103:$X$103</formula1>
    </dataValidation>
    <dataValidation type="list" allowBlank="1" showInputMessage="1" showErrorMessage="1" sqref="Y102" xr:uid="{F104A8C5-31E6-41DE-982A-A1E7871468EE}">
      <formula1>$D$102:$X$102</formula1>
    </dataValidation>
    <dataValidation type="list" allowBlank="1" showInputMessage="1" showErrorMessage="1" sqref="Y101" xr:uid="{4ACB5319-3F1C-4FF0-9E65-62BD34A10F90}">
      <formula1>$D$101:$X$101</formula1>
    </dataValidation>
    <dataValidation type="list" allowBlank="1" showInputMessage="1" showErrorMessage="1" sqref="Y100" xr:uid="{C7AD92A2-4DF8-432D-A0CA-EBF2D718F760}">
      <formula1>$D$100:$X$100</formula1>
    </dataValidation>
    <dataValidation type="list" allowBlank="1" showInputMessage="1" showErrorMessage="1" sqref="Y99" xr:uid="{DD829970-AE81-45F0-89B2-3638B090D4A1}">
      <formula1>$D$99:$X$99</formula1>
    </dataValidation>
    <dataValidation type="list" allowBlank="1" showInputMessage="1" showErrorMessage="1" sqref="Y98" xr:uid="{02175B48-3669-4B4F-A544-175A620B75BD}">
      <formula1>$D$98:$X$98</formula1>
    </dataValidation>
    <dataValidation type="list" allowBlank="1" showInputMessage="1" showErrorMessage="1" sqref="Y97" xr:uid="{838C0681-1722-40F1-93FF-3D6ED6FCA6C0}">
      <formula1>$D$97:$X$97</formula1>
    </dataValidation>
    <dataValidation type="list" allowBlank="1" showInputMessage="1" showErrorMessage="1" sqref="Y96" xr:uid="{98D02FD3-B8CE-4EEF-8393-C88328A890BC}">
      <formula1>$D$96:$X$96</formula1>
    </dataValidation>
    <dataValidation type="list" allowBlank="1" showInputMessage="1" showErrorMessage="1" sqref="Y95" xr:uid="{85502709-6229-4993-9EAB-D0D02C89C9E3}">
      <formula1>$D$95:$X$95</formula1>
    </dataValidation>
    <dataValidation type="list" allowBlank="1" showInputMessage="1" showErrorMessage="1" sqref="Y94" xr:uid="{9F646170-79FA-43D8-A028-5E1830983D83}">
      <formula1>$D$94:$X$94</formula1>
    </dataValidation>
    <dataValidation type="list" allowBlank="1" showInputMessage="1" showErrorMessage="1" sqref="Y93" xr:uid="{F47DD65D-AE08-4BB1-BFA2-AD2C52CD90B0}">
      <formula1>$D$93:$X$93</formula1>
    </dataValidation>
    <dataValidation type="list" allowBlank="1" showInputMessage="1" showErrorMessage="1" sqref="Y92" xr:uid="{B3F4D3A8-D2BC-4E52-A3EA-FE648AAB9055}">
      <formula1>$D$92:$X$92</formula1>
    </dataValidation>
    <dataValidation type="list" allowBlank="1" showInputMessage="1" showErrorMessage="1" sqref="Y91" xr:uid="{05CBC054-FBF9-4704-8625-99307312D79E}">
      <formula1>$D$91:$X$91</formula1>
    </dataValidation>
    <dataValidation type="list" allowBlank="1" showInputMessage="1" showErrorMessage="1" sqref="Y90" xr:uid="{67ECE1C9-B330-4ABE-A3BE-DD7DFBD863FC}">
      <formula1>$D$90:$X$90</formula1>
    </dataValidation>
    <dataValidation type="list" allowBlank="1" showInputMessage="1" showErrorMessage="1" sqref="Y89" xr:uid="{94C9D8A6-F761-493E-B68F-4BD26440BA74}">
      <formula1>$D$89:$X$89</formula1>
    </dataValidation>
    <dataValidation type="list" allowBlank="1" showInputMessage="1" showErrorMessage="1" sqref="Y88" xr:uid="{75FDD84B-CD24-4536-B128-197B9E66EFBB}">
      <formula1>$D$88:$X$88</formula1>
    </dataValidation>
    <dataValidation type="list" allowBlank="1" showInputMessage="1" showErrorMessage="1" sqref="Y87" xr:uid="{B07CFFBB-B2D9-44DC-8DDE-C7A865D2381F}">
      <formula1>$D$87:$X$87</formula1>
    </dataValidation>
    <dataValidation type="list" allowBlank="1" showInputMessage="1" showErrorMessage="1" sqref="Y86" xr:uid="{AE996B8D-4480-44B6-B4E5-368BA3486F7A}">
      <formula1>$D$86:$X$86</formula1>
    </dataValidation>
    <dataValidation type="list" allowBlank="1" showInputMessage="1" showErrorMessage="1" sqref="Y85" xr:uid="{D748B244-57D0-48FC-B53E-3C779CD266CE}">
      <formula1>$D$85:$X$85</formula1>
    </dataValidation>
    <dataValidation type="list" allowBlank="1" showInputMessage="1" showErrorMessage="1" sqref="Y84" xr:uid="{91827C7A-63E9-44BA-95AD-2C7834062A3A}">
      <formula1>$D$84:$X$84</formula1>
    </dataValidation>
    <dataValidation type="list" allowBlank="1" showInputMessage="1" showErrorMessage="1" sqref="Y83" xr:uid="{1AFD09E8-BB54-4E42-B1AF-79691936C6EC}">
      <formula1>$D$83:$X$83</formula1>
    </dataValidation>
    <dataValidation type="list" allowBlank="1" showInputMessage="1" showErrorMessage="1" sqref="Y82" xr:uid="{1FE01C4D-4BDF-4D1F-83F4-7B3892035D68}">
      <formula1>$D$82:$X$82</formula1>
    </dataValidation>
    <dataValidation type="list" allowBlank="1" showInputMessage="1" showErrorMessage="1" sqref="Y81" xr:uid="{088D12D9-EDC4-4DA5-8ED9-8CED46213CD3}">
      <formula1>$D$81:$X$81</formula1>
    </dataValidation>
    <dataValidation type="list" allowBlank="1" showInputMessage="1" showErrorMessage="1" sqref="Y80" xr:uid="{AAD930E4-B35B-4A29-B72F-CB1938863D6C}">
      <formula1>$D$80:$X$80</formula1>
    </dataValidation>
    <dataValidation type="list" allowBlank="1" showInputMessage="1" showErrorMessage="1" sqref="Y79" xr:uid="{91194D55-EC00-4A42-B72A-C5226725EC1C}">
      <formula1>$D$79:$X$79</formula1>
    </dataValidation>
    <dataValidation type="list" allowBlank="1" showInputMessage="1" showErrorMessage="1" sqref="Y78" xr:uid="{06D8D60F-9DAB-4A84-8DFC-6A5FE77821BD}">
      <formula1>$D$78:$X$78</formula1>
    </dataValidation>
    <dataValidation type="list" allowBlank="1" showInputMessage="1" showErrorMessage="1" sqref="Y77" xr:uid="{E6424BF0-AA01-4044-A0AA-6CF70CDC8F95}">
      <formula1>$D$77:$X$77</formula1>
    </dataValidation>
    <dataValidation type="list" allowBlank="1" showInputMessage="1" showErrorMessage="1" sqref="Y76" xr:uid="{92EF6FDA-2AC2-4B58-837E-582E783919C4}">
      <formula1>$D$76:$X$76</formula1>
    </dataValidation>
    <dataValidation type="list" allowBlank="1" showInputMessage="1" showErrorMessage="1" sqref="Y75" xr:uid="{4ABD38C9-ED29-40D0-B8FE-141E5E46E9BA}">
      <formula1>$D$75:$X$75</formula1>
    </dataValidation>
    <dataValidation type="list" allowBlank="1" showInputMessage="1" showErrorMessage="1" sqref="Y74" xr:uid="{2237C770-6B2C-4DE1-8103-0F8BA8BDF544}">
      <formula1>$D$74:$X$74</formula1>
    </dataValidation>
    <dataValidation type="list" allowBlank="1" showInputMessage="1" showErrorMessage="1" sqref="Y73" xr:uid="{706A6778-311B-46FC-B664-80E12A6DAD8E}">
      <formula1>$D$73:$X$73</formula1>
    </dataValidation>
    <dataValidation type="list" allowBlank="1" showInputMessage="1" showErrorMessage="1" sqref="Y72" xr:uid="{EA58E527-71C6-426A-8EFA-E9F4AA818B2F}">
      <formula1>$D$72:$X$72</formula1>
    </dataValidation>
    <dataValidation type="list" allowBlank="1" showInputMessage="1" showErrorMessage="1" sqref="Y71" xr:uid="{299A58BB-8DF0-40A2-8325-08AD2063F256}">
      <formula1>$D$71:$X$71</formula1>
    </dataValidation>
    <dataValidation type="list" allowBlank="1" showInputMessage="1" showErrorMessage="1" sqref="Y70" xr:uid="{F7D35768-8F8D-4C5F-8A1F-690D84352441}">
      <formula1>$D$70:$X$70</formula1>
    </dataValidation>
    <dataValidation type="list" allowBlank="1" showInputMessage="1" showErrorMessage="1" sqref="Y69" xr:uid="{0BA739B0-66CE-4D45-92EC-23460A1AD5E2}">
      <formula1>$D$69:$X$69</formula1>
    </dataValidation>
    <dataValidation type="list" allowBlank="1" showInputMessage="1" showErrorMessage="1" sqref="Y68" xr:uid="{3AEF71D2-978C-46D2-B16A-3CB74FC7C162}">
      <formula1>$D$68:$X$68</formula1>
    </dataValidation>
    <dataValidation type="list" allowBlank="1" showInputMessage="1" showErrorMessage="1" sqref="Y67" xr:uid="{2A1AAA9B-5B5B-45DC-8F86-3F3ACF6AF456}">
      <formula1>$D$67:$X$67</formula1>
    </dataValidation>
    <dataValidation type="list" allowBlank="1" showInputMessage="1" showErrorMessage="1" sqref="Y66" xr:uid="{99FE6A88-0CA9-40E4-9B9C-65DF1ABB6ACE}">
      <formula1>$D$66:$X$66</formula1>
    </dataValidation>
    <dataValidation type="list" allowBlank="1" showInputMessage="1" showErrorMessage="1" sqref="Y65" xr:uid="{F34C0DB9-4E58-4C7B-95D3-71064318B5A3}">
      <formula1>$D$65:$X$65</formula1>
    </dataValidation>
    <dataValidation type="list" allowBlank="1" showInputMessage="1" showErrorMessage="1" sqref="Y64" xr:uid="{7095D844-E454-4096-BE7E-409CE4E1F93E}">
      <formula1>$D$64:$X$64</formula1>
    </dataValidation>
    <dataValidation type="list" allowBlank="1" showInputMessage="1" showErrorMessage="1" sqref="Y63" xr:uid="{E6F2A758-A3CD-4F58-81A9-ABD52B915843}">
      <formula1>$D$63:$X$63</formula1>
    </dataValidation>
    <dataValidation type="list" allowBlank="1" showInputMessage="1" showErrorMessage="1" sqref="Y62" xr:uid="{03B6E35D-E7A6-45D8-A31B-9B928149D5FF}">
      <formula1>$D$62:$X$62</formula1>
    </dataValidation>
    <dataValidation type="list" allowBlank="1" showInputMessage="1" showErrorMessage="1" sqref="Y61" xr:uid="{BF4A2332-7F6B-4BB8-9FDF-1809F22C263C}">
      <formula1>$D$61:$X$61</formula1>
    </dataValidation>
    <dataValidation type="list" allowBlank="1" showInputMessage="1" showErrorMessage="1" sqref="Y60" xr:uid="{FDBACE80-9E13-4327-ADEB-A871887BDF52}">
      <formula1>$D$60:$X$60</formula1>
    </dataValidation>
    <dataValidation type="list" allowBlank="1" showInputMessage="1" showErrorMessage="1" sqref="Y59" xr:uid="{A0CE3E06-EAEB-4CB3-AD23-82C30BFF622F}">
      <formula1>$D$59:$X$59</formula1>
    </dataValidation>
    <dataValidation type="list" allowBlank="1" showInputMessage="1" showErrorMessage="1" sqref="Y58" xr:uid="{3D455A98-8259-4B3E-B376-49D6E1B22E5D}">
      <formula1>$D$58:$X$58</formula1>
    </dataValidation>
    <dataValidation type="list" allowBlank="1" showInputMessage="1" showErrorMessage="1" sqref="Y57" xr:uid="{CCFF0391-F85D-4656-98C9-63BCCB0F6EEA}">
      <formula1>$D$57:$X$57</formula1>
    </dataValidation>
    <dataValidation type="list" allowBlank="1" showInputMessage="1" showErrorMessage="1" sqref="Y56" xr:uid="{38BDEB4A-00E2-4720-B1B2-049A812B857B}">
      <formula1>$D$56:$X$56</formula1>
    </dataValidation>
    <dataValidation type="list" allowBlank="1" showInputMessage="1" showErrorMessage="1" sqref="Y55" xr:uid="{28DF0AD5-A13F-4312-9965-976B6FBEEE22}">
      <formula1>$D$55:$X$55</formula1>
    </dataValidation>
    <dataValidation type="list" allowBlank="1" showInputMessage="1" showErrorMessage="1" sqref="Y54" xr:uid="{3708E22D-79B5-4177-8E40-C84F1FABB099}">
      <formula1>$D$54:$X$54</formula1>
    </dataValidation>
    <dataValidation type="list" allowBlank="1" showInputMessage="1" showErrorMessage="1" sqref="Y53" xr:uid="{5935DED0-B328-4E4C-8CF1-8A1BD836E1EF}">
      <formula1>$D$53:$X$53</formula1>
    </dataValidation>
    <dataValidation type="list" allowBlank="1" showInputMessage="1" showErrorMessage="1" sqref="Y52" xr:uid="{79F86DB7-8027-4D60-B3C8-5423D4F25915}">
      <formula1>$D$52:$X$52</formula1>
    </dataValidation>
    <dataValidation type="list" allowBlank="1" showInputMessage="1" showErrorMessage="1" sqref="Y51" xr:uid="{B9BA6219-589E-4422-87E6-4EB5438EB880}">
      <formula1>$D$51:$X$51</formula1>
    </dataValidation>
    <dataValidation type="list" allowBlank="1" showInputMessage="1" showErrorMessage="1" sqref="Y50" xr:uid="{3D7047B2-6612-48E7-9351-E1F877759F3C}">
      <formula1>$D$50:$X$50</formula1>
    </dataValidation>
    <dataValidation type="list" allowBlank="1" showInputMessage="1" showErrorMessage="1" sqref="Y49" xr:uid="{E5DF54C1-5A66-44FC-A534-F46D7E99C6BA}">
      <formula1>$D$49:$X$49</formula1>
    </dataValidation>
    <dataValidation type="list" allowBlank="1" showInputMessage="1" showErrorMessage="1" sqref="Y48" xr:uid="{D0481B1C-3E4E-45F0-B374-239730EA6EE8}">
      <formula1>$D$48:$X$48</formula1>
    </dataValidation>
    <dataValidation type="list" allowBlank="1" showInputMessage="1" showErrorMessage="1" sqref="Y47" xr:uid="{5B504C16-CCC7-4D70-A596-557FCB976987}">
      <formula1>$D$47:$X$47</formula1>
    </dataValidation>
    <dataValidation type="list" allowBlank="1" showInputMessage="1" showErrorMessage="1" sqref="Y46" xr:uid="{8A2EB69A-3A52-467B-B164-CBBA25600A51}">
      <formula1>$D$46:$X$46</formula1>
    </dataValidation>
    <dataValidation type="list" allowBlank="1" showInputMessage="1" showErrorMessage="1" sqref="Y45" xr:uid="{4A726AC0-E970-4050-9FCD-971C90DCBC88}">
      <formula1>$D$45:$X$45</formula1>
    </dataValidation>
    <dataValidation type="list" allowBlank="1" showInputMessage="1" showErrorMessage="1" sqref="Y44" xr:uid="{A29E8527-C611-4B5D-89EA-7178ADF8EDB8}">
      <formula1>$D$44:$X$44</formula1>
    </dataValidation>
    <dataValidation type="list" allowBlank="1" showInputMessage="1" showErrorMessage="1" sqref="Y43" xr:uid="{140430E7-64F4-46E0-88E4-21B92543462D}">
      <formula1>$D$43:$X$43</formula1>
    </dataValidation>
    <dataValidation type="list" allowBlank="1" showInputMessage="1" showErrorMessage="1" sqref="Y42" xr:uid="{CD5C4C69-09A3-4DF7-92F8-1B50DBBE475E}">
      <formula1>$D$42:$X$42</formula1>
    </dataValidation>
    <dataValidation type="list" allowBlank="1" showInputMessage="1" showErrorMessage="1" sqref="Y41" xr:uid="{1E3E0E2F-79A2-43EE-B1BB-38B69FF40504}">
      <formula1>$D$41:$X$41</formula1>
    </dataValidation>
    <dataValidation type="list" allowBlank="1" showInputMessage="1" showErrorMessage="1" sqref="Y40" xr:uid="{55D3F4EB-A598-4420-A719-CD7EA6EABBD1}">
      <formula1>$D$40:$X$40</formula1>
    </dataValidation>
    <dataValidation type="list" allowBlank="1" showInputMessage="1" showErrorMessage="1" sqref="Y39" xr:uid="{7CD2CC7B-08E1-49C2-9A26-5FC8BE4AFF95}">
      <formula1>$D$39:$X$39</formula1>
    </dataValidation>
    <dataValidation type="list" allowBlank="1" showInputMessage="1" showErrorMessage="1" sqref="Y38" xr:uid="{C41437E5-EFD2-4ADD-BF59-5DCFC523C1E7}">
      <formula1>$D$38:$X$38</formula1>
    </dataValidation>
    <dataValidation type="list" allowBlank="1" showInputMessage="1" showErrorMessage="1" sqref="Y37" xr:uid="{D33FE125-79CE-4907-895B-A7FCA7D49299}">
      <formula1>$D$37:$X$37</formula1>
    </dataValidation>
    <dataValidation type="list" allowBlank="1" showInputMessage="1" showErrorMessage="1" sqref="Y36" xr:uid="{8A8CFF4C-533E-4C5B-870C-9AF76AAC2ACB}">
      <formula1>$D$36:$X$36</formula1>
    </dataValidation>
    <dataValidation type="list" allowBlank="1" showInputMessage="1" showErrorMessage="1" sqref="Y35" xr:uid="{B6B17967-3231-423D-B6B6-0A392114B0EE}">
      <formula1>$D$35:$X$35</formula1>
    </dataValidation>
    <dataValidation type="list" allowBlank="1" showInputMessage="1" showErrorMessage="1" sqref="Y34" xr:uid="{29FFFF82-ACA6-40E8-9B09-FFCAE97BFA6B}">
      <formula1>$D$34:$X$34</formula1>
    </dataValidation>
    <dataValidation type="list" allowBlank="1" showInputMessage="1" showErrorMessage="1" sqref="Y33" xr:uid="{8102ABB8-36DA-466B-BC3E-B7F670D140AD}">
      <formula1>$D$33:$X$33</formula1>
    </dataValidation>
    <dataValidation type="list" allowBlank="1" showInputMessage="1" showErrorMessage="1" sqref="Y32" xr:uid="{C3A3F0BE-AD70-4461-ABC6-05E5439DE109}">
      <formula1>$D$32:$X$32</formula1>
    </dataValidation>
    <dataValidation type="list" allowBlank="1" showInputMessage="1" showErrorMessage="1" sqref="Y31" xr:uid="{791CAC70-1DDC-4991-97B6-1C68D191B3A2}">
      <formula1>$D$31:$X$31</formula1>
    </dataValidation>
    <dataValidation type="list" allowBlank="1" showInputMessage="1" showErrorMessage="1" sqref="Y30" xr:uid="{F6BA5E22-56DD-4A82-96EC-CBF4F5E066F1}">
      <formula1>$D$30:$X$30</formula1>
    </dataValidation>
    <dataValidation type="list" allowBlank="1" showInputMessage="1" showErrorMessage="1" sqref="Y29" xr:uid="{B68A37DE-20D7-48CF-B41B-D234BF620AC8}">
      <formula1>$D$29:$X$29</formula1>
    </dataValidation>
    <dataValidation type="list" allowBlank="1" showInputMessage="1" showErrorMessage="1" sqref="Y28" xr:uid="{31CC59B7-F8B5-4363-8A43-889BAAB325E5}">
      <formula1>$D$28:$X$28</formula1>
    </dataValidation>
    <dataValidation type="list" allowBlank="1" showInputMessage="1" showErrorMessage="1" sqref="Y27" xr:uid="{C031DD1C-215C-423A-BFB6-6EC4D3F39CE7}">
      <formula1>$D$27:$X$27</formula1>
    </dataValidation>
    <dataValidation type="list" allowBlank="1" showInputMessage="1" showErrorMessage="1" sqref="Y26" xr:uid="{FE1537B2-4E9A-4DDB-B41E-B5779A0C6293}">
      <formula1>$D$26:$X$26</formula1>
    </dataValidation>
    <dataValidation type="list" allowBlank="1" showInputMessage="1" showErrorMessage="1" sqref="Y25" xr:uid="{5C82439E-4685-44BA-82D8-5594C08DF607}">
      <formula1>$D$25:$X$25</formula1>
    </dataValidation>
    <dataValidation type="list" allowBlank="1" showInputMessage="1" showErrorMessage="1" sqref="Y24" xr:uid="{9A1DE2DC-6920-4C2C-868F-EECC6F494D5B}">
      <formula1>$D$24:$X$24</formula1>
    </dataValidation>
    <dataValidation type="list" allowBlank="1" showInputMessage="1" showErrorMessage="1" sqref="Y23" xr:uid="{13B520B2-F5ED-4986-A05D-8518093A9E5C}">
      <formula1>$D$23:$X$23</formula1>
    </dataValidation>
    <dataValidation type="list" allowBlank="1" showInputMessage="1" showErrorMessage="1" sqref="Y22" xr:uid="{9672F2C8-B6AF-4CCE-BEC3-F620846CDF61}">
      <formula1>$D$22:$X$22</formula1>
    </dataValidation>
    <dataValidation type="list" allowBlank="1" showInputMessage="1" showErrorMessage="1" sqref="Y21" xr:uid="{68841B24-5A02-492A-BC76-5960ECAD994A}">
      <formula1>$D$21:$X$21</formula1>
    </dataValidation>
    <dataValidation type="list" allowBlank="1" showInputMessage="1" showErrorMessage="1" sqref="Y20" xr:uid="{88E33087-DF85-4846-91BA-0F0EA79184BF}">
      <formula1>$D$20:$X$20</formula1>
    </dataValidation>
    <dataValidation type="list" allowBlank="1" showInputMessage="1" showErrorMessage="1" sqref="Y19" xr:uid="{B57617B2-FE70-41FA-AE5A-D825AE5C8FCD}">
      <formula1>$D$19:$X$19</formula1>
    </dataValidation>
    <dataValidation type="list" allowBlank="1" showInputMessage="1" showErrorMessage="1" sqref="Y18" xr:uid="{B26ABA16-1E0F-41F7-AE99-66FC9F10D7A7}">
      <formula1>$D$18:$X$18</formula1>
    </dataValidation>
    <dataValidation type="list" allowBlank="1" showInputMessage="1" showErrorMessage="1" sqref="Y17" xr:uid="{2229A488-6718-4B2A-B043-BAD5813EB823}">
      <formula1>$D$17:$X$17</formula1>
    </dataValidation>
    <dataValidation type="list" allowBlank="1" showInputMessage="1" showErrorMessage="1" sqref="Y16" xr:uid="{3AE067D2-4F5C-4EB3-9B4F-1FCBEB87EF0D}">
      <formula1>$D$16:$X$16</formula1>
    </dataValidation>
    <dataValidation type="list" allowBlank="1" showInputMessage="1" showErrorMessage="1" sqref="Y15" xr:uid="{3E791538-669C-4551-AF3B-1605F6472181}">
      <formula1>$D$15:$X$15</formula1>
    </dataValidation>
    <dataValidation type="list" allowBlank="1" showInputMessage="1" showErrorMessage="1" sqref="Y14" xr:uid="{82881808-F89B-48FF-AB8D-0452670EB5BB}">
      <formula1>$D$14:$X$14</formula1>
    </dataValidation>
    <dataValidation type="list" allowBlank="1" showInputMessage="1" showErrorMessage="1" sqref="Y13" xr:uid="{7D0558B2-8C8C-4152-AFE3-0B592745269B}">
      <formula1>$D$13:$X$13</formula1>
    </dataValidation>
    <dataValidation type="list" allowBlank="1" showInputMessage="1" showErrorMessage="1" sqref="Y12" xr:uid="{0FB6808F-1D36-462C-93EF-CC9C7CC21CD8}">
      <formula1>$D$12:$X$12</formula1>
    </dataValidation>
    <dataValidation type="list" allowBlank="1" showInputMessage="1" showErrorMessage="1" sqref="Y11" xr:uid="{EDCB3B3B-D97B-4B12-BA08-8F1ABC15F72F}">
      <formula1>$D$11:$X$11</formula1>
    </dataValidation>
    <dataValidation type="list" allowBlank="1" showInputMessage="1" showErrorMessage="1" sqref="Y10" xr:uid="{28C39C82-31D9-4C92-9A0C-D2F5911EC5D1}">
      <formula1>$D$10:$X$10</formula1>
    </dataValidation>
    <dataValidation type="list" allowBlank="1" showInputMessage="1" showErrorMessage="1" sqref="Z53" xr:uid="{97BE7405-66A9-4E07-8A39-C21D465DB5A6}">
      <formula1>"NA, SMARTIO7_0"</formula1>
    </dataValidation>
    <dataValidation type="list" allowBlank="1" showInputMessage="1" showErrorMessage="1" sqref="Z60" xr:uid="{2B81EE69-4066-42E5-9AB3-C62C910A4058}">
      <formula1>"NA, SMARTIO7_7"</formula1>
    </dataValidation>
    <dataValidation type="list" allowBlank="1" showInputMessage="1" showErrorMessage="1" sqref="Z54" xr:uid="{0B590C90-0726-4635-B875-0EFC8CBC9CE7}">
      <formula1>"NA, SMARTIO7_1"</formula1>
    </dataValidation>
    <dataValidation type="list" allowBlank="1" showInputMessage="1" showErrorMessage="1" sqref="Z55" xr:uid="{06FC2081-8ED1-4D81-ABEC-75E21B07BA11}">
      <formula1>"NA, SMARTIO7_2"</formula1>
    </dataValidation>
    <dataValidation type="list" allowBlank="1" showInputMessage="1" showErrorMessage="1" sqref="Z56" xr:uid="{42CD69A3-17FD-4379-BD2F-7F7B251D299E}">
      <formula1>"NA, SMARTIO7_3"</formula1>
    </dataValidation>
    <dataValidation type="list" allowBlank="1" showInputMessage="1" showErrorMessage="1" sqref="Z57" xr:uid="{88184592-A174-4A97-AC4C-601DD2991D5B}">
      <formula1>"NA, SMARTIO7_4"</formula1>
    </dataValidation>
    <dataValidation type="list" allowBlank="1" showInputMessage="1" showErrorMessage="1" sqref="Z58" xr:uid="{0E23FD27-7599-492D-9FEA-AD557A6474DB}">
      <formula1>"NA, SMARTIO7_5"</formula1>
    </dataValidation>
    <dataValidation type="list" allowBlank="1" showInputMessage="1" showErrorMessage="1" sqref="Z59" xr:uid="{E27CCCB0-1511-4023-ADDF-2DAC4A406ADD}">
      <formula1>"NA, SMARTIO7_6"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30D1-A4DB-4B36-AD1D-06A3208617B7}">
  <dimension ref="A1:CL298"/>
  <sheetViews>
    <sheetView zoomScale="83" zoomScaleNormal="83" workbookViewId="0">
      <selection activeCell="S60" sqref="S60"/>
    </sheetView>
  </sheetViews>
  <sheetFormatPr defaultRowHeight="10" x14ac:dyDescent="0.55000000000000004"/>
  <cols>
    <col min="1" max="1" width="8.6640625" style="35"/>
    <col min="2" max="2" width="14.1640625" style="35" bestFit="1" customWidth="1"/>
    <col min="3" max="3" width="21.58203125" style="35" bestFit="1" customWidth="1"/>
    <col min="4" max="87" width="6.25" style="35" customWidth="1"/>
    <col min="88" max="90" width="8.58203125" style="35" customWidth="1"/>
    <col min="91" max="291" width="8.6640625" style="35"/>
    <col min="292" max="292" width="14.33203125" style="35" customWidth="1"/>
    <col min="293" max="294" width="3.33203125" style="35" customWidth="1"/>
    <col min="295" max="319" width="2.4140625" style="35" customWidth="1"/>
    <col min="320" max="321" width="3.33203125" style="35" customWidth="1"/>
    <col min="322" max="322" width="14.33203125" style="35" customWidth="1"/>
    <col min="323" max="547" width="8.6640625" style="35"/>
    <col min="548" max="548" width="14.33203125" style="35" customWidth="1"/>
    <col min="549" max="550" width="3.33203125" style="35" customWidth="1"/>
    <col min="551" max="575" width="2.4140625" style="35" customWidth="1"/>
    <col min="576" max="577" width="3.33203125" style="35" customWidth="1"/>
    <col min="578" max="578" width="14.33203125" style="35" customWidth="1"/>
    <col min="579" max="803" width="8.6640625" style="35"/>
    <col min="804" max="804" width="14.33203125" style="35" customWidth="1"/>
    <col min="805" max="806" width="3.33203125" style="35" customWidth="1"/>
    <col min="807" max="831" width="2.4140625" style="35" customWidth="1"/>
    <col min="832" max="833" width="3.33203125" style="35" customWidth="1"/>
    <col min="834" max="834" width="14.33203125" style="35" customWidth="1"/>
    <col min="835" max="1059" width="8.6640625" style="35"/>
    <col min="1060" max="1060" width="14.33203125" style="35" customWidth="1"/>
    <col min="1061" max="1062" width="3.33203125" style="35" customWidth="1"/>
    <col min="1063" max="1087" width="2.4140625" style="35" customWidth="1"/>
    <col min="1088" max="1089" width="3.33203125" style="35" customWidth="1"/>
    <col min="1090" max="1090" width="14.33203125" style="35" customWidth="1"/>
    <col min="1091" max="1315" width="8.6640625" style="35"/>
    <col min="1316" max="1316" width="14.33203125" style="35" customWidth="1"/>
    <col min="1317" max="1318" width="3.33203125" style="35" customWidth="1"/>
    <col min="1319" max="1343" width="2.4140625" style="35" customWidth="1"/>
    <col min="1344" max="1345" width="3.33203125" style="35" customWidth="1"/>
    <col min="1346" max="1346" width="14.33203125" style="35" customWidth="1"/>
    <col min="1347" max="1571" width="8.6640625" style="35"/>
    <col min="1572" max="1572" width="14.33203125" style="35" customWidth="1"/>
    <col min="1573" max="1574" width="3.33203125" style="35" customWidth="1"/>
    <col min="1575" max="1599" width="2.4140625" style="35" customWidth="1"/>
    <col min="1600" max="1601" width="3.33203125" style="35" customWidth="1"/>
    <col min="1602" max="1602" width="14.33203125" style="35" customWidth="1"/>
    <col min="1603" max="1827" width="8.6640625" style="35"/>
    <col min="1828" max="1828" width="14.33203125" style="35" customWidth="1"/>
    <col min="1829" max="1830" width="3.33203125" style="35" customWidth="1"/>
    <col min="1831" max="1855" width="2.4140625" style="35" customWidth="1"/>
    <col min="1856" max="1857" width="3.33203125" style="35" customWidth="1"/>
    <col min="1858" max="1858" width="14.33203125" style="35" customWidth="1"/>
    <col min="1859" max="2083" width="8.6640625" style="35"/>
    <col min="2084" max="2084" width="14.33203125" style="35" customWidth="1"/>
    <col min="2085" max="2086" width="3.33203125" style="35" customWidth="1"/>
    <col min="2087" max="2111" width="2.4140625" style="35" customWidth="1"/>
    <col min="2112" max="2113" width="3.33203125" style="35" customWidth="1"/>
    <col min="2114" max="2114" width="14.33203125" style="35" customWidth="1"/>
    <col min="2115" max="2339" width="8.6640625" style="35"/>
    <col min="2340" max="2340" width="14.33203125" style="35" customWidth="1"/>
    <col min="2341" max="2342" width="3.33203125" style="35" customWidth="1"/>
    <col min="2343" max="2367" width="2.4140625" style="35" customWidth="1"/>
    <col min="2368" max="2369" width="3.33203125" style="35" customWidth="1"/>
    <col min="2370" max="2370" width="14.33203125" style="35" customWidth="1"/>
    <col min="2371" max="2595" width="8.6640625" style="35"/>
    <col min="2596" max="2596" width="14.33203125" style="35" customWidth="1"/>
    <col min="2597" max="2598" width="3.33203125" style="35" customWidth="1"/>
    <col min="2599" max="2623" width="2.4140625" style="35" customWidth="1"/>
    <col min="2624" max="2625" width="3.33203125" style="35" customWidth="1"/>
    <col min="2626" max="2626" width="14.33203125" style="35" customWidth="1"/>
    <col min="2627" max="2851" width="8.6640625" style="35"/>
    <col min="2852" max="2852" width="14.33203125" style="35" customWidth="1"/>
    <col min="2853" max="2854" width="3.33203125" style="35" customWidth="1"/>
    <col min="2855" max="2879" width="2.4140625" style="35" customWidth="1"/>
    <col min="2880" max="2881" width="3.33203125" style="35" customWidth="1"/>
    <col min="2882" max="2882" width="14.33203125" style="35" customWidth="1"/>
    <col min="2883" max="3107" width="8.6640625" style="35"/>
    <col min="3108" max="3108" width="14.33203125" style="35" customWidth="1"/>
    <col min="3109" max="3110" width="3.33203125" style="35" customWidth="1"/>
    <col min="3111" max="3135" width="2.4140625" style="35" customWidth="1"/>
    <col min="3136" max="3137" width="3.33203125" style="35" customWidth="1"/>
    <col min="3138" max="3138" width="14.33203125" style="35" customWidth="1"/>
    <col min="3139" max="3363" width="8.6640625" style="35"/>
    <col min="3364" max="3364" width="14.33203125" style="35" customWidth="1"/>
    <col min="3365" max="3366" width="3.33203125" style="35" customWidth="1"/>
    <col min="3367" max="3391" width="2.4140625" style="35" customWidth="1"/>
    <col min="3392" max="3393" width="3.33203125" style="35" customWidth="1"/>
    <col min="3394" max="3394" width="14.33203125" style="35" customWidth="1"/>
    <col min="3395" max="3619" width="8.6640625" style="35"/>
    <col min="3620" max="3620" width="14.33203125" style="35" customWidth="1"/>
    <col min="3621" max="3622" width="3.33203125" style="35" customWidth="1"/>
    <col min="3623" max="3647" width="2.4140625" style="35" customWidth="1"/>
    <col min="3648" max="3649" width="3.33203125" style="35" customWidth="1"/>
    <col min="3650" max="3650" width="14.33203125" style="35" customWidth="1"/>
    <col min="3651" max="3875" width="8.6640625" style="35"/>
    <col min="3876" max="3876" width="14.33203125" style="35" customWidth="1"/>
    <col min="3877" max="3878" width="3.33203125" style="35" customWidth="1"/>
    <col min="3879" max="3903" width="2.4140625" style="35" customWidth="1"/>
    <col min="3904" max="3905" width="3.33203125" style="35" customWidth="1"/>
    <col min="3906" max="3906" width="14.33203125" style="35" customWidth="1"/>
    <col min="3907" max="4131" width="8.6640625" style="35"/>
    <col min="4132" max="4132" width="14.33203125" style="35" customWidth="1"/>
    <col min="4133" max="4134" width="3.33203125" style="35" customWidth="1"/>
    <col min="4135" max="4159" width="2.4140625" style="35" customWidth="1"/>
    <col min="4160" max="4161" width="3.33203125" style="35" customWidth="1"/>
    <col min="4162" max="4162" width="14.33203125" style="35" customWidth="1"/>
    <col min="4163" max="4387" width="8.6640625" style="35"/>
    <col min="4388" max="4388" width="14.33203125" style="35" customWidth="1"/>
    <col min="4389" max="4390" width="3.33203125" style="35" customWidth="1"/>
    <col min="4391" max="4415" width="2.4140625" style="35" customWidth="1"/>
    <col min="4416" max="4417" width="3.33203125" style="35" customWidth="1"/>
    <col min="4418" max="4418" width="14.33203125" style="35" customWidth="1"/>
    <col min="4419" max="4643" width="8.6640625" style="35"/>
    <col min="4644" max="4644" width="14.33203125" style="35" customWidth="1"/>
    <col min="4645" max="4646" width="3.33203125" style="35" customWidth="1"/>
    <col min="4647" max="4671" width="2.4140625" style="35" customWidth="1"/>
    <col min="4672" max="4673" width="3.33203125" style="35" customWidth="1"/>
    <col min="4674" max="4674" width="14.33203125" style="35" customWidth="1"/>
    <col min="4675" max="4899" width="8.6640625" style="35"/>
    <col min="4900" max="4900" width="14.33203125" style="35" customWidth="1"/>
    <col min="4901" max="4902" width="3.33203125" style="35" customWidth="1"/>
    <col min="4903" max="4927" width="2.4140625" style="35" customWidth="1"/>
    <col min="4928" max="4929" width="3.33203125" style="35" customWidth="1"/>
    <col min="4930" max="4930" width="14.33203125" style="35" customWidth="1"/>
    <col min="4931" max="5155" width="8.6640625" style="35"/>
    <col min="5156" max="5156" width="14.33203125" style="35" customWidth="1"/>
    <col min="5157" max="5158" width="3.33203125" style="35" customWidth="1"/>
    <col min="5159" max="5183" width="2.4140625" style="35" customWidth="1"/>
    <col min="5184" max="5185" width="3.33203125" style="35" customWidth="1"/>
    <col min="5186" max="5186" width="14.33203125" style="35" customWidth="1"/>
    <col min="5187" max="5411" width="8.6640625" style="35"/>
    <col min="5412" max="5412" width="14.33203125" style="35" customWidth="1"/>
    <col min="5413" max="5414" width="3.33203125" style="35" customWidth="1"/>
    <col min="5415" max="5439" width="2.4140625" style="35" customWidth="1"/>
    <col min="5440" max="5441" width="3.33203125" style="35" customWidth="1"/>
    <col min="5442" max="5442" width="14.33203125" style="35" customWidth="1"/>
    <col min="5443" max="5667" width="8.6640625" style="35"/>
    <col min="5668" max="5668" width="14.33203125" style="35" customWidth="1"/>
    <col min="5669" max="5670" width="3.33203125" style="35" customWidth="1"/>
    <col min="5671" max="5695" width="2.4140625" style="35" customWidth="1"/>
    <col min="5696" max="5697" width="3.33203125" style="35" customWidth="1"/>
    <col min="5698" max="5698" width="14.33203125" style="35" customWidth="1"/>
    <col min="5699" max="5923" width="8.6640625" style="35"/>
    <col min="5924" max="5924" width="14.33203125" style="35" customWidth="1"/>
    <col min="5925" max="5926" width="3.33203125" style="35" customWidth="1"/>
    <col min="5927" max="5951" width="2.4140625" style="35" customWidth="1"/>
    <col min="5952" max="5953" width="3.33203125" style="35" customWidth="1"/>
    <col min="5954" max="5954" width="14.33203125" style="35" customWidth="1"/>
    <col min="5955" max="6179" width="8.6640625" style="35"/>
    <col min="6180" max="6180" width="14.33203125" style="35" customWidth="1"/>
    <col min="6181" max="6182" width="3.33203125" style="35" customWidth="1"/>
    <col min="6183" max="6207" width="2.4140625" style="35" customWidth="1"/>
    <col min="6208" max="6209" width="3.33203125" style="35" customWidth="1"/>
    <col min="6210" max="6210" width="14.33203125" style="35" customWidth="1"/>
    <col min="6211" max="6435" width="8.6640625" style="35"/>
    <col min="6436" max="6436" width="14.33203125" style="35" customWidth="1"/>
    <col min="6437" max="6438" width="3.33203125" style="35" customWidth="1"/>
    <col min="6439" max="6463" width="2.4140625" style="35" customWidth="1"/>
    <col min="6464" max="6465" width="3.33203125" style="35" customWidth="1"/>
    <col min="6466" max="6466" width="14.33203125" style="35" customWidth="1"/>
    <col min="6467" max="6691" width="8.6640625" style="35"/>
    <col min="6692" max="6692" width="14.33203125" style="35" customWidth="1"/>
    <col min="6693" max="6694" width="3.33203125" style="35" customWidth="1"/>
    <col min="6695" max="6719" width="2.4140625" style="35" customWidth="1"/>
    <col min="6720" max="6721" width="3.33203125" style="35" customWidth="1"/>
    <col min="6722" max="6722" width="14.33203125" style="35" customWidth="1"/>
    <col min="6723" max="6947" width="8.6640625" style="35"/>
    <col min="6948" max="6948" width="14.33203125" style="35" customWidth="1"/>
    <col min="6949" max="6950" width="3.33203125" style="35" customWidth="1"/>
    <col min="6951" max="6975" width="2.4140625" style="35" customWidth="1"/>
    <col min="6976" max="6977" width="3.33203125" style="35" customWidth="1"/>
    <col min="6978" max="6978" width="14.33203125" style="35" customWidth="1"/>
    <col min="6979" max="7203" width="8.6640625" style="35"/>
    <col min="7204" max="7204" width="14.33203125" style="35" customWidth="1"/>
    <col min="7205" max="7206" width="3.33203125" style="35" customWidth="1"/>
    <col min="7207" max="7231" width="2.4140625" style="35" customWidth="1"/>
    <col min="7232" max="7233" width="3.33203125" style="35" customWidth="1"/>
    <col min="7234" max="7234" width="14.33203125" style="35" customWidth="1"/>
    <col min="7235" max="7459" width="8.6640625" style="35"/>
    <col min="7460" max="7460" width="14.33203125" style="35" customWidth="1"/>
    <col min="7461" max="7462" width="3.33203125" style="35" customWidth="1"/>
    <col min="7463" max="7487" width="2.4140625" style="35" customWidth="1"/>
    <col min="7488" max="7489" width="3.33203125" style="35" customWidth="1"/>
    <col min="7490" max="7490" width="14.33203125" style="35" customWidth="1"/>
    <col min="7491" max="7715" width="8.6640625" style="35"/>
    <col min="7716" max="7716" width="14.33203125" style="35" customWidth="1"/>
    <col min="7717" max="7718" width="3.33203125" style="35" customWidth="1"/>
    <col min="7719" max="7743" width="2.4140625" style="35" customWidth="1"/>
    <col min="7744" max="7745" width="3.33203125" style="35" customWidth="1"/>
    <col min="7746" max="7746" width="14.33203125" style="35" customWidth="1"/>
    <col min="7747" max="7971" width="8.6640625" style="35"/>
    <col min="7972" max="7972" width="14.33203125" style="35" customWidth="1"/>
    <col min="7973" max="7974" width="3.33203125" style="35" customWidth="1"/>
    <col min="7975" max="7999" width="2.4140625" style="35" customWidth="1"/>
    <col min="8000" max="8001" width="3.33203125" style="35" customWidth="1"/>
    <col min="8002" max="8002" width="14.33203125" style="35" customWidth="1"/>
    <col min="8003" max="8227" width="8.6640625" style="35"/>
    <col min="8228" max="8228" width="14.33203125" style="35" customWidth="1"/>
    <col min="8229" max="8230" width="3.33203125" style="35" customWidth="1"/>
    <col min="8231" max="8255" width="2.4140625" style="35" customWidth="1"/>
    <col min="8256" max="8257" width="3.33203125" style="35" customWidth="1"/>
    <col min="8258" max="8258" width="14.33203125" style="35" customWidth="1"/>
    <col min="8259" max="8483" width="8.6640625" style="35"/>
    <col min="8484" max="8484" width="14.33203125" style="35" customWidth="1"/>
    <col min="8485" max="8486" width="3.33203125" style="35" customWidth="1"/>
    <col min="8487" max="8511" width="2.4140625" style="35" customWidth="1"/>
    <col min="8512" max="8513" width="3.33203125" style="35" customWidth="1"/>
    <col min="8514" max="8514" width="14.33203125" style="35" customWidth="1"/>
    <col min="8515" max="8739" width="8.6640625" style="35"/>
    <col min="8740" max="8740" width="14.33203125" style="35" customWidth="1"/>
    <col min="8741" max="8742" width="3.33203125" style="35" customWidth="1"/>
    <col min="8743" max="8767" width="2.4140625" style="35" customWidth="1"/>
    <col min="8768" max="8769" width="3.33203125" style="35" customWidth="1"/>
    <col min="8770" max="8770" width="14.33203125" style="35" customWidth="1"/>
    <col min="8771" max="8995" width="8.6640625" style="35"/>
    <col min="8996" max="8996" width="14.33203125" style="35" customWidth="1"/>
    <col min="8997" max="8998" width="3.33203125" style="35" customWidth="1"/>
    <col min="8999" max="9023" width="2.4140625" style="35" customWidth="1"/>
    <col min="9024" max="9025" width="3.33203125" style="35" customWidth="1"/>
    <col min="9026" max="9026" width="14.33203125" style="35" customWidth="1"/>
    <col min="9027" max="9251" width="8.6640625" style="35"/>
    <col min="9252" max="9252" width="14.33203125" style="35" customWidth="1"/>
    <col min="9253" max="9254" width="3.33203125" style="35" customWidth="1"/>
    <col min="9255" max="9279" width="2.4140625" style="35" customWidth="1"/>
    <col min="9280" max="9281" width="3.33203125" style="35" customWidth="1"/>
    <col min="9282" max="9282" width="14.33203125" style="35" customWidth="1"/>
    <col min="9283" max="9507" width="8.6640625" style="35"/>
    <col min="9508" max="9508" width="14.33203125" style="35" customWidth="1"/>
    <col min="9509" max="9510" width="3.33203125" style="35" customWidth="1"/>
    <col min="9511" max="9535" width="2.4140625" style="35" customWidth="1"/>
    <col min="9536" max="9537" width="3.33203125" style="35" customWidth="1"/>
    <col min="9538" max="9538" width="14.33203125" style="35" customWidth="1"/>
    <col min="9539" max="9763" width="8.6640625" style="35"/>
    <col min="9764" max="9764" width="14.33203125" style="35" customWidth="1"/>
    <col min="9765" max="9766" width="3.33203125" style="35" customWidth="1"/>
    <col min="9767" max="9791" width="2.4140625" style="35" customWidth="1"/>
    <col min="9792" max="9793" width="3.33203125" style="35" customWidth="1"/>
    <col min="9794" max="9794" width="14.33203125" style="35" customWidth="1"/>
    <col min="9795" max="10019" width="8.6640625" style="35"/>
    <col min="10020" max="10020" width="14.33203125" style="35" customWidth="1"/>
    <col min="10021" max="10022" width="3.33203125" style="35" customWidth="1"/>
    <col min="10023" max="10047" width="2.4140625" style="35" customWidth="1"/>
    <col min="10048" max="10049" width="3.33203125" style="35" customWidth="1"/>
    <col min="10050" max="10050" width="14.33203125" style="35" customWidth="1"/>
    <col min="10051" max="10275" width="8.6640625" style="35"/>
    <col min="10276" max="10276" width="14.33203125" style="35" customWidth="1"/>
    <col min="10277" max="10278" width="3.33203125" style="35" customWidth="1"/>
    <col min="10279" max="10303" width="2.4140625" style="35" customWidth="1"/>
    <col min="10304" max="10305" width="3.33203125" style="35" customWidth="1"/>
    <col min="10306" max="10306" width="14.33203125" style="35" customWidth="1"/>
    <col min="10307" max="10531" width="8.6640625" style="35"/>
    <col min="10532" max="10532" width="14.33203125" style="35" customWidth="1"/>
    <col min="10533" max="10534" width="3.33203125" style="35" customWidth="1"/>
    <col min="10535" max="10559" width="2.4140625" style="35" customWidth="1"/>
    <col min="10560" max="10561" width="3.33203125" style="35" customWidth="1"/>
    <col min="10562" max="10562" width="14.33203125" style="35" customWidth="1"/>
    <col min="10563" max="10787" width="8.6640625" style="35"/>
    <col min="10788" max="10788" width="14.33203125" style="35" customWidth="1"/>
    <col min="10789" max="10790" width="3.33203125" style="35" customWidth="1"/>
    <col min="10791" max="10815" width="2.4140625" style="35" customWidth="1"/>
    <col min="10816" max="10817" width="3.33203125" style="35" customWidth="1"/>
    <col min="10818" max="10818" width="14.33203125" style="35" customWidth="1"/>
    <col min="10819" max="11043" width="8.6640625" style="35"/>
    <col min="11044" max="11044" width="14.33203125" style="35" customWidth="1"/>
    <col min="11045" max="11046" width="3.33203125" style="35" customWidth="1"/>
    <col min="11047" max="11071" width="2.4140625" style="35" customWidth="1"/>
    <col min="11072" max="11073" width="3.33203125" style="35" customWidth="1"/>
    <col min="11074" max="11074" width="14.33203125" style="35" customWidth="1"/>
    <col min="11075" max="11299" width="8.6640625" style="35"/>
    <col min="11300" max="11300" width="14.33203125" style="35" customWidth="1"/>
    <col min="11301" max="11302" width="3.33203125" style="35" customWidth="1"/>
    <col min="11303" max="11327" width="2.4140625" style="35" customWidth="1"/>
    <col min="11328" max="11329" width="3.33203125" style="35" customWidth="1"/>
    <col min="11330" max="11330" width="14.33203125" style="35" customWidth="1"/>
    <col min="11331" max="11555" width="8.6640625" style="35"/>
    <col min="11556" max="11556" width="14.33203125" style="35" customWidth="1"/>
    <col min="11557" max="11558" width="3.33203125" style="35" customWidth="1"/>
    <col min="11559" max="11583" width="2.4140625" style="35" customWidth="1"/>
    <col min="11584" max="11585" width="3.33203125" style="35" customWidth="1"/>
    <col min="11586" max="11586" width="14.33203125" style="35" customWidth="1"/>
    <col min="11587" max="11811" width="8.6640625" style="35"/>
    <col min="11812" max="11812" width="14.33203125" style="35" customWidth="1"/>
    <col min="11813" max="11814" width="3.33203125" style="35" customWidth="1"/>
    <col min="11815" max="11839" width="2.4140625" style="35" customWidth="1"/>
    <col min="11840" max="11841" width="3.33203125" style="35" customWidth="1"/>
    <col min="11842" max="11842" width="14.33203125" style="35" customWidth="1"/>
    <col min="11843" max="12067" width="8.6640625" style="35"/>
    <col min="12068" max="12068" width="14.33203125" style="35" customWidth="1"/>
    <col min="12069" max="12070" width="3.33203125" style="35" customWidth="1"/>
    <col min="12071" max="12095" width="2.4140625" style="35" customWidth="1"/>
    <col min="12096" max="12097" width="3.33203125" style="35" customWidth="1"/>
    <col min="12098" max="12098" width="14.33203125" style="35" customWidth="1"/>
    <col min="12099" max="12323" width="8.6640625" style="35"/>
    <col min="12324" max="12324" width="14.33203125" style="35" customWidth="1"/>
    <col min="12325" max="12326" width="3.33203125" style="35" customWidth="1"/>
    <col min="12327" max="12351" width="2.4140625" style="35" customWidth="1"/>
    <col min="12352" max="12353" width="3.33203125" style="35" customWidth="1"/>
    <col min="12354" max="12354" width="14.33203125" style="35" customWidth="1"/>
    <col min="12355" max="12579" width="8.6640625" style="35"/>
    <col min="12580" max="12580" width="14.33203125" style="35" customWidth="1"/>
    <col min="12581" max="12582" width="3.33203125" style="35" customWidth="1"/>
    <col min="12583" max="12607" width="2.4140625" style="35" customWidth="1"/>
    <col min="12608" max="12609" width="3.33203125" style="35" customWidth="1"/>
    <col min="12610" max="12610" width="14.33203125" style="35" customWidth="1"/>
    <col min="12611" max="12835" width="8.6640625" style="35"/>
    <col min="12836" max="12836" width="14.33203125" style="35" customWidth="1"/>
    <col min="12837" max="12838" width="3.33203125" style="35" customWidth="1"/>
    <col min="12839" max="12863" width="2.4140625" style="35" customWidth="1"/>
    <col min="12864" max="12865" width="3.33203125" style="35" customWidth="1"/>
    <col min="12866" max="12866" width="14.33203125" style="35" customWidth="1"/>
    <col min="12867" max="13091" width="8.6640625" style="35"/>
    <col min="13092" max="13092" width="14.33203125" style="35" customWidth="1"/>
    <col min="13093" max="13094" width="3.33203125" style="35" customWidth="1"/>
    <col min="13095" max="13119" width="2.4140625" style="35" customWidth="1"/>
    <col min="13120" max="13121" width="3.33203125" style="35" customWidth="1"/>
    <col min="13122" max="13122" width="14.33203125" style="35" customWidth="1"/>
    <col min="13123" max="13347" width="8.6640625" style="35"/>
    <col min="13348" max="13348" width="14.33203125" style="35" customWidth="1"/>
    <col min="13349" max="13350" width="3.33203125" style="35" customWidth="1"/>
    <col min="13351" max="13375" width="2.4140625" style="35" customWidth="1"/>
    <col min="13376" max="13377" width="3.33203125" style="35" customWidth="1"/>
    <col min="13378" max="13378" width="14.33203125" style="35" customWidth="1"/>
    <col min="13379" max="13603" width="8.6640625" style="35"/>
    <col min="13604" max="13604" width="14.33203125" style="35" customWidth="1"/>
    <col min="13605" max="13606" width="3.33203125" style="35" customWidth="1"/>
    <col min="13607" max="13631" width="2.4140625" style="35" customWidth="1"/>
    <col min="13632" max="13633" width="3.33203125" style="35" customWidth="1"/>
    <col min="13634" max="13634" width="14.33203125" style="35" customWidth="1"/>
    <col min="13635" max="13859" width="8.6640625" style="35"/>
    <col min="13860" max="13860" width="14.33203125" style="35" customWidth="1"/>
    <col min="13861" max="13862" width="3.33203125" style="35" customWidth="1"/>
    <col min="13863" max="13887" width="2.4140625" style="35" customWidth="1"/>
    <col min="13888" max="13889" width="3.33203125" style="35" customWidth="1"/>
    <col min="13890" max="13890" width="14.33203125" style="35" customWidth="1"/>
    <col min="13891" max="14115" width="8.6640625" style="35"/>
    <col min="14116" max="14116" width="14.33203125" style="35" customWidth="1"/>
    <col min="14117" max="14118" width="3.33203125" style="35" customWidth="1"/>
    <col min="14119" max="14143" width="2.4140625" style="35" customWidth="1"/>
    <col min="14144" max="14145" width="3.33203125" style="35" customWidth="1"/>
    <col min="14146" max="14146" width="14.33203125" style="35" customWidth="1"/>
    <col min="14147" max="14371" width="8.6640625" style="35"/>
    <col min="14372" max="14372" width="14.33203125" style="35" customWidth="1"/>
    <col min="14373" max="14374" width="3.33203125" style="35" customWidth="1"/>
    <col min="14375" max="14399" width="2.4140625" style="35" customWidth="1"/>
    <col min="14400" max="14401" width="3.33203125" style="35" customWidth="1"/>
    <col min="14402" max="14402" width="14.33203125" style="35" customWidth="1"/>
    <col min="14403" max="14627" width="8.6640625" style="35"/>
    <col min="14628" max="14628" width="14.33203125" style="35" customWidth="1"/>
    <col min="14629" max="14630" width="3.33203125" style="35" customWidth="1"/>
    <col min="14631" max="14655" width="2.4140625" style="35" customWidth="1"/>
    <col min="14656" max="14657" width="3.33203125" style="35" customWidth="1"/>
    <col min="14658" max="14658" width="14.33203125" style="35" customWidth="1"/>
    <col min="14659" max="14883" width="8.6640625" style="35"/>
    <col min="14884" max="14884" width="14.33203125" style="35" customWidth="1"/>
    <col min="14885" max="14886" width="3.33203125" style="35" customWidth="1"/>
    <col min="14887" max="14911" width="2.4140625" style="35" customWidth="1"/>
    <col min="14912" max="14913" width="3.33203125" style="35" customWidth="1"/>
    <col min="14914" max="14914" width="14.33203125" style="35" customWidth="1"/>
    <col min="14915" max="15139" width="8.6640625" style="35"/>
    <col min="15140" max="15140" width="14.33203125" style="35" customWidth="1"/>
    <col min="15141" max="15142" width="3.33203125" style="35" customWidth="1"/>
    <col min="15143" max="15167" width="2.4140625" style="35" customWidth="1"/>
    <col min="15168" max="15169" width="3.33203125" style="35" customWidth="1"/>
    <col min="15170" max="15170" width="14.33203125" style="35" customWidth="1"/>
    <col min="15171" max="15395" width="8.6640625" style="35"/>
    <col min="15396" max="15396" width="14.33203125" style="35" customWidth="1"/>
    <col min="15397" max="15398" width="3.33203125" style="35" customWidth="1"/>
    <col min="15399" max="15423" width="2.4140625" style="35" customWidth="1"/>
    <col min="15424" max="15425" width="3.33203125" style="35" customWidth="1"/>
    <col min="15426" max="15426" width="14.33203125" style="35" customWidth="1"/>
    <col min="15427" max="15651" width="8.6640625" style="35"/>
    <col min="15652" max="15652" width="14.33203125" style="35" customWidth="1"/>
    <col min="15653" max="15654" width="3.33203125" style="35" customWidth="1"/>
    <col min="15655" max="15679" width="2.4140625" style="35" customWidth="1"/>
    <col min="15680" max="15681" width="3.33203125" style="35" customWidth="1"/>
    <col min="15682" max="15682" width="14.33203125" style="35" customWidth="1"/>
    <col min="15683" max="15907" width="8.6640625" style="35"/>
    <col min="15908" max="15908" width="14.33203125" style="35" customWidth="1"/>
    <col min="15909" max="15910" width="3.33203125" style="35" customWidth="1"/>
    <col min="15911" max="15935" width="2.4140625" style="35" customWidth="1"/>
    <col min="15936" max="15937" width="3.33203125" style="35" customWidth="1"/>
    <col min="15938" max="15938" width="14.33203125" style="35" customWidth="1"/>
    <col min="15939" max="16163" width="8.6640625" style="35"/>
    <col min="16164" max="16164" width="14.33203125" style="35" customWidth="1"/>
    <col min="16165" max="16166" width="3.33203125" style="35" customWidth="1"/>
    <col min="16167" max="16191" width="2.4140625" style="35" customWidth="1"/>
    <col min="16192" max="16193" width="3.33203125" style="35" customWidth="1"/>
    <col min="16194" max="16194" width="14.33203125" style="35" customWidth="1"/>
    <col min="16195" max="16384" width="8.6640625" style="35"/>
  </cols>
  <sheetData>
    <row r="1" spans="1:90" ht="25" customHeight="1" x14ac:dyDescent="0.55000000000000004">
      <c r="A1" s="34" t="s">
        <v>1553</v>
      </c>
      <c r="CJ1" s="3"/>
      <c r="CK1" s="3"/>
      <c r="CL1" s="3"/>
    </row>
    <row r="2" spans="1:90" ht="25" customHeight="1" x14ac:dyDescent="0.55000000000000004">
      <c r="A2" s="34"/>
      <c r="CJ2" s="3"/>
      <c r="CK2" s="3"/>
      <c r="CL2" s="3"/>
    </row>
    <row r="3" spans="1:90" ht="25" customHeight="1" x14ac:dyDescent="0.55000000000000004">
      <c r="A3" s="34"/>
      <c r="CJ3" s="3"/>
      <c r="CK3" s="3"/>
      <c r="CL3" s="3"/>
    </row>
    <row r="4" spans="1:90" ht="25" customHeight="1" x14ac:dyDescent="0.55000000000000004">
      <c r="A4" s="34"/>
      <c r="CJ4" s="3"/>
      <c r="CK4" s="3"/>
      <c r="CL4" s="3"/>
    </row>
    <row r="5" spans="1:90" ht="25" customHeight="1" x14ac:dyDescent="0.55000000000000004">
      <c r="A5" s="34"/>
      <c r="BN5" s="36"/>
      <c r="CJ5" s="3"/>
      <c r="CK5" s="3"/>
      <c r="CL5" s="4" t="s">
        <v>1783</v>
      </c>
    </row>
    <row r="7" spans="1:90" x14ac:dyDescent="0.55000000000000004">
      <c r="B7" s="169" t="s">
        <v>260</v>
      </c>
      <c r="C7" s="170"/>
      <c r="D7" s="94" t="s">
        <v>277</v>
      </c>
      <c r="E7" s="94" t="s">
        <v>276</v>
      </c>
    </row>
    <row r="8" spans="1:90" x14ac:dyDescent="0.55000000000000004">
      <c r="B8" s="171" t="s">
        <v>275</v>
      </c>
      <c r="C8" s="37" t="s">
        <v>271</v>
      </c>
      <c r="D8" s="38">
        <f>COUNTIF('PF327'!Y10:Y335,"CAN0_0_RX")</f>
        <v>0</v>
      </c>
      <c r="E8" s="38">
        <f>COUNTIF('PF327'!Y10:Y335,"CAN0_1_RX")</f>
        <v>0</v>
      </c>
    </row>
    <row r="9" spans="1:90" x14ac:dyDescent="0.55000000000000004">
      <c r="B9" s="180"/>
      <c r="C9" s="37" t="s">
        <v>270</v>
      </c>
      <c r="D9" s="38">
        <f>COUNTIF('PF327'!Y10:Y335,"CAN0_0_TX")</f>
        <v>0</v>
      </c>
      <c r="E9" s="38">
        <f>COUNTIF('PF327'!Y10:Y335,"CAN0_1_TX")</f>
        <v>0</v>
      </c>
    </row>
    <row r="11" spans="1:90" x14ac:dyDescent="0.55000000000000004">
      <c r="B11" s="169" t="s">
        <v>256</v>
      </c>
      <c r="C11" s="170"/>
      <c r="D11" s="94" t="s">
        <v>278</v>
      </c>
      <c r="E11" s="94" t="s">
        <v>279</v>
      </c>
    </row>
    <row r="12" spans="1:90" x14ac:dyDescent="0.55000000000000004">
      <c r="B12" s="181" t="s">
        <v>275</v>
      </c>
      <c r="C12" s="37" t="s">
        <v>271</v>
      </c>
      <c r="D12" s="38">
        <f>COUNTIF('PF327'!Y10:Y335,"CAN1_0_RX")</f>
        <v>0</v>
      </c>
      <c r="E12" s="38">
        <f>COUNTIF('PF327'!Y10:Y335,"CAN1_1_RX")</f>
        <v>0</v>
      </c>
    </row>
    <row r="13" spans="1:90" x14ac:dyDescent="0.55000000000000004">
      <c r="B13" s="181"/>
      <c r="C13" s="37" t="s">
        <v>270</v>
      </c>
      <c r="D13" s="38">
        <f>COUNTIF('PF327'!Y10:Y335,"CAN1_0_TX")</f>
        <v>0</v>
      </c>
      <c r="E13" s="38">
        <f>COUNTIF('PF327'!Y10:Y335,"CAN1_1_TX")</f>
        <v>0</v>
      </c>
    </row>
    <row r="14" spans="1:90" x14ac:dyDescent="0.55000000000000004">
      <c r="B14" s="39"/>
      <c r="C14" s="40"/>
      <c r="D14" s="41"/>
      <c r="E14" s="41"/>
      <c r="F14" s="41"/>
      <c r="G14" s="41"/>
      <c r="H14" s="41"/>
    </row>
    <row r="15" spans="1:90" x14ac:dyDescent="0.55000000000000004">
      <c r="B15" s="39"/>
      <c r="C15" s="41"/>
      <c r="D15" s="41"/>
      <c r="E15" s="41"/>
      <c r="F15" s="41"/>
    </row>
    <row r="16" spans="1:90" x14ac:dyDescent="0.55000000000000004">
      <c r="B16" s="169" t="s">
        <v>259</v>
      </c>
      <c r="C16" s="170"/>
      <c r="D16" s="94" t="s">
        <v>272</v>
      </c>
      <c r="E16" s="94" t="s">
        <v>273</v>
      </c>
      <c r="F16" s="41"/>
    </row>
    <row r="17" spans="2:59" x14ac:dyDescent="0.55000000000000004">
      <c r="B17" s="171" t="s">
        <v>275</v>
      </c>
      <c r="C17" s="37" t="s">
        <v>271</v>
      </c>
      <c r="D17" s="38">
        <f>COUNTIF('PF327'!Y10:Y335,"LIN0_RX")</f>
        <v>0</v>
      </c>
      <c r="E17" s="38">
        <f>COUNTIF('PF327'!Y10:Y335,"LIN1_RX")</f>
        <v>0</v>
      </c>
      <c r="F17" s="41"/>
    </row>
    <row r="18" spans="2:59" x14ac:dyDescent="0.55000000000000004">
      <c r="B18" s="172"/>
      <c r="C18" s="37" t="s">
        <v>270</v>
      </c>
      <c r="D18" s="38">
        <f>COUNTIF('PF327'!Y10:Y335,"LIN0_TX")</f>
        <v>0</v>
      </c>
      <c r="E18" s="38">
        <f>COUNTIF('PF327'!Y10:Y335,"LIN1_TX")</f>
        <v>0</v>
      </c>
      <c r="F18" s="41"/>
    </row>
    <row r="19" spans="2:59" x14ac:dyDescent="0.55000000000000004">
      <c r="B19" s="180"/>
      <c r="C19" s="37" t="s">
        <v>274</v>
      </c>
      <c r="D19" s="38">
        <f>COUNTIF('PF327'!Y10:Y335,"LIN0_EN")</f>
        <v>0</v>
      </c>
      <c r="E19" s="38">
        <f>COUNTIF('PF327'!Y10:Y335,"LIN1_EN")</f>
        <v>0</v>
      </c>
      <c r="F19" s="41"/>
    </row>
    <row r="20" spans="2:59" x14ac:dyDescent="0.55000000000000004">
      <c r="B20" s="39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</row>
    <row r="21" spans="2:59" x14ac:dyDescent="0.55000000000000004">
      <c r="B21" s="39"/>
      <c r="C21" s="41"/>
      <c r="D21" s="41"/>
      <c r="E21" s="41"/>
      <c r="F21" s="41"/>
      <c r="G21" s="41"/>
      <c r="H21" s="41"/>
      <c r="I21" s="41"/>
      <c r="J21" s="41"/>
      <c r="K21" s="41"/>
    </row>
    <row r="22" spans="2:59" x14ac:dyDescent="0.55000000000000004">
      <c r="B22" s="183" t="s">
        <v>261</v>
      </c>
      <c r="C22" s="184"/>
      <c r="D22" s="125" t="s">
        <v>262</v>
      </c>
      <c r="E22" s="125" t="s">
        <v>263</v>
      </c>
      <c r="F22" s="125" t="s">
        <v>264</v>
      </c>
      <c r="G22" s="125" t="s">
        <v>265</v>
      </c>
      <c r="H22" s="125" t="s">
        <v>269</v>
      </c>
      <c r="I22" s="125" t="s">
        <v>268</v>
      </c>
      <c r="J22" s="125" t="s">
        <v>267</v>
      </c>
      <c r="K22" s="125" t="s">
        <v>266</v>
      </c>
      <c r="L22" s="125" t="s">
        <v>714</v>
      </c>
      <c r="M22" s="125" t="s">
        <v>715</v>
      </c>
      <c r="N22" s="125" t="s">
        <v>716</v>
      </c>
      <c r="O22" s="125" t="s">
        <v>1600</v>
      </c>
    </row>
    <row r="23" spans="2:59" x14ac:dyDescent="0.55000000000000004">
      <c r="B23" s="167" t="s">
        <v>1790</v>
      </c>
      <c r="C23" s="168"/>
      <c r="D23" s="124" t="s">
        <v>1791</v>
      </c>
      <c r="E23" s="124" t="s">
        <v>1791</v>
      </c>
      <c r="F23" s="124" t="s">
        <v>1791</v>
      </c>
      <c r="G23" s="124" t="s">
        <v>1791</v>
      </c>
      <c r="H23" s="124" t="s">
        <v>1791</v>
      </c>
      <c r="I23" s="124" t="s">
        <v>1791</v>
      </c>
      <c r="J23" s="124" t="s">
        <v>1791</v>
      </c>
      <c r="K23" s="124" t="s">
        <v>1791</v>
      </c>
      <c r="L23" s="124" t="s">
        <v>1791</v>
      </c>
      <c r="M23" s="124" t="s">
        <v>1791</v>
      </c>
      <c r="N23" s="124" t="s">
        <v>1791</v>
      </c>
      <c r="O23" s="124" t="s">
        <v>1791</v>
      </c>
    </row>
    <row r="24" spans="2:59" ht="10" customHeight="1" x14ac:dyDescent="0.55000000000000004">
      <c r="B24" s="182" t="s">
        <v>286</v>
      </c>
      <c r="C24" s="42" t="s">
        <v>1777</v>
      </c>
      <c r="D24" s="43">
        <f>COUNTIF('PF327'!Y10:Y335,"SCB0_CLK")</f>
        <v>0</v>
      </c>
      <c r="E24" s="37">
        <f>COUNTIF('PF327'!Y10:Y335,"SCB1_CLK(0)")</f>
        <v>0</v>
      </c>
      <c r="F24" s="37">
        <f>COUNTIF('PF327'!Y10:Y335,"SCB2_CLK")</f>
        <v>0</v>
      </c>
      <c r="G24" s="37">
        <f>COUNTIF('PF327'!Y10:Y335,"SCB3_CLK")</f>
        <v>0</v>
      </c>
      <c r="H24" s="37">
        <f>COUNTIF('PF327'!Y10:Y335,"SCB4_CLK")</f>
        <v>0</v>
      </c>
      <c r="I24" s="37">
        <f>COUNTIF('PF327'!Y10:Y335,"SCB5_CLK")</f>
        <v>0</v>
      </c>
      <c r="J24" s="37">
        <f>COUNTIF('PF327'!Y10:Y335,"SCB6_CLK")</f>
        <v>0</v>
      </c>
      <c r="K24" s="37">
        <f>COUNTIF('PF327'!Y10:Y335,"SCB7_CLK")</f>
        <v>0</v>
      </c>
      <c r="L24" s="37">
        <f>COUNTIF('PF327'!Y10:Y335,"SCB8_CLK")</f>
        <v>0</v>
      </c>
      <c r="M24" s="37">
        <f>COUNTIF('PF327'!Y10:Y335,"SCB9_CLK")</f>
        <v>0</v>
      </c>
      <c r="N24" s="37">
        <f>COUNTIF('PF327'!Y10:Y335,"SCB10_CLK")</f>
        <v>0</v>
      </c>
      <c r="O24" s="37">
        <f>COUNTIF('PF327'!Y10:Y335,"SCB11_CLK")</f>
        <v>0</v>
      </c>
      <c r="BG24" s="44"/>
    </row>
    <row r="25" spans="2:59" ht="10" customHeight="1" x14ac:dyDescent="0.55000000000000004">
      <c r="B25" s="178"/>
      <c r="C25" s="42" t="s">
        <v>1773</v>
      </c>
      <c r="D25" s="43">
        <f>COUNTIF('PF327'!Y10:Y335,"SCB0_CLK(1)")</f>
        <v>0</v>
      </c>
      <c r="E25" s="37">
        <f>COUNTIF('PF327'!Y10:Y335,"SCB1_CLK(1)")</f>
        <v>0</v>
      </c>
      <c r="F25" s="37">
        <f>COUNTIF('PF327'!Y10:Y335,"SCB2_CLK(1)")</f>
        <v>0</v>
      </c>
      <c r="G25" s="37">
        <f>COUNTIF('PF327'!Y10:Y335,"SCB3_CLK(1)")</f>
        <v>0</v>
      </c>
      <c r="H25" s="37">
        <f>COUNTIF('PF327'!Y10:Y335,"SCB4_CLK(1)")</f>
        <v>0</v>
      </c>
      <c r="I25" s="37">
        <f>COUNTIF('PF327'!Y10:Y335,"SCB5_CLK(1)")</f>
        <v>0</v>
      </c>
      <c r="J25" s="37">
        <f>COUNTIF('PF327'!Y10:Y335,"SCB6_CLK(1)")</f>
        <v>0</v>
      </c>
      <c r="K25" s="37">
        <f>COUNTIF('PF327'!Y10:Y335,"SCB7_CLK(1)")</f>
        <v>0</v>
      </c>
      <c r="L25" s="37">
        <f>COUNTIF('PF327'!Y10:Y335,"SCB8_CLK(1)")</f>
        <v>0</v>
      </c>
      <c r="M25" s="37">
        <f>COUNTIF('PF327'!Y10:Y335,"SCB9_CLK(1)")</f>
        <v>0</v>
      </c>
      <c r="N25" s="37">
        <f>COUNTIF('PF327'!Y10:Y335,"SCB10_CLK(1)")</f>
        <v>0</v>
      </c>
      <c r="O25" s="37">
        <f>COUNTIF('PF327'!Y10:Y335,"SCB11_CLK(1)")</f>
        <v>0</v>
      </c>
      <c r="BG25" s="44"/>
    </row>
    <row r="26" spans="2:59" x14ac:dyDescent="0.55000000000000004">
      <c r="B26" s="178"/>
      <c r="C26" s="42" t="s">
        <v>1776</v>
      </c>
      <c r="D26" s="43">
        <f>COUNTIF('PF327'!Y10:Y335,"SCB0_MOSI")</f>
        <v>0</v>
      </c>
      <c r="E26" s="37">
        <f>COUNTIF('PF327'!Y10:Y335,"SCB1_MOSI(0)")</f>
        <v>0</v>
      </c>
      <c r="F26" s="37">
        <f>COUNTIF('PF327'!Y10:Y335,"SCB2_MOSI")</f>
        <v>0</v>
      </c>
      <c r="G26" s="37">
        <f>COUNTIF('PF327'!Y10:Y335,"SCB3_MOSI")</f>
        <v>0</v>
      </c>
      <c r="H26" s="37">
        <f>COUNTIF('PF327'!Y10:Y335,"SCB4_MOSI")</f>
        <v>0</v>
      </c>
      <c r="I26" s="37">
        <f>COUNTIF('PF327'!Y10:Y335,"SCB5_MOSI")</f>
        <v>0</v>
      </c>
      <c r="J26" s="37">
        <f>COUNTIF('PF327'!Y10:Y335,"SCB6_MOSI")</f>
        <v>0</v>
      </c>
      <c r="K26" s="37">
        <f>COUNTIF('PF327'!Y10:Y335,"SCB7_MOSI")</f>
        <v>0</v>
      </c>
      <c r="L26" s="37">
        <f>COUNTIF('PF327'!Y10:Y335,"SCB8_MOSI")</f>
        <v>0</v>
      </c>
      <c r="M26" s="37">
        <f>COUNTIF('PF327'!Y10:Y335,"SCB9_MOSI")</f>
        <v>0</v>
      </c>
      <c r="N26" s="37">
        <f>COUNTIF('PF327'!Y10:Y335,"SCB10_MOSI")</f>
        <v>0</v>
      </c>
      <c r="O26" s="37">
        <f>COUNTIF('PF327'!Y10:Y335,"SCB11_MOSI")</f>
        <v>0</v>
      </c>
    </row>
    <row r="27" spans="2:59" x14ac:dyDescent="0.55000000000000004">
      <c r="B27" s="178"/>
      <c r="C27" s="42" t="s">
        <v>1774</v>
      </c>
      <c r="D27" s="43">
        <f>COUNTIF('PF327'!Y10:Y335,"SCB0_MOSI(1)")</f>
        <v>0</v>
      </c>
      <c r="E27" s="37">
        <f>COUNTIF('PF327'!Y10:Y335,"SCB1_MOSI(1)")</f>
        <v>0</v>
      </c>
      <c r="F27" s="37">
        <f>COUNTIF('PF327'!Y10:Y335,"SCB2_MOSI(1)")</f>
        <v>0</v>
      </c>
      <c r="G27" s="37">
        <f>COUNTIF('PF327'!Y10:Y335,"SCB3_MOSI(1)")</f>
        <v>0</v>
      </c>
      <c r="H27" s="37">
        <f>COUNTIF('PF327'!Y10:Y335,"SCB4_MOSI(1)")</f>
        <v>0</v>
      </c>
      <c r="I27" s="37">
        <f>COUNTIF('PF327'!Y10:Y335,"SCB5_MOSI(1)")</f>
        <v>0</v>
      </c>
      <c r="J27" s="37">
        <f>COUNTIF('PF327'!Y10:Y335,"SCB6_MOSI(1)")</f>
        <v>0</v>
      </c>
      <c r="K27" s="37">
        <f>COUNTIF('PF327'!Y10:Y335,"SCB7_MOSI(1)")</f>
        <v>0</v>
      </c>
      <c r="L27" s="37">
        <f>COUNTIF('PF327'!Y10:Y335,"SCB8_MOSI(1)")</f>
        <v>0</v>
      </c>
      <c r="M27" s="37">
        <f>COUNTIF('PF327'!Y10:Y335,"SCB9_MOSI(1)")</f>
        <v>0</v>
      </c>
      <c r="N27" s="37">
        <f>COUNTIF('PF327'!Y10:Y335,"SCB10_MOSI(1)")</f>
        <v>0</v>
      </c>
      <c r="O27" s="37">
        <f>COUNTIF('PF327'!Y10:Y335,"SCB11_MOSI(1)")</f>
        <v>0</v>
      </c>
    </row>
    <row r="28" spans="2:59" x14ac:dyDescent="0.55000000000000004">
      <c r="B28" s="178"/>
      <c r="C28" s="42" t="s">
        <v>1778</v>
      </c>
      <c r="D28" s="43">
        <f>COUNTIF('PF327'!Y10:Y335,"SCB0_MISO")</f>
        <v>0</v>
      </c>
      <c r="E28" s="37">
        <f>COUNTIF('PF327'!Y10:Y335,"SCB1_MISO (0)")</f>
        <v>0</v>
      </c>
      <c r="F28" s="37">
        <f>COUNTIF('PF327'!Y10:Y335,"SCB2_MISO")</f>
        <v>0</v>
      </c>
      <c r="G28" s="37">
        <f>COUNTIF('PF327'!Y10:Y335,"SCB3_MISO")</f>
        <v>0</v>
      </c>
      <c r="H28" s="37">
        <f>COUNTIF('PF327'!Y10:Y335,"SCB4_MISO")</f>
        <v>0</v>
      </c>
      <c r="I28" s="37">
        <f>COUNTIF('PF327'!Y10:Y335,"SCB5_MISO")</f>
        <v>0</v>
      </c>
      <c r="J28" s="37">
        <f>COUNTIF('PF327'!Y10:Y335,"SCB6_MISO")</f>
        <v>0</v>
      </c>
      <c r="K28" s="37">
        <f>COUNTIF('PF327'!Y10:Y335,"SCB7_MISO")</f>
        <v>0</v>
      </c>
      <c r="L28" s="37">
        <f>COUNTIF('PF327'!Y10:Y335,"SCB8_MISO")</f>
        <v>0</v>
      </c>
      <c r="M28" s="37">
        <f>COUNTIF('PF327'!Y10:Y335,"SCB9_MISO")</f>
        <v>0</v>
      </c>
      <c r="N28" s="37">
        <f>COUNTIF('PF327'!Y10:Y335,"SCB10_MISO")</f>
        <v>0</v>
      </c>
      <c r="O28" s="37">
        <f>COUNTIF('PF327'!Y10:Y335,"SCB11_MISO")</f>
        <v>0</v>
      </c>
    </row>
    <row r="29" spans="2:59" x14ac:dyDescent="0.55000000000000004">
      <c r="B29" s="178"/>
      <c r="C29" s="42" t="s">
        <v>1775</v>
      </c>
      <c r="D29" s="43">
        <f>COUNTIF('PF327'!Y10:Y335,"SCB0_MISO(1)")</f>
        <v>0</v>
      </c>
      <c r="E29" s="37">
        <f>COUNTIF('PF327'!Y10:Y335,"SCB1_MISO(1)")</f>
        <v>0</v>
      </c>
      <c r="F29" s="37">
        <f>COUNTIF('PF327'!Y10:Y335,"SCB2_MISO(1)")</f>
        <v>0</v>
      </c>
      <c r="G29" s="37">
        <f>COUNTIF('PF327'!Y10:Y335,"SCB3_MISO(1)")</f>
        <v>0</v>
      </c>
      <c r="H29" s="37">
        <f>COUNTIF('PF327'!Y10:Y335,"SCB4_MISO(1)")</f>
        <v>0</v>
      </c>
      <c r="I29" s="37">
        <f>COUNTIF('PF327'!Y10:Y335,"SCB5_MISO(1)")</f>
        <v>0</v>
      </c>
      <c r="J29" s="37">
        <f>COUNTIF('PF327'!Y10:Y335,"SCB6_MISO(1)")</f>
        <v>0</v>
      </c>
      <c r="K29" s="37">
        <f>COUNTIF('PF327'!Y10:Y335,"SCB7_MISO(1)")</f>
        <v>0</v>
      </c>
      <c r="L29" s="37">
        <f>COUNTIF('PF327'!Y10:Y335,"SCB8_MISO(1)")</f>
        <v>0</v>
      </c>
      <c r="M29" s="37">
        <f>COUNTIF('PF327'!Y10:Y335,"SCB9_MISO(1)")</f>
        <v>0</v>
      </c>
      <c r="N29" s="37">
        <f>COUNTIF('PF327'!Y10:Y335,"SCB10_MISO(1)")</f>
        <v>0</v>
      </c>
      <c r="O29" s="37">
        <f>COUNTIF('PF327'!Y10:Y335,"SCB11_MISO(1)")</f>
        <v>0</v>
      </c>
    </row>
    <row r="30" spans="2:59" x14ac:dyDescent="0.55000000000000004">
      <c r="B30" s="178"/>
      <c r="C30" s="42" t="s">
        <v>1779</v>
      </c>
      <c r="D30" s="43">
        <f>COUNTIF('PF327'!Y10:Y335,"SCB0_SEL0")</f>
        <v>0</v>
      </c>
      <c r="E30" s="37">
        <f>COUNTIF('PF327'!Y10:Y335,"SCB1_SEL0(0)")</f>
        <v>0</v>
      </c>
      <c r="F30" s="37">
        <f>COUNTIF('PF327'!Y10:Y335,"SCB2_SEL0")</f>
        <v>0</v>
      </c>
      <c r="G30" s="37">
        <f>COUNTIF('PF327'!Y10:Y335,"SCB3_SEL0")</f>
        <v>0</v>
      </c>
      <c r="H30" s="37">
        <f>COUNTIF('PF327'!Y10:Y335,"SCB4_SEL0")</f>
        <v>0</v>
      </c>
      <c r="I30" s="43">
        <f>COUNTIF('PF327'!Y10:Y335,"SCB5_SEL0")</f>
        <v>0</v>
      </c>
      <c r="J30" s="43">
        <f>COUNTIF('PF327'!Y10:Y335,"SCB6_SEL0")</f>
        <v>0</v>
      </c>
      <c r="K30" s="37">
        <f>COUNTIF('PF327'!Y10:Y335,"SCB7_SEL0")</f>
        <v>0</v>
      </c>
      <c r="L30" s="37">
        <f>COUNTIF('PF327'!Y10:Y335,"SCB8_SEL0")</f>
        <v>0</v>
      </c>
      <c r="M30" s="37">
        <f>COUNTIF('PF327'!Y10:Y335,"SCB9_SEL0")</f>
        <v>0</v>
      </c>
      <c r="N30" s="37">
        <f>COUNTIF('PF327'!Y10:Y335,"SCB10_SEL0")</f>
        <v>0</v>
      </c>
      <c r="O30" s="37">
        <f>COUNTIF('PF327'!Y10:Y335,"SCB11_SEL0")</f>
        <v>0</v>
      </c>
    </row>
    <row r="31" spans="2:59" x14ac:dyDescent="0.55000000000000004">
      <c r="B31" s="178"/>
      <c r="C31" s="42" t="s">
        <v>1780</v>
      </c>
      <c r="D31" s="43">
        <f>COUNTIF('PF327'!Y10:Y335,"SCB0_SEL0(1)")</f>
        <v>0</v>
      </c>
      <c r="E31" s="37">
        <f>COUNTIF('PF327'!Y10:Y335,"SCB1_SEL0(1)")</f>
        <v>0</v>
      </c>
      <c r="F31" s="37">
        <f>COUNTIF('PF327'!Y10:Y335,"SCB2_SEL0(1)")</f>
        <v>0</v>
      </c>
      <c r="G31" s="37">
        <f>COUNTIF('PF327'!Y10:Y335,"SCB3_SEL0(1)")</f>
        <v>0</v>
      </c>
      <c r="H31" s="37">
        <f>COUNTIF('PF327'!Y10:Y335,"SCB4_SEL0(1)")</f>
        <v>0</v>
      </c>
      <c r="I31" s="43">
        <f>COUNTIF('PF327'!Y10:Y335,"SCB5_SEL0(1)")</f>
        <v>0</v>
      </c>
      <c r="J31" s="43">
        <f>COUNTIF('PF327'!Y10:Y335,"SCB6_SEL0(1)")</f>
        <v>0</v>
      </c>
      <c r="K31" s="37">
        <f>COUNTIF('PF327'!Y10:Y335,"SCB7_SEL0(1)")</f>
        <v>0</v>
      </c>
      <c r="L31" s="37">
        <f>COUNTIF('PF327'!Y10:Y335,"SCB8_SEL0(1)")</f>
        <v>0</v>
      </c>
      <c r="M31" s="37">
        <f>COUNTIF('PF327'!Y10:Y335,"SCB9_SEL0(1)")</f>
        <v>0</v>
      </c>
      <c r="N31" s="37">
        <f>COUNTIF('PF327'!Y10:Y335,"SCB10_SEL0(1)")</f>
        <v>0</v>
      </c>
      <c r="O31" s="37">
        <f>COUNTIF('PF327'!Y10:Y335,"SCB11_SEL0(1)")</f>
        <v>0</v>
      </c>
    </row>
    <row r="32" spans="2:59" x14ac:dyDescent="0.55000000000000004">
      <c r="B32" s="178"/>
      <c r="C32" s="42" t="s">
        <v>1781</v>
      </c>
      <c r="D32" s="43">
        <f>COUNTIF('PF327'!Y10:Y335,"SCB0_SEL1")</f>
        <v>0</v>
      </c>
      <c r="E32" s="37">
        <f>COUNTIF('PF327'!Y10:Y335,"SCB1_SEL1(0)")</f>
        <v>0</v>
      </c>
      <c r="F32" s="37">
        <f>COUNTIF('PF327'!Y10:Y335,"SCB2_SEL1")</f>
        <v>0</v>
      </c>
      <c r="G32" s="37">
        <f>COUNTIF('PF327'!Y10:Y335,"SCB3_SEL1")</f>
        <v>0</v>
      </c>
      <c r="H32" s="37">
        <f>COUNTIF('PF327'!Y10:Y335,"SCB4_SEL1")</f>
        <v>0</v>
      </c>
      <c r="I32" s="43">
        <f>COUNTIF('PF327'!Y10:Y335,"SCB5_SEL1")</f>
        <v>0</v>
      </c>
      <c r="J32" s="43">
        <f>COUNTIF('PF327'!Y10:Y335,"SCB6_SEL1")</f>
        <v>0</v>
      </c>
      <c r="K32" s="37">
        <f>COUNTIF('PF327'!Y10:Y335,"SCB7_SEL1")</f>
        <v>0</v>
      </c>
      <c r="L32" s="37">
        <f>COUNTIF('PF327'!Y10:Y335,"SCB8_SEL1")</f>
        <v>0</v>
      </c>
      <c r="M32" s="37">
        <f>COUNTIF('PF327'!Y10:Y335,"SCB9_SEL1")</f>
        <v>0</v>
      </c>
      <c r="N32" s="37">
        <f>COUNTIF('PF327'!Y10:Y335,"SCB10_SEL1")</f>
        <v>0</v>
      </c>
      <c r="O32" s="37">
        <f>COUNTIF('PF327'!Y10:Y335,"SCB11_SEL1")</f>
        <v>0</v>
      </c>
    </row>
    <row r="33" spans="2:15" x14ac:dyDescent="0.55000000000000004">
      <c r="B33" s="178"/>
      <c r="C33" s="42" t="s">
        <v>1782</v>
      </c>
      <c r="D33" s="43">
        <f>COUNTIF('PF327'!Y10:Y335,"SCB0_SEL1(1)")</f>
        <v>0</v>
      </c>
      <c r="E33" s="37">
        <f>COUNTIF('PF327'!Y10:Y335,"SCB1_SEL1(1)")</f>
        <v>0</v>
      </c>
      <c r="F33" s="37">
        <f>COUNTIF('PF327'!Y10:Y335,"SCB2_SEL1(1)")</f>
        <v>0</v>
      </c>
      <c r="G33" s="37">
        <f>COUNTIF('PF327'!Y10:Y335,"SCB3_SEL1(1)")</f>
        <v>0</v>
      </c>
      <c r="H33" s="37">
        <f>COUNTIF('PF327'!Y10:Y335,"SCB4_SEL1(1)")</f>
        <v>0</v>
      </c>
      <c r="I33" s="43">
        <f>COUNTIF('PF327'!Y10:Y335,"SCB5_SEL1(1)")</f>
        <v>0</v>
      </c>
      <c r="J33" s="43">
        <f>COUNTIF('PF327'!Y10:Y335,"SCB6_SEL1(1)")</f>
        <v>0</v>
      </c>
      <c r="K33" s="37">
        <f>COUNTIF('PF327'!Y10:Y335,"SCB7_SEL1(1)")</f>
        <v>0</v>
      </c>
      <c r="L33" s="37">
        <f>COUNTIF('PF327'!Y10:Y335,"SCB8_SEL1(1)")</f>
        <v>0</v>
      </c>
      <c r="M33" s="37">
        <f>COUNTIF('PF327'!Y10:Y335,"SCB9_SEL1(1)")</f>
        <v>0</v>
      </c>
      <c r="N33" s="37">
        <f>COUNTIF('PF327'!Y10:Y335,"SCB10_SEL1(1)")</f>
        <v>0</v>
      </c>
      <c r="O33" s="37">
        <f>COUNTIF('PF327'!Y10:Y335,"SCB11_SEL1(1)")</f>
        <v>0</v>
      </c>
    </row>
    <row r="34" spans="2:15" x14ac:dyDescent="0.55000000000000004">
      <c r="B34" s="178"/>
      <c r="C34" s="42" t="s">
        <v>1594</v>
      </c>
      <c r="D34" s="43">
        <f>COUNTIF('PF327'!Y10:Y335,"SCB0_SEL2")</f>
        <v>0</v>
      </c>
      <c r="E34" s="37">
        <f>COUNTIF('PF327'!Y10:Y335,"SCB1_SEL2")</f>
        <v>0</v>
      </c>
      <c r="F34" s="37">
        <f>COUNTIF('PF327'!Y10:Y335,"SCB2_SEL2")</f>
        <v>0</v>
      </c>
      <c r="G34" s="37">
        <f>COUNTIF('PF327'!Y10:Y335,"SCB3_SEL2")</f>
        <v>0</v>
      </c>
      <c r="H34" s="37">
        <f>COUNTIF('PF327'!Y10:Y335,"SCB4_SEL2")</f>
        <v>0</v>
      </c>
      <c r="I34" s="43">
        <f>COUNTIF('PF327'!Y10:Y335,"SCB5_SEL2")</f>
        <v>0</v>
      </c>
      <c r="J34" s="43">
        <f>COUNTIF('PF327'!Y10:Y335,"SCB6_SEL2")</f>
        <v>0</v>
      </c>
      <c r="K34" s="37">
        <f>COUNTIF('PF327'!Y10:Y335,"SCB7_SEL2")</f>
        <v>0</v>
      </c>
      <c r="L34" s="37">
        <f>COUNTIF('PF327'!Y10:Y335,"SCB8_SEL2")</f>
        <v>0</v>
      </c>
      <c r="M34" s="37">
        <f>COUNTIF('PF327'!Y10:Y335,"SCB9_SEL2")</f>
        <v>0</v>
      </c>
      <c r="N34" s="37">
        <f>COUNTIF('PF327'!Y10:Y335,"SCB10_SEL2")</f>
        <v>0</v>
      </c>
      <c r="O34" s="37">
        <f>COUNTIF('PF327'!Y10:Y335,"SCB11_SEL2")</f>
        <v>0</v>
      </c>
    </row>
    <row r="35" spans="2:15" x14ac:dyDescent="0.55000000000000004">
      <c r="B35" s="179"/>
      <c r="C35" s="42" t="s">
        <v>1595</v>
      </c>
      <c r="D35" s="43">
        <f>COUNTIF('PF327'!Y10:Y335,"SCB0_SEL3")</f>
        <v>0</v>
      </c>
      <c r="E35" s="37">
        <f>COUNTIF('PF327'!Y10:Y335,"SCB1_SEL3")</f>
        <v>0</v>
      </c>
      <c r="F35" s="37">
        <f>COUNTIF('PF327'!Y10:Y335,"SCB2_SEL3")</f>
        <v>0</v>
      </c>
      <c r="G35" s="37">
        <f>COUNTIF('PF327'!Y10:Y335,"SCB3_SEL3")</f>
        <v>0</v>
      </c>
      <c r="H35" s="37">
        <f>COUNTIF('PF327'!Y10:Y335,"SCB4_SEL3")</f>
        <v>0</v>
      </c>
      <c r="I35" s="43">
        <f>COUNTIF('PF327'!Y10:Y335,"SCB5_SEL3")</f>
        <v>0</v>
      </c>
      <c r="J35" s="43">
        <f>COUNTIF('PF327'!Y10:Y335,"SCB6_SEL3")</f>
        <v>0</v>
      </c>
      <c r="K35" s="37">
        <f>COUNTIF('PF327'!Y10:Y335,"SCB7_SEL3")</f>
        <v>0</v>
      </c>
      <c r="L35" s="37">
        <f>COUNTIF('PF327'!Y10:Y335,"SCB8_SEL3")</f>
        <v>0</v>
      </c>
      <c r="M35" s="37">
        <f>COUNTIF('PF327'!Y10:Y335,"SCB9_SEL3")</f>
        <v>0</v>
      </c>
      <c r="N35" s="37">
        <f>COUNTIF('PF327'!Y10:Y335,"SCB10_SEL3")</f>
        <v>0</v>
      </c>
      <c r="O35" s="37">
        <f>COUNTIF('PF327'!Y10:Y335,"SCB11_SEL3")</f>
        <v>0</v>
      </c>
    </row>
    <row r="36" spans="2:15" ht="10" customHeight="1" x14ac:dyDescent="0.55000000000000004">
      <c r="B36" s="182" t="s">
        <v>285</v>
      </c>
      <c r="C36" s="42" t="s">
        <v>270</v>
      </c>
      <c r="D36" s="43">
        <f>COUNTIF('PF327'!Y10:Y335,"SCB0_TX")</f>
        <v>0</v>
      </c>
      <c r="E36" s="37">
        <f>COUNTIF('PF327'!Y10:Y335,"SCB1_TX")</f>
        <v>0</v>
      </c>
      <c r="F36" s="37">
        <f>COUNTIF('PF327'!Y10:Y335,"SCB2_TX")</f>
        <v>0</v>
      </c>
      <c r="G36" s="37">
        <f>COUNTIF('PF327'!Y10:Y335,"SCB3_TX")</f>
        <v>0</v>
      </c>
      <c r="H36" s="37">
        <f>COUNTIF('PF327'!Y10:Y335,"SCB4_TX")</f>
        <v>0</v>
      </c>
      <c r="I36" s="45">
        <f>COUNTIF('PF327'!Y10:Y335,"SCB5_TX")</f>
        <v>0</v>
      </c>
      <c r="J36" s="45">
        <f>COUNTIF('PF327'!Y10:Y335,"SCB6_TX")</f>
        <v>0</v>
      </c>
      <c r="K36" s="37">
        <f>COUNTIF('PF327'!Y10:Y335,"SCB7_TX")</f>
        <v>0</v>
      </c>
      <c r="L36" s="37">
        <f>COUNTIF('PF327'!Y10:Y335,"SCB8_TX")</f>
        <v>0</v>
      </c>
      <c r="M36" s="37">
        <f>COUNTIF('PF327'!Y10:Y335,"SCB9_TX")</f>
        <v>0</v>
      </c>
      <c r="N36" s="37">
        <f>COUNTIF('PF327'!Y10:Y335,"SCB10_TX")</f>
        <v>0</v>
      </c>
      <c r="O36" s="37">
        <f>COUNTIF('PF327'!Y10:Y335,"SCB11_TX")</f>
        <v>0</v>
      </c>
    </row>
    <row r="37" spans="2:15" x14ac:dyDescent="0.55000000000000004">
      <c r="B37" s="178"/>
      <c r="C37" s="42" t="s">
        <v>271</v>
      </c>
      <c r="D37" s="43">
        <f>COUNTIF('PF327'!Y10:Y335,"SCB0_RX")</f>
        <v>0</v>
      </c>
      <c r="E37" s="37">
        <f>COUNTIF('PF327'!Y10:Y335,"SCB1_RX")</f>
        <v>0</v>
      </c>
      <c r="F37" s="37">
        <f>COUNTIF('PF327'!Y10:Y335,"SCB2_TX")</f>
        <v>0</v>
      </c>
      <c r="G37" s="37">
        <f>COUNTIF('PF327'!Y10:Y335,"SCB3_TX")</f>
        <v>0</v>
      </c>
      <c r="H37" s="37">
        <f>COUNTIF('PF327'!Y10:Y335,"SCB4_TX")</f>
        <v>0</v>
      </c>
      <c r="I37" s="37">
        <f>COUNTIF('PF327'!Y10:Y335,"SCB5_TX")</f>
        <v>0</v>
      </c>
      <c r="J37" s="37">
        <f>COUNTIF('PF327'!Y10:Y335,"SCB6_TX")</f>
        <v>0</v>
      </c>
      <c r="K37" s="37">
        <f>COUNTIF('PF327'!Y10:Y335,"SCB7_TX")</f>
        <v>0</v>
      </c>
      <c r="L37" s="37">
        <f>COUNTIF('PF327'!Y10:Y335,"SCB8_TX")</f>
        <v>0</v>
      </c>
      <c r="M37" s="37">
        <f>COUNTIF('PF327'!Y10:Y335,"SCB9_TX")</f>
        <v>0</v>
      </c>
      <c r="N37" s="37">
        <f>COUNTIF('PF327'!Y10:Y335,"SCB10_TX")</f>
        <v>0</v>
      </c>
      <c r="O37" s="37">
        <f>COUNTIF('PF327'!Y10:Y335,"SCB11_TX")</f>
        <v>0</v>
      </c>
    </row>
    <row r="38" spans="2:15" x14ac:dyDescent="0.55000000000000004">
      <c r="B38" s="178"/>
      <c r="C38" s="42" t="s">
        <v>1596</v>
      </c>
      <c r="D38" s="43">
        <f>COUNTIF('PF327'!Y10:Y335,"SCB0_CTS")</f>
        <v>0</v>
      </c>
      <c r="E38" s="37">
        <f>COUNTIF('PF327'!Y10:Y335,"SCB1_CTS")</f>
        <v>0</v>
      </c>
      <c r="F38" s="37">
        <f>COUNTIF('PF327'!Y10:Y335,"SCB2_CTS")</f>
        <v>0</v>
      </c>
      <c r="G38" s="37">
        <f>COUNTIF('PF327'!Y10:Y335,"SCB3_CTS")</f>
        <v>0</v>
      </c>
      <c r="H38" s="37">
        <f>COUNTIF('PF327'!Y10:Y335,"SCB4_CTS")</f>
        <v>0</v>
      </c>
      <c r="I38" s="37">
        <f>COUNTIF('PF327'!Y10:Y335,"SCB5_CTS")</f>
        <v>0</v>
      </c>
      <c r="J38" s="37">
        <f>COUNTIF('PF327'!Y10:Y335,"SCB6_CTS")</f>
        <v>0</v>
      </c>
      <c r="K38" s="37">
        <f>COUNTIF('PF327'!Y10:Y335,"SCB7_CTS")</f>
        <v>0</v>
      </c>
      <c r="L38" s="37">
        <f>COUNTIF('PF327'!Y10:Y335,"SCB8_CTS")</f>
        <v>0</v>
      </c>
      <c r="M38" s="37">
        <f>COUNTIF('PF327'!Y10:Y335,"SCB9_CTS")</f>
        <v>0</v>
      </c>
      <c r="N38" s="37">
        <f>COUNTIF('PF327'!Y10:Y335,"SCB10_CTS")</f>
        <v>0</v>
      </c>
      <c r="O38" s="37">
        <f>COUNTIF('PF327'!Y10:Y335,"SCB11_CTS")</f>
        <v>0</v>
      </c>
    </row>
    <row r="39" spans="2:15" x14ac:dyDescent="0.55000000000000004">
      <c r="B39" s="179"/>
      <c r="C39" s="42" t="s">
        <v>1597</v>
      </c>
      <c r="D39" s="43">
        <f>COUNTIF('PF327'!Y10:Y335,"SCB0_RTS")</f>
        <v>0</v>
      </c>
      <c r="E39" s="37">
        <f>COUNTIF('PF327'!Y10:Y335,"SCB1_RTS")</f>
        <v>0</v>
      </c>
      <c r="F39" s="37">
        <f>COUNTIF('PF327'!Y10:Y335,"SCB2_RTS")</f>
        <v>0</v>
      </c>
      <c r="G39" s="37">
        <f>COUNTIF('PF327'!Y10:Y335,"SCB3_RTS")</f>
        <v>0</v>
      </c>
      <c r="H39" s="37">
        <f>COUNTIF('PF327'!Y10:Y335,"SCB4_RTS")</f>
        <v>0</v>
      </c>
      <c r="I39" s="37">
        <f>COUNTIF('PF327'!Y10:Y335,"SCB5_RTS")</f>
        <v>0</v>
      </c>
      <c r="J39" s="37">
        <f>COUNTIF('PF327'!Y10:Y335,"SCB6_RTS")</f>
        <v>0</v>
      </c>
      <c r="K39" s="37">
        <f>COUNTIF('PF327'!Y10:Y335,"SCB7_RTS")</f>
        <v>0</v>
      </c>
      <c r="L39" s="37">
        <f>COUNTIF('PF327'!Y10:Y335,"SCB8_RTS")</f>
        <v>0</v>
      </c>
      <c r="M39" s="37">
        <f>COUNTIF('PF327'!Y10:Y335,"SCB9_RTS")</f>
        <v>0</v>
      </c>
      <c r="N39" s="37">
        <f>COUNTIF('PF327'!Y10:Y335,"SCB10_RTS")</f>
        <v>0</v>
      </c>
      <c r="O39" s="37">
        <f>COUNTIF('PF327'!Y10:Y335,"SCB11_RTS")</f>
        <v>0</v>
      </c>
    </row>
    <row r="40" spans="2:15" ht="10" customHeight="1" x14ac:dyDescent="0.55000000000000004">
      <c r="B40" s="182" t="s">
        <v>287</v>
      </c>
      <c r="C40" s="42" t="s">
        <v>1598</v>
      </c>
      <c r="D40" s="43">
        <f>COUNTIF('PF327'!Y10:Y335,"SCB0_SDA")</f>
        <v>0</v>
      </c>
      <c r="E40" s="37">
        <f>COUNTIF('PF327'!Y10:Y335,"SCB1_SDA")</f>
        <v>0</v>
      </c>
      <c r="F40" s="37">
        <f>COUNTIF('PF327'!Y10:Y335,"SCB2_SDA")</f>
        <v>0</v>
      </c>
      <c r="G40" s="37">
        <f>COUNTIF('PF327'!Y10:Y335,"SCB3_SDA")</f>
        <v>0</v>
      </c>
      <c r="H40" s="37">
        <f>COUNTIF('PF327'!Y10:Y335,"SCB4_SDA")</f>
        <v>0</v>
      </c>
      <c r="I40" s="45">
        <f>COUNTIF('PF327'!Y10:Y335,"SCB5_SDA")</f>
        <v>0</v>
      </c>
      <c r="J40" s="45">
        <f>COUNTIF('PF327'!Y10:Y335,"SCB6_SDA")</f>
        <v>0</v>
      </c>
      <c r="K40" s="45">
        <f>COUNTIF('PF327'!Y10:Y335,"SCB7_SDA")</f>
        <v>0</v>
      </c>
      <c r="L40" s="45">
        <f>COUNTIF('PF327'!Y10:Y335,"SCB8_SDA")</f>
        <v>0</v>
      </c>
      <c r="M40" s="45">
        <f>COUNTIF('PF327'!Y10:Y335,"SCB9_SDA")</f>
        <v>0</v>
      </c>
      <c r="N40" s="45">
        <f>COUNTIF('PF327'!Y10:Y335,"SCB10_SDA")</f>
        <v>0</v>
      </c>
      <c r="O40" s="45">
        <f>COUNTIF('PF327'!Y10:Y335,"SCB11_SDA")</f>
        <v>0</v>
      </c>
    </row>
    <row r="41" spans="2:15" x14ac:dyDescent="0.55000000000000004">
      <c r="B41" s="179"/>
      <c r="C41" s="42" t="s">
        <v>1599</v>
      </c>
      <c r="D41" s="43">
        <f>COUNTIF('PF327'!Y10:Y335,"SCB0_SCL")</f>
        <v>0</v>
      </c>
      <c r="E41" s="37">
        <f>COUNTIF('PF327'!Y10:Y335,"SCB1_SCL")</f>
        <v>0</v>
      </c>
      <c r="F41" s="37">
        <f>COUNTIF('PF327'!Y10:Y335,"SCB2_SCL")</f>
        <v>0</v>
      </c>
      <c r="G41" s="37">
        <f>COUNTIF('PF327'!Y10:Y335,"SCB3_SCL")</f>
        <v>0</v>
      </c>
      <c r="H41" s="37">
        <f>COUNTIF('PF327'!Y10:Y335,"SCB4_SCL")</f>
        <v>0</v>
      </c>
      <c r="I41" s="45">
        <f>COUNTIF('PF327'!Y10:Y335,"SCB5_SCL")</f>
        <v>0</v>
      </c>
      <c r="J41" s="45">
        <f>COUNTIF('PF327'!Y10:Y335,"SCB6_SCL")</f>
        <v>0</v>
      </c>
      <c r="K41" s="45">
        <f>COUNTIF('PF327'!Y10:Y335,"SCB7_SCL")</f>
        <v>0</v>
      </c>
      <c r="L41" s="45">
        <f>COUNTIF('PF327'!Y10:Y335,"SCB8_SCL")</f>
        <v>0</v>
      </c>
      <c r="M41" s="45">
        <f>COUNTIF('PF327'!Y10:Y335,"SCB9_SCL")</f>
        <v>0</v>
      </c>
      <c r="N41" s="45">
        <f>COUNTIF('PF327'!Y10:Y335,"SCB10_SCL")</f>
        <v>0</v>
      </c>
      <c r="O41" s="45">
        <f>COUNTIF('PF327'!Y10:Y335,"SCB11_SCL")</f>
        <v>0</v>
      </c>
    </row>
    <row r="42" spans="2:15" x14ac:dyDescent="0.55000000000000004">
      <c r="B42" s="46"/>
      <c r="C42" s="47"/>
      <c r="D42" s="40"/>
      <c r="E42" s="40"/>
      <c r="F42" s="40"/>
      <c r="G42" s="40"/>
      <c r="H42" s="40"/>
      <c r="I42" s="48"/>
      <c r="J42" s="48"/>
      <c r="K42" s="48"/>
      <c r="L42" s="48"/>
      <c r="M42" s="48"/>
      <c r="N42" s="48"/>
    </row>
    <row r="43" spans="2:15" hidden="1" x14ac:dyDescent="0.55000000000000004">
      <c r="B43" s="49" t="s">
        <v>261</v>
      </c>
      <c r="C43" s="49" t="s">
        <v>732</v>
      </c>
      <c r="D43" s="50" t="s">
        <v>262</v>
      </c>
      <c r="E43" s="50" t="s">
        <v>263</v>
      </c>
      <c r="F43" s="50" t="s">
        <v>264</v>
      </c>
      <c r="G43" s="50" t="s">
        <v>265</v>
      </c>
      <c r="H43" s="50" t="s">
        <v>269</v>
      </c>
      <c r="I43" s="50" t="s">
        <v>268</v>
      </c>
      <c r="J43" s="50" t="s">
        <v>267</v>
      </c>
      <c r="K43" s="50" t="s">
        <v>266</v>
      </c>
      <c r="L43" s="50" t="s">
        <v>714</v>
      </c>
      <c r="M43" s="50" t="s">
        <v>715</v>
      </c>
      <c r="N43" s="50" t="s">
        <v>716</v>
      </c>
      <c r="O43" s="50" t="s">
        <v>1600</v>
      </c>
    </row>
    <row r="44" spans="2:15" hidden="1" x14ac:dyDescent="0.55000000000000004">
      <c r="B44" s="51" t="s">
        <v>733</v>
      </c>
      <c r="C44" s="52">
        <v>0</v>
      </c>
      <c r="D44" s="52">
        <f t="shared" ref="D44:N44" si="0">D24+D26+D28+D30+D32+D34+D35</f>
        <v>0</v>
      </c>
      <c r="E44" s="52">
        <f t="shared" si="0"/>
        <v>0</v>
      </c>
      <c r="F44" s="52">
        <f t="shared" si="0"/>
        <v>0</v>
      </c>
      <c r="G44" s="52">
        <f t="shared" si="0"/>
        <v>0</v>
      </c>
      <c r="H44" s="52">
        <f t="shared" si="0"/>
        <v>0</v>
      </c>
      <c r="I44" s="52">
        <f t="shared" si="0"/>
        <v>0</v>
      </c>
      <c r="J44" s="52">
        <f t="shared" si="0"/>
        <v>0</v>
      </c>
      <c r="K44" s="52">
        <f t="shared" si="0"/>
        <v>0</v>
      </c>
      <c r="L44" s="52">
        <f t="shared" si="0"/>
        <v>0</v>
      </c>
      <c r="M44" s="52">
        <f t="shared" si="0"/>
        <v>0</v>
      </c>
      <c r="N44" s="52">
        <f t="shared" si="0"/>
        <v>0</v>
      </c>
      <c r="O44" s="52">
        <f t="shared" ref="O44" si="1">O24+O26+O28+O30+O32+O34+O35</f>
        <v>0</v>
      </c>
    </row>
    <row r="45" spans="2:15" hidden="1" x14ac:dyDescent="0.55000000000000004">
      <c r="B45" s="53"/>
      <c r="C45" s="52">
        <v>1</v>
      </c>
      <c r="D45" s="52">
        <f t="shared" ref="D45:N45" si="2">D25+D27+D29+D31+D33</f>
        <v>0</v>
      </c>
      <c r="E45" s="52">
        <f t="shared" si="2"/>
        <v>0</v>
      </c>
      <c r="F45" s="52">
        <f t="shared" si="2"/>
        <v>0</v>
      </c>
      <c r="G45" s="52">
        <f t="shared" si="2"/>
        <v>0</v>
      </c>
      <c r="H45" s="52">
        <f t="shared" si="2"/>
        <v>0</v>
      </c>
      <c r="I45" s="52">
        <f t="shared" si="2"/>
        <v>0</v>
      </c>
      <c r="J45" s="52">
        <f t="shared" si="2"/>
        <v>0</v>
      </c>
      <c r="K45" s="52">
        <f t="shared" si="2"/>
        <v>0</v>
      </c>
      <c r="L45" s="52">
        <f t="shared" si="2"/>
        <v>0</v>
      </c>
      <c r="M45" s="52">
        <f t="shared" si="2"/>
        <v>0</v>
      </c>
      <c r="N45" s="52">
        <f t="shared" si="2"/>
        <v>0</v>
      </c>
      <c r="O45" s="52">
        <f t="shared" ref="O45" si="3">O25+O27+O29+O31+O33</f>
        <v>0</v>
      </c>
    </row>
    <row r="46" spans="2:15" hidden="1" x14ac:dyDescent="0.55000000000000004">
      <c r="B46" s="51" t="s">
        <v>734</v>
      </c>
      <c r="C46" s="52">
        <v>0</v>
      </c>
      <c r="D46" s="52">
        <f t="shared" ref="D46:N46" si="4">D36+D37+D38+D39</f>
        <v>0</v>
      </c>
      <c r="E46" s="52">
        <f t="shared" si="4"/>
        <v>0</v>
      </c>
      <c r="F46" s="52">
        <f t="shared" si="4"/>
        <v>0</v>
      </c>
      <c r="G46" s="52">
        <f t="shared" si="4"/>
        <v>0</v>
      </c>
      <c r="H46" s="52">
        <f t="shared" si="4"/>
        <v>0</v>
      </c>
      <c r="I46" s="52">
        <f t="shared" si="4"/>
        <v>0</v>
      </c>
      <c r="J46" s="52">
        <f t="shared" si="4"/>
        <v>0</v>
      </c>
      <c r="K46" s="52">
        <f t="shared" si="4"/>
        <v>0</v>
      </c>
      <c r="L46" s="52">
        <f t="shared" si="4"/>
        <v>0</v>
      </c>
      <c r="M46" s="52">
        <f t="shared" si="4"/>
        <v>0</v>
      </c>
      <c r="N46" s="52">
        <f t="shared" si="4"/>
        <v>0</v>
      </c>
      <c r="O46" s="52">
        <f t="shared" ref="O46" si="5">O36+O37+O38+O39</f>
        <v>0</v>
      </c>
    </row>
    <row r="47" spans="2:15" hidden="1" x14ac:dyDescent="0.55000000000000004">
      <c r="B47" s="51" t="s">
        <v>735</v>
      </c>
      <c r="C47" s="52">
        <v>0</v>
      </c>
      <c r="D47" s="52">
        <f t="shared" ref="D47:N47" si="6">D40+D41</f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ref="O47" si="7">O40+O41</f>
        <v>0</v>
      </c>
    </row>
    <row r="48" spans="2:15" hidden="1" x14ac:dyDescent="0.55000000000000004">
      <c r="B48" s="118" t="s">
        <v>1784</v>
      </c>
      <c r="C48" s="119"/>
      <c r="D48" s="120">
        <f t="shared" ref="D48:O48" si="8">IF(OR(D44&gt;=1,D45&gt;=1),1,0)</f>
        <v>0</v>
      </c>
      <c r="E48" s="120">
        <f t="shared" si="8"/>
        <v>0</v>
      </c>
      <c r="F48" s="120">
        <f t="shared" si="8"/>
        <v>0</v>
      </c>
      <c r="G48" s="120">
        <f t="shared" si="8"/>
        <v>0</v>
      </c>
      <c r="H48" s="120">
        <f t="shared" si="8"/>
        <v>0</v>
      </c>
      <c r="I48" s="120">
        <f t="shared" si="8"/>
        <v>0</v>
      </c>
      <c r="J48" s="120">
        <f t="shared" si="8"/>
        <v>0</v>
      </c>
      <c r="K48" s="120">
        <f t="shared" si="8"/>
        <v>0</v>
      </c>
      <c r="L48" s="120">
        <f t="shared" si="8"/>
        <v>0</v>
      </c>
      <c r="M48" s="120">
        <f t="shared" si="8"/>
        <v>0</v>
      </c>
      <c r="N48" s="120">
        <f t="shared" si="8"/>
        <v>0</v>
      </c>
      <c r="O48" s="120">
        <f t="shared" si="8"/>
        <v>0</v>
      </c>
    </row>
    <row r="49" spans="1:87" hidden="1" x14ac:dyDescent="0.55000000000000004">
      <c r="B49" s="118" t="s">
        <v>1785</v>
      </c>
      <c r="C49" s="119"/>
      <c r="D49" s="120">
        <f t="shared" ref="D49:O49" si="9">IF(OR(D46&gt;=1,D46&gt;=1),1,0)</f>
        <v>0</v>
      </c>
      <c r="E49" s="120">
        <f t="shared" si="9"/>
        <v>0</v>
      </c>
      <c r="F49" s="120">
        <f t="shared" si="9"/>
        <v>0</v>
      </c>
      <c r="G49" s="120">
        <f t="shared" si="9"/>
        <v>0</v>
      </c>
      <c r="H49" s="120">
        <f t="shared" si="9"/>
        <v>0</v>
      </c>
      <c r="I49" s="120">
        <f t="shared" si="9"/>
        <v>0</v>
      </c>
      <c r="J49" s="120">
        <f t="shared" si="9"/>
        <v>0</v>
      </c>
      <c r="K49" s="120">
        <f t="shared" si="9"/>
        <v>0</v>
      </c>
      <c r="L49" s="120">
        <f t="shared" si="9"/>
        <v>0</v>
      </c>
      <c r="M49" s="120">
        <f t="shared" si="9"/>
        <v>0</v>
      </c>
      <c r="N49" s="120">
        <f t="shared" si="9"/>
        <v>0</v>
      </c>
      <c r="O49" s="120">
        <f t="shared" si="9"/>
        <v>0</v>
      </c>
    </row>
    <row r="50" spans="1:87" hidden="1" x14ac:dyDescent="0.55000000000000004">
      <c r="B50" s="118" t="s">
        <v>1786</v>
      </c>
      <c r="C50" s="119"/>
      <c r="D50" s="120">
        <f t="shared" ref="D50:O50" si="10">IF(OR(D47&gt;=1,D47&gt;=1),1,0)</f>
        <v>0</v>
      </c>
      <c r="E50" s="120">
        <f t="shared" si="10"/>
        <v>0</v>
      </c>
      <c r="F50" s="120">
        <f t="shared" si="10"/>
        <v>0</v>
      </c>
      <c r="G50" s="120">
        <f t="shared" si="10"/>
        <v>0</v>
      </c>
      <c r="H50" s="120">
        <f t="shared" si="10"/>
        <v>0</v>
      </c>
      <c r="I50" s="120">
        <f t="shared" si="10"/>
        <v>0</v>
      </c>
      <c r="J50" s="120">
        <f t="shared" si="10"/>
        <v>0</v>
      </c>
      <c r="K50" s="120">
        <f t="shared" si="10"/>
        <v>0</v>
      </c>
      <c r="L50" s="120">
        <f t="shared" si="10"/>
        <v>0</v>
      </c>
      <c r="M50" s="120">
        <f t="shared" si="10"/>
        <v>0</v>
      </c>
      <c r="N50" s="120">
        <f t="shared" si="10"/>
        <v>0</v>
      </c>
      <c r="O50" s="120">
        <f t="shared" si="10"/>
        <v>0</v>
      </c>
    </row>
    <row r="51" spans="1:87" hidden="1" x14ac:dyDescent="0.55000000000000004">
      <c r="B51" s="161" t="s">
        <v>1787</v>
      </c>
      <c r="C51" s="162"/>
      <c r="D51" s="121">
        <f>D48*D49</f>
        <v>0</v>
      </c>
      <c r="E51" s="121">
        <f t="shared" ref="E51:O51" si="11">E48*E49</f>
        <v>0</v>
      </c>
      <c r="F51" s="121">
        <f t="shared" si="11"/>
        <v>0</v>
      </c>
      <c r="G51" s="121">
        <f t="shared" si="11"/>
        <v>0</v>
      </c>
      <c r="H51" s="121">
        <f t="shared" si="11"/>
        <v>0</v>
      </c>
      <c r="I51" s="121">
        <f t="shared" si="11"/>
        <v>0</v>
      </c>
      <c r="J51" s="121">
        <f t="shared" si="11"/>
        <v>0</v>
      </c>
      <c r="K51" s="121">
        <f t="shared" si="11"/>
        <v>0</v>
      </c>
      <c r="L51" s="121">
        <f t="shared" si="11"/>
        <v>0</v>
      </c>
      <c r="M51" s="121">
        <f t="shared" si="11"/>
        <v>0</v>
      </c>
      <c r="N51" s="121">
        <f t="shared" si="11"/>
        <v>0</v>
      </c>
      <c r="O51" s="121">
        <f t="shared" si="11"/>
        <v>0</v>
      </c>
    </row>
    <row r="52" spans="1:87" hidden="1" x14ac:dyDescent="0.55000000000000004">
      <c r="B52" s="163" t="s">
        <v>1788</v>
      </c>
      <c r="C52" s="164"/>
      <c r="D52" s="122">
        <f>D48*D50</f>
        <v>0</v>
      </c>
      <c r="E52" s="122">
        <f t="shared" ref="E52:O52" si="12">E48*E50</f>
        <v>0</v>
      </c>
      <c r="F52" s="122">
        <f t="shared" si="12"/>
        <v>0</v>
      </c>
      <c r="G52" s="122">
        <f t="shared" si="12"/>
        <v>0</v>
      </c>
      <c r="H52" s="122">
        <f t="shared" si="12"/>
        <v>0</v>
      </c>
      <c r="I52" s="122">
        <f t="shared" si="12"/>
        <v>0</v>
      </c>
      <c r="J52" s="122">
        <f t="shared" si="12"/>
        <v>0</v>
      </c>
      <c r="K52" s="122">
        <f t="shared" si="12"/>
        <v>0</v>
      </c>
      <c r="L52" s="122">
        <f t="shared" si="12"/>
        <v>0</v>
      </c>
      <c r="M52" s="122">
        <f t="shared" si="12"/>
        <v>0</v>
      </c>
      <c r="N52" s="122">
        <f t="shared" si="12"/>
        <v>0</v>
      </c>
      <c r="O52" s="122">
        <f t="shared" si="12"/>
        <v>0</v>
      </c>
    </row>
    <row r="53" spans="1:87" hidden="1" x14ac:dyDescent="0.55000000000000004">
      <c r="B53" s="165" t="s">
        <v>1789</v>
      </c>
      <c r="C53" s="166"/>
      <c r="D53" s="123">
        <f>D49*D50</f>
        <v>0</v>
      </c>
      <c r="E53" s="123">
        <f t="shared" ref="E53:O53" si="13">E49*E50</f>
        <v>0</v>
      </c>
      <c r="F53" s="123">
        <f t="shared" si="13"/>
        <v>0</v>
      </c>
      <c r="G53" s="123">
        <f t="shared" si="13"/>
        <v>0</v>
      </c>
      <c r="H53" s="123">
        <f t="shared" si="13"/>
        <v>0</v>
      </c>
      <c r="I53" s="123">
        <f t="shared" si="13"/>
        <v>0</v>
      </c>
      <c r="J53" s="123">
        <f t="shared" si="13"/>
        <v>0</v>
      </c>
      <c r="K53" s="123">
        <f t="shared" si="13"/>
        <v>0</v>
      </c>
      <c r="L53" s="123">
        <f t="shared" si="13"/>
        <v>0</v>
      </c>
      <c r="M53" s="123">
        <f t="shared" si="13"/>
        <v>0</v>
      </c>
      <c r="N53" s="123">
        <f t="shared" si="13"/>
        <v>0</v>
      </c>
      <c r="O53" s="123">
        <f t="shared" si="13"/>
        <v>0</v>
      </c>
    </row>
    <row r="54" spans="1:87" hidden="1" x14ac:dyDescent="0.55000000000000004">
      <c r="B54" s="54" t="s">
        <v>736</v>
      </c>
      <c r="C54" s="55"/>
      <c r="D54" s="49">
        <f t="shared" ref="D54:N54" si="14">COUNTIF(D44:D47, "&lt;&gt;0")</f>
        <v>0</v>
      </c>
      <c r="E54" s="49">
        <f t="shared" si="14"/>
        <v>0</v>
      </c>
      <c r="F54" s="49">
        <f t="shared" si="14"/>
        <v>0</v>
      </c>
      <c r="G54" s="49">
        <f t="shared" si="14"/>
        <v>0</v>
      </c>
      <c r="H54" s="49">
        <f t="shared" si="14"/>
        <v>0</v>
      </c>
      <c r="I54" s="49">
        <f t="shared" si="14"/>
        <v>0</v>
      </c>
      <c r="J54" s="49">
        <f t="shared" si="14"/>
        <v>0</v>
      </c>
      <c r="K54" s="49">
        <f t="shared" si="14"/>
        <v>0</v>
      </c>
      <c r="L54" s="49">
        <f t="shared" si="14"/>
        <v>0</v>
      </c>
      <c r="M54" s="49">
        <f t="shared" si="14"/>
        <v>0</v>
      </c>
      <c r="N54" s="49">
        <f t="shared" si="14"/>
        <v>0</v>
      </c>
      <c r="O54" s="49">
        <f t="shared" ref="O54" si="15">COUNTIF(O44:O47, "&lt;&gt;0")</f>
        <v>0</v>
      </c>
    </row>
    <row r="55" spans="1:87" hidden="1" x14ac:dyDescent="0.55000000000000004">
      <c r="B55" s="46"/>
      <c r="C55" s="47"/>
      <c r="D55" s="40"/>
      <c r="E55" s="40"/>
      <c r="F55" s="40"/>
      <c r="G55" s="40"/>
      <c r="H55" s="40"/>
      <c r="I55" s="48"/>
      <c r="J55" s="48"/>
      <c r="K55" s="48"/>
      <c r="L55" s="48"/>
      <c r="M55" s="48"/>
      <c r="N55" s="48"/>
    </row>
    <row r="56" spans="1:87" x14ac:dyDescent="0.55000000000000004">
      <c r="C56" s="41"/>
      <c r="D56" s="41"/>
      <c r="E56" s="41"/>
    </row>
    <row r="57" spans="1:87" x14ac:dyDescent="0.55000000000000004">
      <c r="B57" s="169" t="s">
        <v>1601</v>
      </c>
      <c r="C57" s="170"/>
      <c r="D57" s="131" t="s">
        <v>290</v>
      </c>
      <c r="E57" s="131" t="s">
        <v>291</v>
      </c>
      <c r="F57" s="131" t="s">
        <v>292</v>
      </c>
      <c r="G57" s="131" t="s">
        <v>293</v>
      </c>
      <c r="H57" s="131" t="s">
        <v>294</v>
      </c>
      <c r="I57" s="131" t="s">
        <v>295</v>
      </c>
      <c r="J57" s="131" t="s">
        <v>296</v>
      </c>
      <c r="K57" s="131" t="s">
        <v>297</v>
      </c>
      <c r="L57" s="131" t="s">
        <v>298</v>
      </c>
      <c r="M57" s="131" t="s">
        <v>299</v>
      </c>
      <c r="N57" s="131" t="s">
        <v>300</v>
      </c>
      <c r="O57" s="131" t="s">
        <v>301</v>
      </c>
      <c r="P57" s="131" t="s">
        <v>302</v>
      </c>
      <c r="Q57" s="131" t="s">
        <v>303</v>
      </c>
      <c r="R57" s="131" t="s">
        <v>304</v>
      </c>
      <c r="S57" s="131" t="s">
        <v>305</v>
      </c>
      <c r="T57" s="131" t="s">
        <v>306</v>
      </c>
      <c r="U57" s="131" t="s">
        <v>307</v>
      </c>
      <c r="V57" s="131" t="s">
        <v>308</v>
      </c>
      <c r="W57" s="131" t="s">
        <v>309</v>
      </c>
      <c r="X57" s="131" t="s">
        <v>310</v>
      </c>
      <c r="Y57" s="131" t="s">
        <v>311</v>
      </c>
      <c r="Z57" s="131" t="s">
        <v>312</v>
      </c>
      <c r="AA57" s="131" t="s">
        <v>313</v>
      </c>
      <c r="AB57" s="131" t="s">
        <v>314</v>
      </c>
      <c r="AC57" s="131" t="s">
        <v>315</v>
      </c>
      <c r="AD57" s="131" t="s">
        <v>316</v>
      </c>
      <c r="AE57" s="131" t="s">
        <v>317</v>
      </c>
      <c r="AF57" s="131" t="s">
        <v>318</v>
      </c>
      <c r="AG57" s="131" t="s">
        <v>319</v>
      </c>
      <c r="AH57" s="131" t="s">
        <v>320</v>
      </c>
      <c r="AI57" s="131" t="s">
        <v>321</v>
      </c>
      <c r="AJ57" s="131" t="s">
        <v>322</v>
      </c>
      <c r="AK57" s="131" t="s">
        <v>323</v>
      </c>
      <c r="AL57" s="131" t="s">
        <v>324</v>
      </c>
      <c r="AM57" s="131" t="s">
        <v>325</v>
      </c>
      <c r="AN57" s="131" t="s">
        <v>326</v>
      </c>
      <c r="AO57" s="131" t="s">
        <v>327</v>
      </c>
    </row>
    <row r="58" spans="1:87" x14ac:dyDescent="0.55000000000000004">
      <c r="A58" s="44"/>
      <c r="B58" s="176" t="s">
        <v>288</v>
      </c>
      <c r="C58" s="37" t="s">
        <v>283</v>
      </c>
      <c r="D58" s="38">
        <f>COUNTIF('PF327'!Y10:Y335,"PWM0_0")</f>
        <v>0</v>
      </c>
      <c r="E58" s="38">
        <f>COUNTIF('PF327'!Y10:Y335,"PWM0_1")</f>
        <v>0</v>
      </c>
      <c r="F58" s="38">
        <f>COUNTIF('PF327'!Y10:Y335,"PWM0_2")</f>
        <v>0</v>
      </c>
      <c r="G58" s="38">
        <f>COUNTIF('PF327'!Y10:Y335,"PWM0_3")</f>
        <v>0</v>
      </c>
      <c r="H58" s="38">
        <f>COUNTIF('PF327'!Y10:Y335,"PWM0_4")</f>
        <v>0</v>
      </c>
      <c r="I58" s="38">
        <f>COUNTIF('PF327'!Y10:Y335,"PWM0_5")</f>
        <v>0</v>
      </c>
      <c r="J58" s="38">
        <f>COUNTIF('PF327'!Y10:Y335,"PWM0_6")</f>
        <v>0</v>
      </c>
      <c r="K58" s="38">
        <f>COUNTIF('PF327'!Y10:Y335,"PWM0_7")</f>
        <v>0</v>
      </c>
      <c r="L58" s="38">
        <f>COUNTIF('PF327'!Y10:Y335,"PWM0_8")</f>
        <v>0</v>
      </c>
      <c r="M58" s="38">
        <f>COUNTIF('PF327'!Y10:Y335,"PWM0_9")</f>
        <v>0</v>
      </c>
      <c r="N58" s="38">
        <f>COUNTIF('PF327'!Y10:Y335,"PWM0_10")</f>
        <v>0</v>
      </c>
      <c r="O58" s="38">
        <f>COUNTIF('PF327'!Y10:Y335,"PWM0_11")</f>
        <v>0</v>
      </c>
      <c r="P58" s="38">
        <f>COUNTIF('PF327'!Y10:Y335,"PWM0_12")</f>
        <v>0</v>
      </c>
      <c r="Q58" s="38">
        <f>COUNTIF('PF327'!Y10:Y335,"PWM0_13")</f>
        <v>0</v>
      </c>
      <c r="R58" s="38">
        <f>COUNTIF('PF327'!Y10:Y335,"PWM0_14")</f>
        <v>0</v>
      </c>
      <c r="S58" s="38">
        <f>COUNTIF('PF327'!Y10:Y335,"PWM0_15")</f>
        <v>0</v>
      </c>
      <c r="T58" s="38">
        <f>COUNTIF('PF327'!Y10:Y335,"PWM0_16")</f>
        <v>0</v>
      </c>
      <c r="U58" s="38">
        <f>COUNTIF('PF327'!Y10:Y335,"PWM0_17")</f>
        <v>0</v>
      </c>
      <c r="V58" s="38">
        <f>COUNTIF('PF327'!Y10:Y335,"PWM0_18")</f>
        <v>0</v>
      </c>
      <c r="W58" s="38">
        <f>COUNTIF('PF327'!Y10:Y335,"PWM0_19")</f>
        <v>0</v>
      </c>
      <c r="X58" s="38">
        <f>COUNTIF('PF327'!Y10:Y335,"PWM0_20")</f>
        <v>0</v>
      </c>
      <c r="Y58" s="38">
        <f>COUNTIF('PF327'!Y10:Y335,"PWM0_21")</f>
        <v>0</v>
      </c>
      <c r="Z58" s="38">
        <f>COUNTIF('PF327'!Y10:Y335,"PWM0_22")</f>
        <v>0</v>
      </c>
      <c r="AA58" s="38">
        <f>COUNTIF('PF327'!Y10:Y335,"PWM0_23")</f>
        <v>0</v>
      </c>
      <c r="AB58" s="38">
        <f>COUNTIF('PF327'!Y10:Y335,"PWM0_24")</f>
        <v>0</v>
      </c>
      <c r="AC58" s="38">
        <f>COUNTIF('PF327'!Y10:Y335,"PWM0_25")</f>
        <v>0</v>
      </c>
      <c r="AD58" s="38">
        <f>COUNTIF('PF327'!Y10:Y335,"PWM0_26")</f>
        <v>0</v>
      </c>
      <c r="AE58" s="38">
        <f>COUNTIF('PF327'!Y10:Y335,"PWM0_27")</f>
        <v>0</v>
      </c>
      <c r="AF58" s="38">
        <f>COUNTIF('PF327'!Y10:Y335,"PWM0_28")</f>
        <v>0</v>
      </c>
      <c r="AG58" s="38">
        <f>COUNTIF('PF327'!Y10:Y335,"PWM0_29")</f>
        <v>0</v>
      </c>
      <c r="AH58" s="38">
        <f>COUNTIF('PF327'!Y10:Y335,"PWM0_30")</f>
        <v>0</v>
      </c>
      <c r="AI58" s="38">
        <f>COUNTIF('PF327'!Y10:Y335,"PWM0_31")</f>
        <v>0</v>
      </c>
      <c r="AJ58" s="38">
        <f>COUNTIF('PF327'!Y10:Y335,"PWM0_32")</f>
        <v>0</v>
      </c>
      <c r="AK58" s="38">
        <f>COUNTIF('PF327'!Y10:Y335,"PWM0_33")</f>
        <v>0</v>
      </c>
      <c r="AL58" s="38">
        <f>COUNTIF('PF327'!Y10:Y335,"PWM0_34")</f>
        <v>0</v>
      </c>
      <c r="AM58" s="38">
        <f>COUNTIF('PF327'!Y10:Y335,"PWM0_35")</f>
        <v>0</v>
      </c>
      <c r="AN58" s="38">
        <f>COUNTIF('PF327'!Y10:Y335,"PWM0_36")</f>
        <v>0</v>
      </c>
      <c r="AO58" s="38">
        <f>COUNTIF('PF327'!Y10:Y335,"PWM0_37")</f>
        <v>0</v>
      </c>
    </row>
    <row r="59" spans="1:87" x14ac:dyDescent="0.55000000000000004">
      <c r="B59" s="177"/>
      <c r="C59" s="37" t="s">
        <v>284</v>
      </c>
      <c r="D59" s="38">
        <f>COUNTIF('PF327'!Y10:Y335,"PWM0_0_N")</f>
        <v>0</v>
      </c>
      <c r="E59" s="38">
        <f>COUNTIF('PF327'!Y10:Y335,"PWM0_1_N")</f>
        <v>0</v>
      </c>
      <c r="F59" s="38">
        <f>COUNTIF('PF327'!Y10:Y335,"PWM0_2_N")</f>
        <v>0</v>
      </c>
      <c r="G59" s="38">
        <f>COUNTIF('PF327'!Y10:Y335,"PWM0_2_N")</f>
        <v>0</v>
      </c>
      <c r="H59" s="38">
        <f>COUNTIF('PF327'!Y10:Y335,"PWM0_4_N")</f>
        <v>0</v>
      </c>
      <c r="I59" s="38">
        <f>COUNTIF('PF327'!Y10:Y335,"PWM0_5_N")</f>
        <v>0</v>
      </c>
      <c r="J59" s="38">
        <f>COUNTIF('PF327'!Y10:Y335,"PWM0_6_N")</f>
        <v>0</v>
      </c>
      <c r="K59" s="38">
        <f>COUNTIF('PF327'!Y10:Y335,"PWM0_7_N")</f>
        <v>0</v>
      </c>
      <c r="L59" s="38">
        <f>COUNTIF('PF327'!Y10:Y335,"PWM0_8_N")</f>
        <v>0</v>
      </c>
      <c r="M59" s="38">
        <f>COUNTIF('PF327'!Y10:Y335,"PWM0_9_N")</f>
        <v>0</v>
      </c>
      <c r="N59" s="38">
        <f>COUNTIF('PF327'!Y10:Y335,"PWM0_10_N")</f>
        <v>0</v>
      </c>
      <c r="O59" s="38">
        <f>COUNTIF('PF327'!Y10:Y335,"PWM0_11_N")</f>
        <v>0</v>
      </c>
      <c r="P59" s="38">
        <f>COUNTIF('PF327'!Y10:Y335,"PWM0_12_N")</f>
        <v>0</v>
      </c>
      <c r="Q59" s="38">
        <f>COUNTIF('PF327'!Y10:Y335,"PWM0_13_N")</f>
        <v>0</v>
      </c>
      <c r="R59" s="38">
        <f>COUNTIF('PF327'!Y10:Y335,"PWM0_14_N")</f>
        <v>0</v>
      </c>
      <c r="S59" s="38">
        <f>COUNTIF('PF327'!Y10:Y335,"PWM0_15_N")</f>
        <v>0</v>
      </c>
      <c r="T59" s="38">
        <f>COUNTIF('PF327'!Y10:Y335,"PWM0_16_N")</f>
        <v>0</v>
      </c>
      <c r="U59" s="38">
        <f>COUNTIF('PF327'!Y10:Y335,"PWM0_17_N")</f>
        <v>0</v>
      </c>
      <c r="V59" s="38">
        <f>COUNTIF('PF327'!Y10:Y335,"PWM0_18_N")</f>
        <v>0</v>
      </c>
      <c r="W59" s="38">
        <f>COUNTIF('PF327'!Y10:Y335,"PWM0_19_N")</f>
        <v>0</v>
      </c>
      <c r="X59" s="38">
        <f>COUNTIF('PF327'!Y10:Y335,"PWM0_20_N")</f>
        <v>0</v>
      </c>
      <c r="Y59" s="38">
        <f>COUNTIF('PF327'!Y10:Y335,"PWM0_21_N")</f>
        <v>0</v>
      </c>
      <c r="Z59" s="38">
        <f>COUNTIF('PF327'!Y10:Y335,"PWM0_22_N")</f>
        <v>0</v>
      </c>
      <c r="AA59" s="38">
        <f>COUNTIF('PF327'!Y10:Y335,"PWM0_23_N")</f>
        <v>0</v>
      </c>
      <c r="AB59" s="38">
        <f>COUNTIF('PF327'!Y10:Y335,"PWM0_24_N")</f>
        <v>0</v>
      </c>
      <c r="AC59" s="38">
        <f>COUNTIF('PF327'!Y10:Y335,"PWM0_25_N")</f>
        <v>0</v>
      </c>
      <c r="AD59" s="38">
        <f>COUNTIF('PF327'!Y10:Y335,"PWM0_26_N")</f>
        <v>0</v>
      </c>
      <c r="AE59" s="38">
        <f>COUNTIF('PF327'!Y10:Y335,"PWM0_27_N")</f>
        <v>0</v>
      </c>
      <c r="AF59" s="38">
        <f>COUNTIF('PF327'!Y10:Y335,"PWM0_28_N")</f>
        <v>0</v>
      </c>
      <c r="AG59" s="38">
        <f>COUNTIF('PF327'!Y10:Y335,"PWM0_29_N")</f>
        <v>0</v>
      </c>
      <c r="AH59" s="38">
        <f>COUNTIF('PF327'!Y10:Y335,"PWM0_30_N")</f>
        <v>0</v>
      </c>
      <c r="AI59" s="38">
        <f>COUNTIF('PF327'!Y10:Y335,"PWM0_31_N")</f>
        <v>0</v>
      </c>
      <c r="AJ59" s="38">
        <f>COUNTIF('PF327'!Y10:Y335,"PWM0_32_N")</f>
        <v>0</v>
      </c>
      <c r="AK59" s="38">
        <f>COUNTIF('PF327'!Y10:Y335,"PWM0_33_N")</f>
        <v>0</v>
      </c>
      <c r="AL59" s="38">
        <f>COUNTIF('PF327'!Y10:Y335,"PWM0_34_N")</f>
        <v>0</v>
      </c>
      <c r="AM59" s="38">
        <f>COUNTIF('PF327'!Y10:Y335,"PWM0_35_N")</f>
        <v>0</v>
      </c>
      <c r="AN59" s="38">
        <f>COUNTIF('PF327'!Y10:Y335,"PWM0_36_N")</f>
        <v>0</v>
      </c>
      <c r="AO59" s="38">
        <f>COUNTIF('PF327'!Y10:Y335,"PWM0_37_N")</f>
        <v>0</v>
      </c>
    </row>
    <row r="60" spans="1:87" ht="20" x14ac:dyDescent="0.55000000000000004">
      <c r="B60" s="105" t="s">
        <v>289</v>
      </c>
      <c r="C60" s="37" t="s">
        <v>1637</v>
      </c>
      <c r="D60" s="38">
        <f>COUNTIF('PF327'!Y10:Y335,"TC0_0_TR")</f>
        <v>0</v>
      </c>
      <c r="E60" s="38">
        <f>COUNTIF('PF327'!Y10:Y335,"TC0_1_TR")</f>
        <v>0</v>
      </c>
      <c r="F60" s="38">
        <f>COUNTIF('PF327'!Y10:Y335,"TC0_2_TR")</f>
        <v>0</v>
      </c>
      <c r="G60" s="38">
        <f>COUNTIF('PF327'!Y10:Y335,"TC0_3_TR")</f>
        <v>0</v>
      </c>
      <c r="H60" s="38">
        <f>COUNTIF('PF327'!Y10:Y335,"TC0_4_TR")</f>
        <v>0</v>
      </c>
      <c r="I60" s="38">
        <f>COUNTIF('PF327'!Y10:Y335,"TC0_5_TR")</f>
        <v>0</v>
      </c>
      <c r="J60" s="38">
        <f>COUNTIF('PF327'!Y10:Y335,"TC0_6_TR")</f>
        <v>0</v>
      </c>
      <c r="K60" s="38">
        <f>COUNTIF('PF327'!Y10:Y335,"TC0_7_TR")</f>
        <v>0</v>
      </c>
      <c r="L60" s="38">
        <f>COUNTIF('PF327'!Y10:Y335,"TC0_8_TR")</f>
        <v>0</v>
      </c>
      <c r="M60" s="38">
        <f>COUNTIF('PF327'!Y10:Y335,"TC0_9_TR")</f>
        <v>0</v>
      </c>
      <c r="N60" s="38">
        <f>COUNTIF('PF327'!Y10:Y335,"TC0_10_TR")</f>
        <v>0</v>
      </c>
      <c r="O60" s="38">
        <f>COUNTIF('PF327'!Y10:Y335,"TC0_11_TR")</f>
        <v>0</v>
      </c>
      <c r="P60" s="38">
        <f>COUNTIF('PF327'!Y10:Y335,"TC0_12_TR")</f>
        <v>0</v>
      </c>
      <c r="Q60" s="38">
        <f>COUNTIF('PF327'!Y10:Y335,"TC0_13_TR")</f>
        <v>0</v>
      </c>
      <c r="R60" s="38">
        <f>COUNTIF('PF327'!Y10:Y335,"TC0_14_TR")</f>
        <v>0</v>
      </c>
      <c r="S60" s="38">
        <f>COUNTIF('PF327'!Y10:Y335,"TC0_15_TR")</f>
        <v>0</v>
      </c>
      <c r="T60" s="38">
        <f>COUNTIF('PF327'!Y10:Y335,"TC0_16_TR")</f>
        <v>0</v>
      </c>
      <c r="U60" s="38">
        <f>COUNTIF('PF327'!Y10:Y335,"TC0_17_TR")</f>
        <v>0</v>
      </c>
      <c r="V60" s="38">
        <f>COUNTIF('PF327'!Y10:Y335,"TC0_18_TR")</f>
        <v>0</v>
      </c>
      <c r="W60" s="38">
        <f>COUNTIF('PF327'!Y10:Y335,"TC0_19_TR")</f>
        <v>0</v>
      </c>
      <c r="X60" s="38">
        <f>COUNTIF('PF327'!Y10:Y335,"TC0_20_TR")</f>
        <v>0</v>
      </c>
      <c r="Y60" s="38">
        <f>COUNTIF('PF327'!Y10:Y335,"TC0_21_TR")</f>
        <v>0</v>
      </c>
      <c r="Z60" s="38">
        <f>COUNTIF('PF327'!Y10:Y335,"TC0_22_TR")</f>
        <v>0</v>
      </c>
      <c r="AA60" s="38">
        <f>COUNTIF('PF327'!Y10:Y335,"TC0_23_TR")</f>
        <v>0</v>
      </c>
      <c r="AB60" s="38">
        <f>COUNTIF('PF327'!Y10:Y335,"TC0_24_TR")</f>
        <v>0</v>
      </c>
      <c r="AC60" s="38">
        <f>COUNTIF('PF327'!Y10:Y335,"TC0_25_TR")</f>
        <v>0</v>
      </c>
      <c r="AD60" s="38">
        <f>COUNTIF('PF327'!Y10:Y335,"TC0_26_TR")</f>
        <v>0</v>
      </c>
      <c r="AE60" s="38">
        <f>COUNTIF('PF327'!Y10:Y335,"TC0_27_TR")</f>
        <v>0</v>
      </c>
      <c r="AF60" s="38">
        <f>COUNTIF('PF327'!Y10:Y335,"TC0_28_TR")</f>
        <v>0</v>
      </c>
      <c r="AG60" s="38">
        <f>COUNTIF('PF327'!Y10:Y335,"TC0_29_TR")</f>
        <v>0</v>
      </c>
      <c r="AH60" s="38">
        <f>COUNTIF('PF327'!Y10:Y335,"TC0_30_TR")</f>
        <v>0</v>
      </c>
      <c r="AI60" s="38">
        <f>COUNTIF('PF327'!Y10:Y335,"TC0_31_TR")</f>
        <v>0</v>
      </c>
      <c r="AJ60" s="38">
        <f>COUNTIF('PF327'!Y10:Y335,"TC0_32_TR")</f>
        <v>0</v>
      </c>
      <c r="AK60" s="38">
        <f>COUNTIF('PF327'!Y10:Y335,"TC0_33_TR")</f>
        <v>0</v>
      </c>
      <c r="AL60" s="38">
        <f>COUNTIF('PF327'!Y10:Y335,"TC0_34_TR")</f>
        <v>0</v>
      </c>
      <c r="AM60" s="38">
        <f>COUNTIF('PF327'!Y10:Y335,"TC0_35_TR")</f>
        <v>0</v>
      </c>
      <c r="AN60" s="38">
        <f>COUNTIF('PF327'!Y10:Y335,"TC0_36_TR")</f>
        <v>0</v>
      </c>
      <c r="AO60" s="38">
        <f>COUNTIF('PF327'!Y10:Y335,"TC0_37_TR")</f>
        <v>0</v>
      </c>
    </row>
    <row r="62" spans="1:87" x14ac:dyDescent="0.55000000000000004">
      <c r="B62" s="56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</row>
    <row r="63" spans="1:87" x14ac:dyDescent="0.55000000000000004">
      <c r="B63" s="169" t="s">
        <v>1602</v>
      </c>
      <c r="C63" s="170"/>
      <c r="D63" s="94" t="s">
        <v>290</v>
      </c>
      <c r="E63" s="94" t="s">
        <v>291</v>
      </c>
      <c r="F63" s="94" t="s">
        <v>292</v>
      </c>
      <c r="G63" s="104" t="s">
        <v>293</v>
      </c>
      <c r="H63" s="104" t="s">
        <v>294</v>
      </c>
      <c r="I63" s="104" t="s">
        <v>295</v>
      </c>
      <c r="J63" s="104" t="s">
        <v>296</v>
      </c>
      <c r="K63" s="104" t="s">
        <v>297</v>
      </c>
      <c r="L63" s="104" t="s">
        <v>298</v>
      </c>
      <c r="M63" s="104" t="s">
        <v>299</v>
      </c>
      <c r="N63" s="104" t="s">
        <v>300</v>
      </c>
      <c r="O63" s="104" t="s">
        <v>301</v>
      </c>
    </row>
    <row r="64" spans="1:87" x14ac:dyDescent="0.55000000000000004">
      <c r="A64" s="44"/>
      <c r="B64" s="176" t="s">
        <v>288</v>
      </c>
      <c r="C64" s="37" t="s">
        <v>283</v>
      </c>
      <c r="D64" s="38">
        <f>COUNTIF('PF327'!Y10:Y335,"PWM0_M_0")</f>
        <v>0</v>
      </c>
      <c r="E64" s="38">
        <f>COUNTIF('PF327'!Y10:Y335,"PWM0_M_1")</f>
        <v>0</v>
      </c>
      <c r="F64" s="38">
        <f>COUNTIF('PF327'!Y10:Y335,"PWM0_M_2")</f>
        <v>0</v>
      </c>
      <c r="G64" s="38">
        <f>COUNTIF('PF327'!Y10:Y335,"PWM0_M_3")</f>
        <v>0</v>
      </c>
      <c r="H64" s="38">
        <f>COUNTIF('PF327'!Y10:Y335,"PWM0_M_4")</f>
        <v>0</v>
      </c>
      <c r="I64" s="38">
        <f>COUNTIF('PF327'!Y10:Y335,"PWM0_M_5")</f>
        <v>0</v>
      </c>
      <c r="J64" s="38">
        <f>COUNTIF('PF327'!Y10:Y335,"PWM0_M_6")</f>
        <v>0</v>
      </c>
      <c r="K64" s="38">
        <f>COUNTIF('PF327'!Y10:Y335,"PWM0_M_7")</f>
        <v>0</v>
      </c>
      <c r="L64" s="38">
        <f>COUNTIF('PF327'!Y10:Y335,"PWM0_M_8")</f>
        <v>0</v>
      </c>
      <c r="M64" s="38">
        <f>COUNTIF('PF327'!Y10:Y335,"PWM0_M_9")</f>
        <v>0</v>
      </c>
      <c r="N64" s="38">
        <f>COUNTIF('PF327'!Y10:Y335,"PWM0_M_10")</f>
        <v>0</v>
      </c>
      <c r="O64" s="38">
        <f>COUNTIF('PF327'!Y10:Y335,"PWM0_M_11")</f>
        <v>0</v>
      </c>
    </row>
    <row r="65" spans="1:58" x14ac:dyDescent="0.55000000000000004">
      <c r="B65" s="177"/>
      <c r="C65" s="37" t="s">
        <v>284</v>
      </c>
      <c r="D65" s="38">
        <f>COUNTIF('PF327'!Y10:Y335,"PWM0_M_0_N")</f>
        <v>0</v>
      </c>
      <c r="E65" s="38">
        <f>COUNTIF('PF327'!Y10:Y335,"PWM0_M_1_N")</f>
        <v>0</v>
      </c>
      <c r="F65" s="38">
        <f>COUNTIF('PF327'!Y10:Y335,"PWM0_M_2_N")</f>
        <v>0</v>
      </c>
      <c r="G65" s="38">
        <f>COUNTIF('PF327'!Y10:Y335,"PWM0_M_3_N")</f>
        <v>0</v>
      </c>
      <c r="H65" s="38">
        <f>COUNTIF('PF327'!Y10:Y335,"PWM0_M_4_N")</f>
        <v>0</v>
      </c>
      <c r="I65" s="38">
        <f>COUNTIF('PF327'!Y10:Y335,"PWM0_M_5_N")</f>
        <v>0</v>
      </c>
      <c r="J65" s="38">
        <f>COUNTIF('PF327'!Y10:Y335,"PWM0_M_6_N")</f>
        <v>0</v>
      </c>
      <c r="K65" s="38">
        <f>COUNTIF('PF327'!Y10:Y335,"PWM0_M_7_N")</f>
        <v>0</v>
      </c>
      <c r="L65" s="38">
        <f>COUNTIF('PF327'!Y10:Y335,"PWM0_M_8_N")</f>
        <v>0</v>
      </c>
      <c r="M65" s="38">
        <f>COUNTIF('PF327'!Y10:Y335,"PWM0_M_9_N")</f>
        <v>0</v>
      </c>
      <c r="N65" s="38">
        <f>COUNTIF('PF327'!Y10:Y335,"PWM0_M_10_N")</f>
        <v>0</v>
      </c>
      <c r="O65" s="38">
        <f>COUNTIF('PF327'!Y10:Y335,"PWM0_M_11_N")</f>
        <v>0</v>
      </c>
    </row>
    <row r="67" spans="1:58" x14ac:dyDescent="0.55000000000000004">
      <c r="B67" s="56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</row>
    <row r="68" spans="1:58" x14ac:dyDescent="0.55000000000000004">
      <c r="B68" s="169" t="s">
        <v>1603</v>
      </c>
      <c r="C68" s="170"/>
      <c r="D68" s="131" t="s">
        <v>290</v>
      </c>
      <c r="E68" s="131" t="s">
        <v>291</v>
      </c>
      <c r="F68" s="131" t="s">
        <v>292</v>
      </c>
      <c r="G68" s="131" t="s">
        <v>293</v>
      </c>
      <c r="H68" s="131" t="s">
        <v>294</v>
      </c>
      <c r="I68" s="131" t="s">
        <v>295</v>
      </c>
      <c r="J68" s="131" t="s">
        <v>296</v>
      </c>
      <c r="K68" s="131" t="s">
        <v>297</v>
      </c>
      <c r="L68" s="131" t="s">
        <v>298</v>
      </c>
      <c r="M68" s="131" t="s">
        <v>1604</v>
      </c>
      <c r="N68" s="131" t="s">
        <v>300</v>
      </c>
      <c r="O68" s="131" t="s">
        <v>301</v>
      </c>
      <c r="P68" s="131" t="s">
        <v>302</v>
      </c>
      <c r="Q68" s="131" t="s">
        <v>303</v>
      </c>
      <c r="R68" s="131" t="s">
        <v>304</v>
      </c>
      <c r="S68" s="131" t="s">
        <v>305</v>
      </c>
      <c r="T68" s="131" t="s">
        <v>306</v>
      </c>
      <c r="U68" s="131" t="s">
        <v>307</v>
      </c>
      <c r="V68" s="131" t="s">
        <v>308</v>
      </c>
      <c r="W68" s="131" t="s">
        <v>309</v>
      </c>
      <c r="X68" s="131" t="s">
        <v>310</v>
      </c>
      <c r="Y68" s="131" t="s">
        <v>311</v>
      </c>
      <c r="Z68" s="131" t="s">
        <v>312</v>
      </c>
      <c r="AA68" s="131" t="s">
        <v>313</v>
      </c>
      <c r="AB68" s="131" t="s">
        <v>314</v>
      </c>
      <c r="AC68" s="131" t="s">
        <v>315</v>
      </c>
      <c r="AD68" s="131" t="s">
        <v>316</v>
      </c>
      <c r="AE68" s="131" t="s">
        <v>317</v>
      </c>
      <c r="AF68" s="131" t="s">
        <v>318</v>
      </c>
      <c r="AG68" s="131" t="s">
        <v>319</v>
      </c>
      <c r="AH68" s="131" t="s">
        <v>320</v>
      </c>
      <c r="AI68" s="131" t="s">
        <v>321</v>
      </c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</row>
    <row r="69" spans="1:58" x14ac:dyDescent="0.55000000000000004">
      <c r="A69" s="44"/>
      <c r="B69" s="176" t="s">
        <v>288</v>
      </c>
      <c r="C69" s="37" t="s">
        <v>283</v>
      </c>
      <c r="D69" s="38">
        <f>COUNTIF('PF327'!Y10:Y335,"PWM0_H_0")</f>
        <v>0</v>
      </c>
      <c r="E69" s="38">
        <f>COUNTIF('PF327'!Y10:Y335,"PWM0_H_1")</f>
        <v>0</v>
      </c>
      <c r="F69" s="38">
        <f>COUNTIF('PF327'!Y10:Y335,"PWM0_H_2")</f>
        <v>0</v>
      </c>
      <c r="G69" s="38">
        <f>COUNTIF('PF327'!Y10:Y335,"PWM0_H_3")</f>
        <v>0</v>
      </c>
      <c r="H69" s="38">
        <f>COUNTIF('PF327'!Y10:Y335,"PWM0_H_4")</f>
        <v>0</v>
      </c>
      <c r="I69" s="38">
        <f>COUNTIF('PF327'!Y10:Y335,"PWM0_H_5")</f>
        <v>0</v>
      </c>
      <c r="J69" s="38">
        <f>COUNTIF('PF327'!Y10:Y335,"PWM0_H_6")</f>
        <v>0</v>
      </c>
      <c r="K69" s="38">
        <f>COUNTIF('PF327'!Y10:Y335,"PWM0_H_7")</f>
        <v>0</v>
      </c>
      <c r="L69" s="38">
        <f>COUNTIF('PF327'!Y10:Y335,"PWM0_H_8")</f>
        <v>0</v>
      </c>
      <c r="M69" s="38">
        <f>COUNTIF('PF327'!Y10:Y335,"PWM0_H_9")</f>
        <v>0</v>
      </c>
      <c r="N69" s="38">
        <f>COUNTIF('PF327'!Y10:Y335,"PWM0_H_10")</f>
        <v>0</v>
      </c>
      <c r="O69" s="38">
        <f>COUNTIF('PF327'!Y10:Y335,"PWM0_H_11")</f>
        <v>0</v>
      </c>
      <c r="P69" s="38">
        <f>COUNTIF('PF327'!Y10:Y335,"PWM0_H_12")</f>
        <v>0</v>
      </c>
      <c r="Q69" s="38">
        <f>COUNTIF('PF327'!Y10:Y335,"PWM0_H_13")</f>
        <v>0</v>
      </c>
      <c r="R69" s="38">
        <f>COUNTIF('PF327'!Y10:Y335,"PWM0_H_14")</f>
        <v>0</v>
      </c>
      <c r="S69" s="38">
        <f>COUNTIF('PF327'!Y10:Y335,"PWM0_H_15")</f>
        <v>0</v>
      </c>
      <c r="T69" s="38">
        <f>COUNTIF('PF327'!Y10:Y335,"PWM0_H_16")</f>
        <v>0</v>
      </c>
      <c r="U69" s="38">
        <f>COUNTIF('PF327'!Y10:Y335,"PWM0_H_17")</f>
        <v>0</v>
      </c>
      <c r="V69" s="38">
        <f>COUNTIF('PF327'!Y10:Y335,"PWM0_H_18")</f>
        <v>0</v>
      </c>
      <c r="W69" s="38">
        <f>COUNTIF('PF327'!Y10:Y335,"PWM0_H_19")</f>
        <v>0</v>
      </c>
      <c r="X69" s="38">
        <f>COUNTIF('PF327'!Y10:Y335,"PWM0_H_20")</f>
        <v>0</v>
      </c>
      <c r="Y69" s="38">
        <f>COUNTIF('PF327'!Y10:Y335,"PWM0_H_21")</f>
        <v>0</v>
      </c>
      <c r="Z69" s="38">
        <f>COUNTIF('PF327'!Y10:Y335,"PWM0_H_22")</f>
        <v>0</v>
      </c>
      <c r="AA69" s="38">
        <f>COUNTIF('PF327'!Y10:Y335,"PWM0_H_23")</f>
        <v>0</v>
      </c>
      <c r="AB69" s="38">
        <f>COUNTIF('PF327'!Y10:Y335,"PWM0_H_24")</f>
        <v>0</v>
      </c>
      <c r="AC69" s="38">
        <f>COUNTIF('PF327'!Y10:Y335,"PWM0_H_25")</f>
        <v>0</v>
      </c>
      <c r="AD69" s="38">
        <f>COUNTIF('PF327'!Y10:Y335,"PWM0_H_26")</f>
        <v>0</v>
      </c>
      <c r="AE69" s="38">
        <f>COUNTIF('PF327'!Y10:Y335,"PWM0_H_27")</f>
        <v>0</v>
      </c>
      <c r="AF69" s="38">
        <f>COUNTIF('PF327'!Y10:Y335,"PWM0_H_28")</f>
        <v>0</v>
      </c>
      <c r="AG69" s="38">
        <f>COUNTIF('PF327'!Y10:Y335,"PWM0_H_29")</f>
        <v>0</v>
      </c>
      <c r="AH69" s="38">
        <f>COUNTIF('PF327'!Y10:Y335,"PWM0_H_30")</f>
        <v>0</v>
      </c>
      <c r="AI69" s="38">
        <f>COUNTIF('PF327'!Y10:Y335,"PWM0_H_31")</f>
        <v>0</v>
      </c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</row>
    <row r="70" spans="1:58" x14ac:dyDescent="0.55000000000000004">
      <c r="B70" s="177"/>
      <c r="C70" s="37" t="s">
        <v>284</v>
      </c>
      <c r="D70" s="38">
        <f>COUNTIF('PF327'!Y10:Y335,"PWM0_H_0_N")</f>
        <v>0</v>
      </c>
      <c r="E70" s="38">
        <f>COUNTIF('PF327'!Y10:Y335,"PWM0_H_1_N")</f>
        <v>0</v>
      </c>
      <c r="F70" s="38">
        <f>COUNTIF('PF327'!Y10:Y335,"PWM0_H_2_N")</f>
        <v>0</v>
      </c>
      <c r="G70" s="38">
        <f>COUNTIF('PF327'!Y10:Y335,"PWM0_H_3_N")</f>
        <v>0</v>
      </c>
      <c r="H70" s="38">
        <f>COUNTIF('PF327'!Y10:Y335,"PWM0_H_4_N")</f>
        <v>0</v>
      </c>
      <c r="I70" s="38">
        <f>COUNTIF('PF327'!Y10:Y335,"PWM0_H_5_N")</f>
        <v>0</v>
      </c>
      <c r="J70" s="38">
        <f>COUNTIF('PF327'!Y10:Y335,"PWM0_H_6_N")</f>
        <v>0</v>
      </c>
      <c r="K70" s="38">
        <f>COUNTIF('PF327'!Y10:Y335,"PWM0_H_7_N")</f>
        <v>0</v>
      </c>
      <c r="L70" s="38">
        <f>COUNTIF('PF327'!Y10:Y335,"PWM0_H_8_N")</f>
        <v>0</v>
      </c>
      <c r="M70" s="38">
        <f>COUNTIF('PF327'!Y10:Y335,"PWM0_H_9_N")</f>
        <v>0</v>
      </c>
      <c r="N70" s="38">
        <f>COUNTIF('PF327'!Y10:Y335,"PWM0_H_10_N")</f>
        <v>0</v>
      </c>
      <c r="O70" s="38">
        <f>COUNTIF('PF327'!Y10:Y335,"PWM0_H_11_N")</f>
        <v>0</v>
      </c>
      <c r="P70" s="38">
        <f>COUNTIF('PF327'!Y10:Y335,"PWM0_H_12_N")</f>
        <v>0</v>
      </c>
      <c r="Q70" s="38">
        <f>COUNTIF('PF327'!Y10:Y335,"PWM0_H_13_N")</f>
        <v>0</v>
      </c>
      <c r="R70" s="38">
        <f>COUNTIF('PF327'!Y10:Y335,"PWM0_H_14_N")</f>
        <v>0</v>
      </c>
      <c r="S70" s="38">
        <f>COUNTIF('PF327'!Y10:Y335,"PWM0_H_15_N")</f>
        <v>0</v>
      </c>
      <c r="T70" s="38">
        <f>COUNTIF('PF327'!Y10:Y335,"PWM0_H_16_N")</f>
        <v>0</v>
      </c>
      <c r="U70" s="38">
        <f>COUNTIF('PF327'!Y10:Y335,"PWM0_H_17_N")</f>
        <v>0</v>
      </c>
      <c r="V70" s="38">
        <f>COUNTIF('PF327'!Y10:Y335,"PWM0_H_18_N")</f>
        <v>0</v>
      </c>
      <c r="W70" s="38">
        <f>COUNTIF('PF327'!Y10:Y335,"PWM0_H_19_N")</f>
        <v>0</v>
      </c>
      <c r="X70" s="38">
        <f>COUNTIF('PF327'!Y10:Y335,"PWM0_H_20_N")</f>
        <v>0</v>
      </c>
      <c r="Y70" s="38">
        <f>COUNTIF('PF327'!Y10:Y335,"PWM0_H_21_N")</f>
        <v>0</v>
      </c>
      <c r="Z70" s="38">
        <f>COUNTIF('PF327'!Y10:Y335,"PWM0_H_22_N")</f>
        <v>0</v>
      </c>
      <c r="AA70" s="38">
        <f>COUNTIF('PF327'!Y10:Y335,"PWM0_H_23_N")</f>
        <v>0</v>
      </c>
      <c r="AB70" s="38">
        <f>COUNTIF('PF327'!Y10:Y335,"PWM0_H_24_N")</f>
        <v>0</v>
      </c>
      <c r="AC70" s="38">
        <f>COUNTIF('PF327'!Y10:Y335,"PWM0_H_25_N")</f>
        <v>0</v>
      </c>
      <c r="AD70" s="38">
        <f>COUNTIF('PF327'!Y10:Y335,"PWM0_H_26_N")</f>
        <v>0</v>
      </c>
      <c r="AE70" s="38">
        <f>COUNTIF('PF327'!Y10:Y335,"PWM0_H_27_N")</f>
        <v>0</v>
      </c>
      <c r="AF70" s="38">
        <f>COUNTIF('PF327'!Y10:Y335,"PWM0_H_28_N")</f>
        <v>0</v>
      </c>
      <c r="AG70" s="38">
        <f>COUNTIF('PF327'!Y10:Y335,"PWM0_H_29_N")</f>
        <v>0</v>
      </c>
      <c r="AH70" s="38">
        <f>COUNTIF('PF327'!Y10:Y335,"PWM0_H_30_N")</f>
        <v>0</v>
      </c>
      <c r="AI70" s="38">
        <f>COUNTIF('PF327'!Y10:Y335,"PWM0_H_31_N")</f>
        <v>0</v>
      </c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</row>
    <row r="71" spans="1:58" ht="20" x14ac:dyDescent="0.55000000000000004">
      <c r="B71" s="105" t="s">
        <v>289</v>
      </c>
      <c r="C71" s="37" t="s">
        <v>1637</v>
      </c>
      <c r="D71" s="38">
        <f>COUNTIF('PF327'!Y10:Y335,"TC0_H_0_TR")</f>
        <v>0</v>
      </c>
      <c r="E71" s="38">
        <f>COUNTIF('PF327'!Y10:Y335,"TC0_H_1_TR")</f>
        <v>0</v>
      </c>
      <c r="F71" s="38">
        <f>COUNTIF('PF327'!Y10:Y335,"TC0_H_2_TR")</f>
        <v>0</v>
      </c>
      <c r="G71" s="38">
        <f>COUNTIF('PF327'!Y10:Y335,"TC0_H_3_TR")</f>
        <v>0</v>
      </c>
      <c r="H71" s="38">
        <f>COUNTIF('PF327'!Y10:Y335,"TC0_H_4_TR")</f>
        <v>0</v>
      </c>
      <c r="I71" s="38">
        <f>COUNTIF('PF327'!Y10:Y335,"TC0_H_5_TR")</f>
        <v>0</v>
      </c>
      <c r="J71" s="38">
        <f>COUNTIF('PF327'!Y10:Y335,"TC0_H_6_TR")</f>
        <v>0</v>
      </c>
      <c r="K71" s="38">
        <f>COUNTIF('PF327'!Y10:Y335,"TC0_H_7_TR")</f>
        <v>0</v>
      </c>
      <c r="L71" s="38">
        <f>COUNTIF('PF327'!Y10:Y335,"TC0_H_8_TR")</f>
        <v>0</v>
      </c>
      <c r="M71" s="38">
        <f>COUNTIF('PF327'!Y10:Y335,"TC0_H_9_TR")</f>
        <v>0</v>
      </c>
      <c r="N71" s="38">
        <f>COUNTIF('PF327'!Y10:Y335,"TC0_H_10_TR")</f>
        <v>0</v>
      </c>
      <c r="O71" s="38">
        <f>COUNTIF('PF327'!Y10:Y335,"TC0_H_11_TR")</f>
        <v>0</v>
      </c>
      <c r="P71" s="38">
        <f>COUNTIF('PF327'!Y10:Y335,"TC0_H_12_TR")</f>
        <v>0</v>
      </c>
      <c r="Q71" s="38">
        <f>COUNTIF('PF327'!Y10:Y335,"TC0_H_13_TR")</f>
        <v>0</v>
      </c>
      <c r="R71" s="38">
        <f>COUNTIF('PF327'!Y10:Y335,"TC0_H_14_TR")</f>
        <v>0</v>
      </c>
      <c r="S71" s="38">
        <f>COUNTIF('PF327'!Y10:Y335,"TC0_H_15_TR")</f>
        <v>0</v>
      </c>
      <c r="T71" s="38">
        <f>COUNTIF('PF327'!Y10:Y335,"TC0_H_16_TR")</f>
        <v>0</v>
      </c>
      <c r="U71" s="38">
        <f>COUNTIF('PF327'!Y10:Y335,"TC0_H_17_TR")</f>
        <v>0</v>
      </c>
      <c r="V71" s="38">
        <f>COUNTIF('PF327'!Y10:Y335,"TC0_H_18_TR")</f>
        <v>0</v>
      </c>
      <c r="W71" s="38">
        <f>COUNTIF('PF327'!Y10:Y335,"TC0_H_19_TR")</f>
        <v>0</v>
      </c>
      <c r="X71" s="38">
        <f>COUNTIF('PF327'!Y10:Y335,"TC0_H_20_TR")</f>
        <v>0</v>
      </c>
      <c r="Y71" s="38">
        <f>COUNTIF('PF327'!Y10:Y335,"TC0_H_21_TR")</f>
        <v>0</v>
      </c>
      <c r="Z71" s="38">
        <f>COUNTIF('PF327'!Y10:Y335,"TC0_H_22_TR")</f>
        <v>0</v>
      </c>
      <c r="AA71" s="38">
        <f>COUNTIF('PF327'!Y10:Y335,"TC0_H_23_TR")</f>
        <v>0</v>
      </c>
      <c r="AB71" s="38">
        <f>COUNTIF('PF327'!Y10:Y335,"TC0_H_24_TR")</f>
        <v>0</v>
      </c>
      <c r="AC71" s="38">
        <f>COUNTIF('PF327'!Y10:Y335,"TC0_H_25_TR")</f>
        <v>0</v>
      </c>
      <c r="AD71" s="38">
        <f>COUNTIF('PF327'!Y10:Y335,"TC0_H_26_TR")</f>
        <v>0</v>
      </c>
      <c r="AE71" s="38">
        <f>COUNTIF('PF327'!Y10:Y335,"TC0_H_27_TR")</f>
        <v>0</v>
      </c>
      <c r="AF71" s="38">
        <f>COUNTIF('PF327'!Y10:Y335,"TC0_H_28_TR")</f>
        <v>0</v>
      </c>
      <c r="AG71" s="38">
        <f>COUNTIF('PF327'!Y10:Y335,"TC0_H_29_TR")</f>
        <v>0</v>
      </c>
      <c r="AH71" s="38">
        <f>COUNTIF('PF327'!Y10:Y335,"TC0_H_30_TR")</f>
        <v>0</v>
      </c>
      <c r="AI71" s="38">
        <f>COUNTIF('PF327'!Y10:Y335,"TC0_H_31_TR")</f>
        <v>0</v>
      </c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</row>
    <row r="72" spans="1:58" x14ac:dyDescent="0.55000000000000004">
      <c r="B72" s="56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</row>
    <row r="73" spans="1:58" ht="10" customHeight="1" x14ac:dyDescent="0.55000000000000004"/>
    <row r="74" spans="1:58" x14ac:dyDescent="0.55000000000000004">
      <c r="B74" s="169" t="s">
        <v>280</v>
      </c>
      <c r="C74" s="170"/>
      <c r="D74" s="94" t="s">
        <v>281</v>
      </c>
      <c r="E74" s="94" t="s">
        <v>282</v>
      </c>
    </row>
    <row r="75" spans="1:58" x14ac:dyDescent="0.55000000000000004">
      <c r="B75" s="171" t="s">
        <v>275</v>
      </c>
      <c r="C75" s="37" t="s">
        <v>328</v>
      </c>
      <c r="D75" s="38">
        <f>COUNTIF('PF327'!Y10:Y335,"ADC[0]_0")</f>
        <v>0</v>
      </c>
      <c r="E75" s="38">
        <f>COUNTIF('PF327'!Y10:Y335,"ADC[1]_0")</f>
        <v>0</v>
      </c>
    </row>
    <row r="76" spans="1:58" x14ac:dyDescent="0.55000000000000004">
      <c r="B76" s="186"/>
      <c r="C76" s="37" t="s">
        <v>329</v>
      </c>
      <c r="D76" s="38">
        <f>COUNTIF('PF327'!Y10:Y335,"ADC[0]_1")</f>
        <v>0</v>
      </c>
      <c r="E76" s="38">
        <f>COUNTIF('PF327'!Y10:Y335,"ADC[1]_1")</f>
        <v>0</v>
      </c>
    </row>
    <row r="77" spans="1:58" x14ac:dyDescent="0.55000000000000004">
      <c r="B77" s="186"/>
      <c r="C77" s="37" t="s">
        <v>330</v>
      </c>
      <c r="D77" s="38">
        <f>COUNTIF('PF327'!Y10:Y335,"ADC[0]_2")</f>
        <v>0</v>
      </c>
      <c r="E77" s="38">
        <f>COUNTIF('PF327'!Y10:Y335,"ADC[1]_2")</f>
        <v>0</v>
      </c>
    </row>
    <row r="78" spans="1:58" x14ac:dyDescent="0.55000000000000004">
      <c r="B78" s="186"/>
      <c r="C78" s="37" t="s">
        <v>331</v>
      </c>
      <c r="D78" s="38">
        <f>COUNTIF('PF327'!Y10:Y335,"ADC[0]_3")</f>
        <v>0</v>
      </c>
      <c r="E78" s="38">
        <f>COUNTIF('PF327'!Y10:Y335,"ADC[1]_3")</f>
        <v>0</v>
      </c>
    </row>
    <row r="79" spans="1:58" x14ac:dyDescent="0.55000000000000004">
      <c r="B79" s="186"/>
      <c r="C79" s="37" t="s">
        <v>332</v>
      </c>
      <c r="D79" s="38">
        <f>COUNTIF('PF327'!Y10:Y335,"ADC[0]_4")</f>
        <v>0</v>
      </c>
      <c r="E79" s="38">
        <f>COUNTIF('PF327'!Y10:Y335,"ADC[1]_4")</f>
        <v>0</v>
      </c>
    </row>
    <row r="80" spans="1:58" x14ac:dyDescent="0.55000000000000004">
      <c r="B80" s="186"/>
      <c r="C80" s="37" t="s">
        <v>333</v>
      </c>
      <c r="D80" s="38">
        <f>COUNTIF('PF327'!Y10:Y335,"ADC[0]_5")</f>
        <v>0</v>
      </c>
      <c r="E80" s="38">
        <f>COUNTIF('PF327'!Y10:Y335,"ADC[1]_5")</f>
        <v>0</v>
      </c>
    </row>
    <row r="81" spans="2:5" x14ac:dyDescent="0.55000000000000004">
      <c r="B81" s="186"/>
      <c r="C81" s="37" t="s">
        <v>334</v>
      </c>
      <c r="D81" s="38">
        <f>COUNTIF('PF327'!Y10:Y335,"ADC[0]_6")</f>
        <v>0</v>
      </c>
      <c r="E81" s="38">
        <f>COUNTIF('PF327'!Y10:Y335,"ADC[1]_6")</f>
        <v>0</v>
      </c>
    </row>
    <row r="82" spans="2:5" x14ac:dyDescent="0.55000000000000004">
      <c r="B82" s="186"/>
      <c r="C82" s="37" t="s">
        <v>335</v>
      </c>
      <c r="D82" s="38">
        <f>COUNTIF('PF327'!Y10:Y335,"ADC[0]_7")</f>
        <v>0</v>
      </c>
      <c r="E82" s="38">
        <f>COUNTIF('PF327'!Y10:Y335,"ADC[1]_7")</f>
        <v>0</v>
      </c>
    </row>
    <row r="83" spans="2:5" x14ac:dyDescent="0.55000000000000004">
      <c r="B83" s="186"/>
      <c r="C83" s="37" t="s">
        <v>336</v>
      </c>
      <c r="D83" s="38">
        <f>COUNTIF('PF327'!Y10:Y335,"ADC[0]_8")</f>
        <v>0</v>
      </c>
      <c r="E83" s="38">
        <f>COUNTIF('PF327'!Y10:Y335,"ADC[1]_8")</f>
        <v>0</v>
      </c>
    </row>
    <row r="84" spans="2:5" x14ac:dyDescent="0.55000000000000004">
      <c r="B84" s="186"/>
      <c r="C84" s="37" t="s">
        <v>337</v>
      </c>
      <c r="D84" s="38">
        <f>COUNTIF('PF327'!Y10:Y335,"ADC[0]_9")</f>
        <v>0</v>
      </c>
      <c r="E84" s="38">
        <f>COUNTIF('PF327'!Y10:Y335,"ADC[1]_9")</f>
        <v>0</v>
      </c>
    </row>
    <row r="85" spans="2:5" x14ac:dyDescent="0.55000000000000004">
      <c r="B85" s="186"/>
      <c r="C85" s="37" t="s">
        <v>338</v>
      </c>
      <c r="D85" s="38">
        <f>COUNTIF('PF327'!Y10:Y335,"ADC[0]_10")</f>
        <v>0</v>
      </c>
      <c r="E85" s="38">
        <f>COUNTIF('PF327'!Y10:Y335,"ADC[1]_10")</f>
        <v>0</v>
      </c>
    </row>
    <row r="86" spans="2:5" x14ac:dyDescent="0.55000000000000004">
      <c r="B86" s="186"/>
      <c r="C86" s="37" t="s">
        <v>339</v>
      </c>
      <c r="D86" s="38">
        <f>COUNTIF('PF327'!Y10:Y335,"ADC[0]_11")</f>
        <v>0</v>
      </c>
      <c r="E86" s="38">
        <f>COUNTIF('PF327'!Y10:Y335,"ADC[1]_11")</f>
        <v>0</v>
      </c>
    </row>
    <row r="87" spans="2:5" x14ac:dyDescent="0.55000000000000004">
      <c r="B87" s="186"/>
      <c r="C87" s="37" t="s">
        <v>340</v>
      </c>
      <c r="D87" s="38">
        <f>COUNTIF('PF327'!Y10:Y335,"ADC[0]_12")</f>
        <v>0</v>
      </c>
      <c r="E87" s="38">
        <f>COUNTIF('PF327'!Y10:Y335,"ADC[1]_12")</f>
        <v>0</v>
      </c>
    </row>
    <row r="88" spans="2:5" x14ac:dyDescent="0.55000000000000004">
      <c r="B88" s="186"/>
      <c r="C88" s="37" t="s">
        <v>341</v>
      </c>
      <c r="D88" s="38">
        <f>COUNTIF('PF327'!Y10:Y335,"ADC[0]_13")</f>
        <v>0</v>
      </c>
      <c r="E88" s="38">
        <f>COUNTIF('PF327'!Y10:Y335,"ADC[1]_13")</f>
        <v>0</v>
      </c>
    </row>
    <row r="89" spans="2:5" x14ac:dyDescent="0.55000000000000004">
      <c r="B89" s="186"/>
      <c r="C89" s="37" t="s">
        <v>342</v>
      </c>
      <c r="D89" s="38">
        <f>COUNTIF('PF327'!Y10:Y335,"ADC[0]_14")</f>
        <v>0</v>
      </c>
      <c r="E89" s="38">
        <f>COUNTIF('PF327'!Y10:Y335,"ADC[1]_14")</f>
        <v>0</v>
      </c>
    </row>
    <row r="90" spans="2:5" x14ac:dyDescent="0.55000000000000004">
      <c r="B90" s="186"/>
      <c r="C90" s="37" t="s">
        <v>343</v>
      </c>
      <c r="D90" s="38">
        <f>COUNTIF('PF327'!Y10:Y335,"ADC[0]_15")</f>
        <v>0</v>
      </c>
      <c r="E90" s="38">
        <f>COUNTIF('PF327'!Y10:Y335,"ADC[1]_15")</f>
        <v>0</v>
      </c>
    </row>
    <row r="91" spans="2:5" x14ac:dyDescent="0.55000000000000004">
      <c r="B91" s="186"/>
      <c r="C91" s="37" t="s">
        <v>344</v>
      </c>
      <c r="D91" s="38">
        <f>COUNTIF('PF327'!Y10:Y335,"ADC[0]_16")</f>
        <v>0</v>
      </c>
      <c r="E91" s="38">
        <f>COUNTIF('PF327'!Y10:Y335,"ADC[1]_16")</f>
        <v>0</v>
      </c>
    </row>
    <row r="92" spans="2:5" x14ac:dyDescent="0.55000000000000004">
      <c r="B92" s="186"/>
      <c r="C92" s="37" t="s">
        <v>345</v>
      </c>
      <c r="D92" s="38">
        <f>COUNTIF('PF327'!Y10:Y335,"ADC[0]_17")</f>
        <v>0</v>
      </c>
      <c r="E92" s="38">
        <f>COUNTIF('PF327'!Y10:Y335,"ADC[1]_17")</f>
        <v>0</v>
      </c>
    </row>
    <row r="93" spans="2:5" x14ac:dyDescent="0.55000000000000004">
      <c r="B93" s="186"/>
      <c r="C93" s="37" t="s">
        <v>346</v>
      </c>
      <c r="D93" s="38">
        <f>COUNTIF('PF327'!Y10:Y335,"ADC[0]_18")</f>
        <v>0</v>
      </c>
      <c r="E93" s="38">
        <f>COUNTIF('PF327'!Y10:Y335,"ADC[1]_18")</f>
        <v>0</v>
      </c>
    </row>
    <row r="94" spans="2:5" x14ac:dyDescent="0.55000000000000004">
      <c r="B94" s="186"/>
      <c r="C94" s="37" t="s">
        <v>347</v>
      </c>
      <c r="D94" s="38">
        <f>COUNTIF('PF327'!Y10:Y335,"ADC[0]_19")</f>
        <v>0</v>
      </c>
      <c r="E94" s="38">
        <f>COUNTIF('PF327'!Y10:Y335,"ADC[1]_19")</f>
        <v>0</v>
      </c>
    </row>
    <row r="95" spans="2:5" x14ac:dyDescent="0.55000000000000004">
      <c r="B95" s="186"/>
      <c r="C95" s="37" t="s">
        <v>348</v>
      </c>
      <c r="D95" s="38">
        <f>COUNTIF('PF327'!Y10:Y335,"ADC[0]_20")</f>
        <v>0</v>
      </c>
      <c r="E95" s="38">
        <f>COUNTIF('PF327'!Y10:Y335,"ADC[1]_20")</f>
        <v>0</v>
      </c>
    </row>
    <row r="96" spans="2:5" x14ac:dyDescent="0.55000000000000004">
      <c r="B96" s="186"/>
      <c r="C96" s="37" t="s">
        <v>349</v>
      </c>
      <c r="D96" s="38">
        <f>COUNTIF('PF327'!Y10:Y335,"ADC[0]_21")</f>
        <v>0</v>
      </c>
      <c r="E96" s="38">
        <f>COUNTIF('PF327'!Y10:Y335,"ADC[1]_21")</f>
        <v>0</v>
      </c>
    </row>
    <row r="97" spans="2:6" x14ac:dyDescent="0.55000000000000004">
      <c r="B97" s="186"/>
      <c r="C97" s="37" t="s">
        <v>350</v>
      </c>
      <c r="D97" s="38">
        <f>COUNTIF('PF327'!Y10:Y335,"ADC[0]_22")</f>
        <v>0</v>
      </c>
      <c r="E97" s="38">
        <f>COUNTIF('PF327'!Y10:Y335,"ADC[1]_22")</f>
        <v>0</v>
      </c>
    </row>
    <row r="98" spans="2:6" x14ac:dyDescent="0.55000000000000004">
      <c r="B98" s="187"/>
      <c r="C98" s="37" t="s">
        <v>351</v>
      </c>
      <c r="D98" s="38">
        <f>COUNTIF('PF327'!Y10:Y335,"ADC[0]_23")</f>
        <v>0</v>
      </c>
      <c r="E98" s="38">
        <f>COUNTIF('PF327'!Y10:Y335,"ADC[1]_23")</f>
        <v>0</v>
      </c>
    </row>
    <row r="99" spans="2:6" x14ac:dyDescent="0.55000000000000004">
      <c r="B99" s="56"/>
      <c r="C99" s="57"/>
      <c r="D99" s="41"/>
      <c r="E99" s="41"/>
    </row>
    <row r="100" spans="2:6" x14ac:dyDescent="0.55000000000000004">
      <c r="B100" s="56"/>
      <c r="C100" s="57"/>
      <c r="D100" s="41"/>
      <c r="E100" s="41"/>
      <c r="F100" s="41"/>
    </row>
    <row r="101" spans="2:6" x14ac:dyDescent="0.55000000000000004">
      <c r="B101" s="185" t="s">
        <v>737</v>
      </c>
      <c r="C101" s="185"/>
      <c r="D101" s="94" t="s">
        <v>756</v>
      </c>
    </row>
    <row r="102" spans="2:6" x14ac:dyDescent="0.55000000000000004">
      <c r="B102" s="176" t="s">
        <v>275</v>
      </c>
      <c r="C102" s="20" t="s">
        <v>717</v>
      </c>
      <c r="D102" s="38">
        <f>COUNTIF('PF327'!Y10:Y335,"SPIHB[0]_CLK[0]")</f>
        <v>0</v>
      </c>
    </row>
    <row r="103" spans="2:6" x14ac:dyDescent="0.55000000000000004">
      <c r="B103" s="178"/>
      <c r="C103" s="20" t="s">
        <v>1657</v>
      </c>
      <c r="D103" s="38">
        <f>COUNTIF('PF327'!Y10:Y335,"SPIHB[0]_CLK_INV[0]")</f>
        <v>0</v>
      </c>
    </row>
    <row r="104" spans="2:6" x14ac:dyDescent="0.55000000000000004">
      <c r="B104" s="178"/>
      <c r="C104" s="20" t="s">
        <v>738</v>
      </c>
      <c r="D104" s="38">
        <f>COUNTIF('PF327'!Y10:Y335,"SPIHB[0]_RWDS[0]")</f>
        <v>0</v>
      </c>
    </row>
    <row r="105" spans="2:6" x14ac:dyDescent="0.55000000000000004">
      <c r="B105" s="178"/>
      <c r="C105" s="20" t="s">
        <v>1658</v>
      </c>
      <c r="D105" s="38">
        <f>COUNTIF('PF327'!Y10:Y335,"SPIHB[0]_SELECT0[0]")</f>
        <v>0</v>
      </c>
    </row>
    <row r="106" spans="2:6" x14ac:dyDescent="0.55000000000000004">
      <c r="B106" s="178"/>
      <c r="C106" s="20" t="s">
        <v>1660</v>
      </c>
      <c r="D106" s="38">
        <f>COUNTIF('PF327'!Y10:Y335,"SPIHB[0]_SELECT0[1]")</f>
        <v>0</v>
      </c>
    </row>
    <row r="107" spans="2:6" x14ac:dyDescent="0.55000000000000004">
      <c r="B107" s="178"/>
      <c r="C107" s="20" t="s">
        <v>739</v>
      </c>
      <c r="D107" s="38">
        <f>COUNTIF('PF327'!Y10:Y335,"SPIHB[0]_DATA0[0]")</f>
        <v>0</v>
      </c>
    </row>
    <row r="108" spans="2:6" x14ac:dyDescent="0.55000000000000004">
      <c r="B108" s="178"/>
      <c r="C108" s="20" t="s">
        <v>740</v>
      </c>
      <c r="D108" s="38">
        <f>COUNTIF('PF327'!Y10:Y335,"SPIHB[0]_DATA1[0]")</f>
        <v>0</v>
      </c>
    </row>
    <row r="109" spans="2:6" x14ac:dyDescent="0.55000000000000004">
      <c r="B109" s="178"/>
      <c r="C109" s="20" t="s">
        <v>741</v>
      </c>
      <c r="D109" s="38">
        <f>COUNTIF('PF327'!Y10:Y335,"SPIHB[0]_DATA2[0]")</f>
        <v>0</v>
      </c>
    </row>
    <row r="110" spans="2:6" x14ac:dyDescent="0.55000000000000004">
      <c r="B110" s="178"/>
      <c r="C110" s="20" t="s">
        <v>742</v>
      </c>
      <c r="D110" s="38">
        <f>COUNTIF('PF327'!Y10:Y335,"SPIHB[0]_DATA3[0]")</f>
        <v>0</v>
      </c>
    </row>
    <row r="111" spans="2:6" x14ac:dyDescent="0.55000000000000004">
      <c r="B111" s="178"/>
      <c r="C111" s="20" t="s">
        <v>743</v>
      </c>
      <c r="D111" s="38">
        <f>COUNTIF('PF327'!Y10:Y335,"SPIHB[0]_DATA4[0]")</f>
        <v>0</v>
      </c>
    </row>
    <row r="112" spans="2:6" x14ac:dyDescent="0.55000000000000004">
      <c r="B112" s="178"/>
      <c r="C112" s="20" t="s">
        <v>744</v>
      </c>
      <c r="D112" s="38">
        <f>COUNTIF('PF327'!Y10:Y335,"SPIHB[0]_DATA5[0]")</f>
        <v>0</v>
      </c>
    </row>
    <row r="113" spans="2:4" x14ac:dyDescent="0.55000000000000004">
      <c r="B113" s="178"/>
      <c r="C113" s="20" t="s">
        <v>745</v>
      </c>
      <c r="D113" s="38">
        <f>COUNTIF('PF327'!Y10:Y335,"SPIHB[0]_DATA6[0]")</f>
        <v>0</v>
      </c>
    </row>
    <row r="114" spans="2:4" x14ac:dyDescent="0.55000000000000004">
      <c r="B114" s="178"/>
      <c r="C114" s="20" t="s">
        <v>746</v>
      </c>
      <c r="D114" s="38">
        <f>COUNTIF('PF327'!Y10:Y335,"SPIHB[0]_DATA7[0]")</f>
        <v>0</v>
      </c>
    </row>
    <row r="115" spans="2:4" x14ac:dyDescent="0.55000000000000004">
      <c r="B115" s="178"/>
      <c r="C115" s="20" t="s">
        <v>718</v>
      </c>
      <c r="D115" s="38">
        <f>COUNTIF('PF327'!Y10:Y335,"SPIHB[0]_CLK[1]")</f>
        <v>0</v>
      </c>
    </row>
    <row r="116" spans="2:4" x14ac:dyDescent="0.55000000000000004">
      <c r="B116" s="178"/>
      <c r="C116" s="20" t="s">
        <v>1661</v>
      </c>
      <c r="D116" s="38">
        <f>COUNTIF('PF327'!Y10:Y335,"SPIHB[0]_CLK_INV[1]")</f>
        <v>0</v>
      </c>
    </row>
    <row r="117" spans="2:4" x14ac:dyDescent="0.55000000000000004">
      <c r="B117" s="178"/>
      <c r="C117" s="20" t="s">
        <v>747</v>
      </c>
      <c r="D117" s="38">
        <f>COUNTIF('PF327'!Y10:Y335,"SPIHB[0]_RWDS[1]")</f>
        <v>0</v>
      </c>
    </row>
    <row r="118" spans="2:4" x14ac:dyDescent="0.55000000000000004">
      <c r="B118" s="178"/>
      <c r="C118" s="20" t="s">
        <v>1659</v>
      </c>
      <c r="D118" s="38">
        <f>COUNTIF('PF327'!Y10:Y335,"SPIHB[0]_SELECT1[0]")</f>
        <v>0</v>
      </c>
    </row>
    <row r="119" spans="2:4" x14ac:dyDescent="0.55000000000000004">
      <c r="B119" s="178"/>
      <c r="C119" s="20" t="s">
        <v>1662</v>
      </c>
      <c r="D119" s="38">
        <f>COUNTIF('PF327'!Y10:Y335,"SPIHB[0]_SELECT1[1]")</f>
        <v>0</v>
      </c>
    </row>
    <row r="120" spans="2:4" x14ac:dyDescent="0.55000000000000004">
      <c r="B120" s="178"/>
      <c r="C120" s="20" t="s">
        <v>748</v>
      </c>
      <c r="D120" s="38">
        <f>COUNTIF('PF327'!Y10:Y335,"SPIHB[0]_DATA0[1]")</f>
        <v>0</v>
      </c>
    </row>
    <row r="121" spans="2:4" x14ac:dyDescent="0.55000000000000004">
      <c r="B121" s="178"/>
      <c r="C121" s="20" t="s">
        <v>749</v>
      </c>
      <c r="D121" s="38">
        <f>COUNTIF('PF327'!Y10:Y335,"SPIHB[0]_DATA1[1]")</f>
        <v>0</v>
      </c>
    </row>
    <row r="122" spans="2:4" x14ac:dyDescent="0.55000000000000004">
      <c r="B122" s="178"/>
      <c r="C122" s="20" t="s">
        <v>750</v>
      </c>
      <c r="D122" s="38">
        <f>COUNTIF('PF327'!Y10:Y335,"SPIHB[0]_DATA2[1]")</f>
        <v>0</v>
      </c>
    </row>
    <row r="123" spans="2:4" x14ac:dyDescent="0.55000000000000004">
      <c r="B123" s="178"/>
      <c r="C123" s="20" t="s">
        <v>751</v>
      </c>
      <c r="D123" s="38">
        <f>COUNTIF('PF327'!Y10:Y335,"SPIHB[0]_DATA3[1]")</f>
        <v>0</v>
      </c>
    </row>
    <row r="124" spans="2:4" x14ac:dyDescent="0.55000000000000004">
      <c r="B124" s="178"/>
      <c r="C124" s="20" t="s">
        <v>752</v>
      </c>
      <c r="D124" s="38">
        <f>COUNTIF('PF327'!Y10:Y335,"SPIHB[0]_DATA4[1]")</f>
        <v>0</v>
      </c>
    </row>
    <row r="125" spans="2:4" x14ac:dyDescent="0.55000000000000004">
      <c r="B125" s="178"/>
      <c r="C125" s="20" t="s">
        <v>753</v>
      </c>
      <c r="D125" s="38">
        <f>COUNTIF('PF327'!Y10:Y335,"SPIHB[0]_DATA5[1]")</f>
        <v>0</v>
      </c>
    </row>
    <row r="126" spans="2:4" x14ac:dyDescent="0.55000000000000004">
      <c r="B126" s="178"/>
      <c r="C126" s="20" t="s">
        <v>754</v>
      </c>
      <c r="D126" s="38">
        <f>COUNTIF('PF327'!Y10:Y335,"SPIHB[0]_DATA6[1]")</f>
        <v>0</v>
      </c>
    </row>
    <row r="127" spans="2:4" x14ac:dyDescent="0.55000000000000004">
      <c r="B127" s="179"/>
      <c r="C127" s="20" t="s">
        <v>755</v>
      </c>
      <c r="D127" s="38">
        <f>COUNTIF('PF327'!Y10:Y335,"SPIHB[0]_DATA7[1]")</f>
        <v>0</v>
      </c>
    </row>
    <row r="128" spans="2:4" x14ac:dyDescent="0.55000000000000004">
      <c r="B128" s="56"/>
      <c r="C128" s="58"/>
      <c r="D128" s="41"/>
    </row>
    <row r="129" spans="2:6" hidden="1" x14ac:dyDescent="0.55000000000000004">
      <c r="B129" s="49" t="s">
        <v>737</v>
      </c>
      <c r="C129" s="49" t="s">
        <v>732</v>
      </c>
      <c r="D129" s="94" t="s">
        <v>756</v>
      </c>
    </row>
    <row r="130" spans="2:6" hidden="1" x14ac:dyDescent="0.55000000000000004">
      <c r="B130" s="51"/>
      <c r="C130" s="52">
        <v>0</v>
      </c>
      <c r="D130" s="52">
        <f>SUM(D102:D114)</f>
        <v>0</v>
      </c>
    </row>
    <row r="131" spans="2:6" hidden="1" x14ac:dyDescent="0.55000000000000004">
      <c r="B131" s="53"/>
      <c r="C131" s="52">
        <v>1</v>
      </c>
      <c r="D131" s="52">
        <f>SUM(D115:D127)</f>
        <v>0</v>
      </c>
    </row>
    <row r="132" spans="2:6" hidden="1" x14ac:dyDescent="0.55000000000000004">
      <c r="B132" s="54" t="s">
        <v>736</v>
      </c>
      <c r="C132" s="55"/>
      <c r="D132" s="49">
        <f>COUNTIF(D130:D131, "&lt;&gt;0")</f>
        <v>0</v>
      </c>
    </row>
    <row r="133" spans="2:6" hidden="1" x14ac:dyDescent="0.55000000000000004">
      <c r="B133" s="56"/>
      <c r="C133" s="57"/>
      <c r="D133" s="41"/>
      <c r="E133" s="41"/>
      <c r="F133" s="41"/>
    </row>
    <row r="135" spans="2:6" x14ac:dyDescent="0.55000000000000004">
      <c r="B135" s="183" t="s">
        <v>719</v>
      </c>
      <c r="C135" s="170"/>
      <c r="D135" s="94" t="s">
        <v>1664</v>
      </c>
    </row>
    <row r="136" spans="2:6" x14ac:dyDescent="0.55000000000000004">
      <c r="B136" s="188" t="s">
        <v>275</v>
      </c>
      <c r="C136" s="59" t="s">
        <v>1672</v>
      </c>
      <c r="D136" s="38">
        <f>COUNTIF('PF327'!Y10:Y335,"ETH_REF_CLK")</f>
        <v>0</v>
      </c>
    </row>
    <row r="137" spans="2:6" x14ac:dyDescent="0.55000000000000004">
      <c r="B137" s="189"/>
      <c r="C137" s="59" t="s">
        <v>1675</v>
      </c>
      <c r="D137" s="38">
        <f>COUNTIF('PF327'!Y10:Y335,"ETH_TX_CTL")</f>
        <v>0</v>
      </c>
    </row>
    <row r="138" spans="2:6" x14ac:dyDescent="0.55000000000000004">
      <c r="B138" s="189"/>
      <c r="C138" s="59" t="s">
        <v>1671</v>
      </c>
      <c r="D138" s="38">
        <f>COUNTIF('PF327'!Y10:Y335,"ETH_TX_CLK")</f>
        <v>0</v>
      </c>
    </row>
    <row r="139" spans="2:6" x14ac:dyDescent="0.55000000000000004">
      <c r="B139" s="189"/>
      <c r="C139" s="59" t="s">
        <v>1676</v>
      </c>
      <c r="D139" s="38">
        <f>COUNTIF('PF327'!Y10:Y335,"ETH_TX_ER")</f>
        <v>0</v>
      </c>
    </row>
    <row r="140" spans="2:6" x14ac:dyDescent="0.55000000000000004">
      <c r="B140" s="189"/>
      <c r="C140" s="59" t="s">
        <v>1669</v>
      </c>
      <c r="D140" s="38">
        <f>COUNTIF('PF327'!Y10:Y335,"ETH_TXD_0")</f>
        <v>0</v>
      </c>
    </row>
    <row r="141" spans="2:6" x14ac:dyDescent="0.55000000000000004">
      <c r="B141" s="189"/>
      <c r="C141" s="59" t="s">
        <v>1670</v>
      </c>
      <c r="D141" s="38">
        <f>COUNTIF('PF327'!Y10:Y335,"ETH_TXD_1")</f>
        <v>0</v>
      </c>
    </row>
    <row r="142" spans="2:6" x14ac:dyDescent="0.55000000000000004">
      <c r="B142" s="189"/>
      <c r="C142" s="59" t="s">
        <v>1673</v>
      </c>
      <c r="D142" s="38">
        <f>COUNTIF('PF327'!Y10:Y335,"ETH_TXD_2")</f>
        <v>0</v>
      </c>
    </row>
    <row r="143" spans="2:6" x14ac:dyDescent="0.55000000000000004">
      <c r="B143" s="189"/>
      <c r="C143" s="59" t="s">
        <v>1674</v>
      </c>
      <c r="D143" s="38">
        <f>COUNTIF('PF327'!Y10:Y335,"ETH_TXD_3")</f>
        <v>0</v>
      </c>
    </row>
    <row r="144" spans="2:6" x14ac:dyDescent="0.55000000000000004">
      <c r="B144" s="189"/>
      <c r="C144" s="9" t="s">
        <v>1682</v>
      </c>
      <c r="D144" s="38">
        <f>COUNTIF('PF327'!Y10:Y335,"ETH_RX_CTL")</f>
        <v>0</v>
      </c>
    </row>
    <row r="145" spans="2:5" x14ac:dyDescent="0.55000000000000004">
      <c r="B145" s="189"/>
      <c r="C145" s="9" t="s">
        <v>1677</v>
      </c>
      <c r="D145" s="38">
        <f>COUNTIF('PF327'!Y10:Y335,"ETH_RX_CLK")</f>
        <v>0</v>
      </c>
    </row>
    <row r="146" spans="2:5" x14ac:dyDescent="0.55000000000000004">
      <c r="B146" s="189"/>
      <c r="C146" s="9" t="s">
        <v>1666</v>
      </c>
      <c r="D146" s="38">
        <f>COUNTIF('PF327'!Y10:Y335,"ETH_RX_ER")</f>
        <v>0</v>
      </c>
    </row>
    <row r="147" spans="2:5" x14ac:dyDescent="0.55000000000000004">
      <c r="B147" s="189"/>
      <c r="C147" s="9" t="s">
        <v>1679</v>
      </c>
      <c r="D147" s="38">
        <f>COUNTIF('PF327'!Y10:Y335,"ETH_RXD_0")</f>
        <v>0</v>
      </c>
    </row>
    <row r="148" spans="2:5" x14ac:dyDescent="0.55000000000000004">
      <c r="B148" s="189"/>
      <c r="C148" s="9" t="s">
        <v>1678</v>
      </c>
      <c r="D148" s="38">
        <f>COUNTIF('PF327'!Y10:Y335,"ETH_RXD_1")</f>
        <v>0</v>
      </c>
    </row>
    <row r="149" spans="2:5" x14ac:dyDescent="0.55000000000000004">
      <c r="B149" s="189"/>
      <c r="C149" s="9" t="s">
        <v>1680</v>
      </c>
      <c r="D149" s="38">
        <f>COUNTIF('PF327'!Y10:Y335,"ETH_RXD_2")</f>
        <v>0</v>
      </c>
    </row>
    <row r="150" spans="2:5" x14ac:dyDescent="0.55000000000000004">
      <c r="B150" s="189"/>
      <c r="C150" s="9" t="s">
        <v>1681</v>
      </c>
      <c r="D150" s="38">
        <f>COUNTIF('PF327'!Y10:Y335,"ETH_RXD_3")</f>
        <v>0</v>
      </c>
    </row>
    <row r="151" spans="2:5" x14ac:dyDescent="0.55000000000000004">
      <c r="B151" s="189"/>
      <c r="C151" s="9" t="s">
        <v>1665</v>
      </c>
      <c r="D151" s="38">
        <f>COUNTIF('PF327'!Y10:Y335,"ETH_TSU_TIMER_CMP_VAL")</f>
        <v>0</v>
      </c>
    </row>
    <row r="152" spans="2:5" x14ac:dyDescent="0.55000000000000004">
      <c r="B152" s="189"/>
      <c r="C152" s="9" t="s">
        <v>1668</v>
      </c>
      <c r="D152" s="38">
        <f>COUNTIF('PF327'!Y10:Y335,"ETH_MDIO")</f>
        <v>0</v>
      </c>
    </row>
    <row r="153" spans="2:5" x14ac:dyDescent="0.55000000000000004">
      <c r="B153" s="190"/>
      <c r="C153" s="9" t="s">
        <v>1667</v>
      </c>
      <c r="D153" s="38">
        <f>COUNTIF('PF327'!Y10:Y335,"ETH_MDC")</f>
        <v>0</v>
      </c>
    </row>
    <row r="155" spans="2:5" hidden="1" x14ac:dyDescent="0.55000000000000004">
      <c r="B155" s="49" t="s">
        <v>719</v>
      </c>
      <c r="C155" s="49" t="s">
        <v>732</v>
      </c>
      <c r="D155" s="94" t="s">
        <v>720</v>
      </c>
    </row>
    <row r="156" spans="2:5" hidden="1" x14ac:dyDescent="0.55000000000000004">
      <c r="B156" s="51"/>
      <c r="C156" s="52">
        <v>0</v>
      </c>
      <c r="D156" s="52">
        <f>SUM(D136+D137+D138+D139+D140+D141+D142+D143+D144+D145+D146+D147+D148+D149+D150+D151+D152+D153)</f>
        <v>0</v>
      </c>
    </row>
    <row r="157" spans="2:5" hidden="1" x14ac:dyDescent="0.55000000000000004">
      <c r="B157" s="54" t="s">
        <v>736</v>
      </c>
      <c r="C157" s="55"/>
      <c r="D157" s="49">
        <f>COUNTIF(D156:D156, "&lt;&gt;0")</f>
        <v>0</v>
      </c>
    </row>
    <row r="158" spans="2:5" hidden="1" x14ac:dyDescent="0.55000000000000004"/>
    <row r="160" spans="2:5" x14ac:dyDescent="0.55000000000000004">
      <c r="B160" s="169" t="s">
        <v>1683</v>
      </c>
      <c r="C160" s="170"/>
      <c r="D160" s="110" t="s">
        <v>1684</v>
      </c>
      <c r="E160" s="110" t="s">
        <v>1685</v>
      </c>
    </row>
    <row r="161" spans="2:7" x14ac:dyDescent="0.55000000000000004">
      <c r="B161" s="171" t="s">
        <v>275</v>
      </c>
      <c r="C161" s="38" t="s">
        <v>271</v>
      </c>
      <c r="D161" s="38">
        <f>COUNTIF('PF327'!Y10:Y335,"CXPI0_RX")</f>
        <v>0</v>
      </c>
      <c r="E161" s="38">
        <f>COUNTIF('PF327'!Y10:Y335,"CXPI1_RX")</f>
        <v>0</v>
      </c>
    </row>
    <row r="162" spans="2:7" x14ac:dyDescent="0.55000000000000004">
      <c r="B162" s="172"/>
      <c r="C162" s="38" t="s">
        <v>270</v>
      </c>
      <c r="D162" s="38">
        <f>COUNTIF('PF327'!Y10:Y335,"CXPI0_TX")</f>
        <v>0</v>
      </c>
      <c r="E162" s="38">
        <f>COUNTIF('PF327'!Y10:Y335,"CXPI1_TX")</f>
        <v>0</v>
      </c>
    </row>
    <row r="163" spans="2:7" x14ac:dyDescent="0.55000000000000004">
      <c r="B163" s="173"/>
      <c r="C163" s="38" t="s">
        <v>274</v>
      </c>
      <c r="D163" s="38">
        <f>COUNTIF('PF327'!Y10:Y335,"CXPI0_EN")</f>
        <v>0</v>
      </c>
      <c r="E163" s="38">
        <f>COUNTIF('PF327'!Y10:Y335,"CXPI1_EN")</f>
        <v>0</v>
      </c>
    </row>
    <row r="164" spans="2:7" ht="10" customHeight="1" x14ac:dyDescent="0.55000000000000004">
      <c r="B164" s="111"/>
      <c r="C164" s="41"/>
      <c r="D164" s="41"/>
      <c r="E164" s="41"/>
    </row>
    <row r="165" spans="2:7" ht="10" customHeight="1" x14ac:dyDescent="0.55000000000000004">
      <c r="B165" s="111"/>
      <c r="C165" s="41"/>
      <c r="D165" s="41"/>
      <c r="E165" s="41"/>
    </row>
    <row r="166" spans="2:7" ht="10" customHeight="1" x14ac:dyDescent="0.55000000000000004">
      <c r="B166" s="169" t="s">
        <v>1686</v>
      </c>
      <c r="C166" s="170"/>
      <c r="D166" s="110" t="s">
        <v>1687</v>
      </c>
      <c r="E166" s="110" t="s">
        <v>1688</v>
      </c>
      <c r="F166" s="110" t="s">
        <v>1705</v>
      </c>
      <c r="G166" s="110" t="s">
        <v>1706</v>
      </c>
    </row>
    <row r="167" spans="2:7" ht="10" customHeight="1" x14ac:dyDescent="0.55000000000000004">
      <c r="B167" s="171" t="s">
        <v>275</v>
      </c>
      <c r="C167" s="38" t="s">
        <v>1689</v>
      </c>
      <c r="D167" s="38">
        <f>COUNTIF('PF327'!Y10:Y335,"TDM_RX_FSYNC[0](0)")</f>
        <v>0</v>
      </c>
      <c r="E167" s="38">
        <f>COUNTIF('PF327'!Y10:Y335,"TDM_RX_FSYNC[1](0)")</f>
        <v>0</v>
      </c>
      <c r="F167" s="38">
        <f>COUNTIF('PF327'!Y10:Y335,"TDM_RX_FSYNC[2](0)")</f>
        <v>0</v>
      </c>
      <c r="G167" s="38">
        <f>COUNTIF('PF327'!Y10:Y335,"TDM_RX_FSYNC[3](0)")</f>
        <v>0</v>
      </c>
    </row>
    <row r="168" spans="2:7" ht="10" customHeight="1" x14ac:dyDescent="0.55000000000000004">
      <c r="B168" s="172"/>
      <c r="C168" s="38" t="s">
        <v>1690</v>
      </c>
      <c r="D168" s="38">
        <f>COUNTIF('PF327'!Y10:Y335,"TDM_RX_FSYNC[0](1)")</f>
        <v>0</v>
      </c>
      <c r="E168" s="38">
        <f>COUNTIF('PF327'!Y10:Y335,"TDM_RX_FSYNC[1](1)")</f>
        <v>0</v>
      </c>
      <c r="F168" s="38">
        <f>COUNTIF('PF327'!Y10:Y335,"TDM_RX_FSYNC[2](1)")</f>
        <v>0</v>
      </c>
      <c r="G168" s="38">
        <f>COUNTIF('PF327'!Y10:Y335,"TDM_RX_FSYNC[3](1)")</f>
        <v>0</v>
      </c>
    </row>
    <row r="169" spans="2:7" ht="10" customHeight="1" x14ac:dyDescent="0.55000000000000004">
      <c r="B169" s="172"/>
      <c r="C169" s="38" t="s">
        <v>1707</v>
      </c>
      <c r="D169" s="38">
        <f>COUNTIF('PF327'!Y10:Y335,"TDM_RX_FSYNC[0](2)")</f>
        <v>0</v>
      </c>
      <c r="E169" s="38">
        <f>COUNTIF('PF327'!Y10:Y335,"TDM_RX_FSYNC[1](2)")</f>
        <v>0</v>
      </c>
      <c r="F169" s="38">
        <f>COUNTIF('PF327'!Y10:Y335,"TDM_RX_FSYNC[2](2)")</f>
        <v>0</v>
      </c>
      <c r="G169" s="38">
        <f>COUNTIF('PF327'!Y10:Y335,"TDM_RX_FSYNC[3](2)")</f>
        <v>0</v>
      </c>
    </row>
    <row r="170" spans="2:7" ht="10" customHeight="1" x14ac:dyDescent="0.55000000000000004">
      <c r="B170" s="172"/>
      <c r="C170" s="38" t="s">
        <v>1708</v>
      </c>
      <c r="D170" s="38">
        <f>COUNTIF('PF327'!Y10:Y335,"TDM_RX_FSYNC[0](3)")</f>
        <v>0</v>
      </c>
      <c r="E170" s="38">
        <f>COUNTIF('PF327'!Y10:Y335,"TDM_RX_FSYNC[1](3)")</f>
        <v>0</v>
      </c>
      <c r="F170" s="38">
        <f>COUNTIF('PF327'!Y10:Y335,"TDM_RX_FSYNC[2](3)")</f>
        <v>0</v>
      </c>
      <c r="G170" s="38">
        <f>COUNTIF('PF327'!Y10:Y335,"TDM_RX_FSYNC[3](3)")</f>
        <v>0</v>
      </c>
    </row>
    <row r="171" spans="2:7" ht="10" customHeight="1" x14ac:dyDescent="0.55000000000000004">
      <c r="B171" s="174"/>
      <c r="C171" s="38" t="s">
        <v>1691</v>
      </c>
      <c r="D171" s="38">
        <f>COUNTIF('PF327'!Y10:Y335,"TDM_RX_MCK[0](0)")</f>
        <v>0</v>
      </c>
      <c r="E171" s="38">
        <f>COUNTIF('PF327'!Y10:Y335,"TDM_RX_MCK[1](0)")</f>
        <v>0</v>
      </c>
      <c r="F171" s="38">
        <f>COUNTIF('PF327'!Y10:Y335,"TDM_RX_MCK[2](0)")</f>
        <v>0</v>
      </c>
      <c r="G171" s="38">
        <f>COUNTIF('PF327'!Y10:Y335,"TDM_RX_MCK[3](0)")</f>
        <v>0</v>
      </c>
    </row>
    <row r="172" spans="2:7" ht="10" customHeight="1" x14ac:dyDescent="0.55000000000000004">
      <c r="B172" s="174"/>
      <c r="C172" s="38" t="s">
        <v>1692</v>
      </c>
      <c r="D172" s="38">
        <f>COUNTIF('PF327'!Y10:Y335,"TDM_RX_MCK[0](1)")</f>
        <v>0</v>
      </c>
      <c r="E172" s="38">
        <f>COUNTIF('PF327'!Y10:Y335,"TDM_RX_MCK[1](1)")</f>
        <v>0</v>
      </c>
      <c r="F172" s="38">
        <f>COUNTIF('PF327'!Y10:Y335,"TDM_RX_MCK[2](1)")</f>
        <v>0</v>
      </c>
      <c r="G172" s="38">
        <f>COUNTIF('PF327'!Y10:Y335,"TDM_RX_MCK[3](1)")</f>
        <v>0</v>
      </c>
    </row>
    <row r="173" spans="2:7" ht="10" customHeight="1" x14ac:dyDescent="0.55000000000000004">
      <c r="B173" s="174"/>
      <c r="C173" s="38" t="s">
        <v>1709</v>
      </c>
      <c r="D173" s="38">
        <f>COUNTIF('PF327'!Y10:Y335,"TDM_RX_MCK[0](2)")</f>
        <v>0</v>
      </c>
      <c r="E173" s="38">
        <f>COUNTIF('PF327'!Y10:Y335,"TDM_RX_MCK[1](2)")</f>
        <v>0</v>
      </c>
      <c r="F173" s="38">
        <f>COUNTIF('PF327'!Y10:Y335,"TDM_RX_MCK[2](2)")</f>
        <v>0</v>
      </c>
      <c r="G173" s="38">
        <f>COUNTIF('PF327'!Y10:Y335,"TDM_RX_MCK[3](2)")</f>
        <v>0</v>
      </c>
    </row>
    <row r="174" spans="2:7" ht="10" customHeight="1" x14ac:dyDescent="0.55000000000000004">
      <c r="B174" s="174"/>
      <c r="C174" s="38" t="s">
        <v>1710</v>
      </c>
      <c r="D174" s="38">
        <f>COUNTIF('PF327'!Y10:Y335,"TDM_RX_MCK[0](3)")</f>
        <v>0</v>
      </c>
      <c r="E174" s="38">
        <f>COUNTIF('PF327'!Y10:Y335,"TDM_RX_MCK[1](3)")</f>
        <v>0</v>
      </c>
      <c r="F174" s="38">
        <f>COUNTIF('PF327'!Y10:Y335,"TDM_RX_MCK[2](3)")</f>
        <v>0</v>
      </c>
      <c r="G174" s="38">
        <f>COUNTIF('PF327'!Y10:Y335,"TDM_RX_MCK[3](3)")</f>
        <v>0</v>
      </c>
    </row>
    <row r="175" spans="2:7" ht="10" customHeight="1" x14ac:dyDescent="0.55000000000000004">
      <c r="B175" s="174"/>
      <c r="C175" s="38" t="s">
        <v>1693</v>
      </c>
      <c r="D175" s="38">
        <f>COUNTIF('PF327'!Y10:Y335,"TDM_RX_SCK[0](0)")</f>
        <v>0</v>
      </c>
      <c r="E175" s="38">
        <f>COUNTIF('PF327'!Y10:Y335,"TDM_RX_SCK[1](0)")</f>
        <v>0</v>
      </c>
      <c r="F175" s="38">
        <f>COUNTIF('PF327'!Y10:Y335,"TDM_RX_SCK[2](0)")</f>
        <v>0</v>
      </c>
      <c r="G175" s="38">
        <f>COUNTIF('PF327'!Y10:Y335,"TDM_RX_SCK[3](0)")</f>
        <v>0</v>
      </c>
    </row>
    <row r="176" spans="2:7" ht="10" customHeight="1" x14ac:dyDescent="0.55000000000000004">
      <c r="B176" s="174"/>
      <c r="C176" s="38" t="s">
        <v>1694</v>
      </c>
      <c r="D176" s="38">
        <f>COUNTIF('PF327'!Y10:Y335,"TDM_RX_SCK[0](1)")</f>
        <v>0</v>
      </c>
      <c r="E176" s="38">
        <f>COUNTIF('PF327'!Y10:Y335,"TDM_RX_SCK[1](1)")</f>
        <v>0</v>
      </c>
      <c r="F176" s="38">
        <f>COUNTIF('PF327'!Y10:Y335,"TDM_RX_SCK[2](1)")</f>
        <v>0</v>
      </c>
      <c r="G176" s="38">
        <f>COUNTIF('PF327'!Y10:Y335,"TDM_RX_SCK[3](1)")</f>
        <v>0</v>
      </c>
    </row>
    <row r="177" spans="2:7" ht="10" customHeight="1" x14ac:dyDescent="0.55000000000000004">
      <c r="B177" s="174"/>
      <c r="C177" s="38" t="s">
        <v>1711</v>
      </c>
      <c r="D177" s="38">
        <f>COUNTIF('PF327'!Y10:Y335,"TDM_RX_SCK[0](2)")</f>
        <v>0</v>
      </c>
      <c r="E177" s="38">
        <f>COUNTIF('PF327'!Y10:Y335,"TDM_RX_SCK[1](2)")</f>
        <v>0</v>
      </c>
      <c r="F177" s="38">
        <f>COUNTIF('PF327'!Y10:Y335,"TDM_RX_SCK[2](2)")</f>
        <v>0</v>
      </c>
      <c r="G177" s="38">
        <f>COUNTIF('PF327'!Y10:Y335,"TDM_RX_SCK[3](2)")</f>
        <v>0</v>
      </c>
    </row>
    <row r="178" spans="2:7" ht="10" customHeight="1" x14ac:dyDescent="0.55000000000000004">
      <c r="B178" s="174"/>
      <c r="C178" s="38" t="s">
        <v>1712</v>
      </c>
      <c r="D178" s="38">
        <f>COUNTIF('PF327'!Y10:Y335,"TDM_RX_SCK[0](3)")</f>
        <v>0</v>
      </c>
      <c r="E178" s="38">
        <f>COUNTIF('PF327'!Y10:Y335,"TDM_RX_SCK[1](3)")</f>
        <v>0</v>
      </c>
      <c r="F178" s="38">
        <f>COUNTIF('PF327'!Y10:Y335,"TDM_RX_SCK[2](3)")</f>
        <v>0</v>
      </c>
      <c r="G178" s="38">
        <f>COUNTIF('PF327'!Y10:Y335,"TDM_RX_SCK[3](3)")</f>
        <v>0</v>
      </c>
    </row>
    <row r="179" spans="2:7" ht="10" customHeight="1" x14ac:dyDescent="0.55000000000000004">
      <c r="B179" s="174"/>
      <c r="C179" s="38" t="s">
        <v>1695</v>
      </c>
      <c r="D179" s="38">
        <f>COUNTIF('PF327'!Y10:Y335,"TDM_RX_SD[0](0)")</f>
        <v>0</v>
      </c>
      <c r="E179" s="38">
        <f>COUNTIF('PF327'!Y10:Y335,"TDM_RX_SD[1](0)")</f>
        <v>0</v>
      </c>
      <c r="F179" s="38">
        <f>COUNTIF('PF327'!Y10:Y335,"TDM_RX_SD[2](0)")</f>
        <v>0</v>
      </c>
      <c r="G179" s="38">
        <f>COUNTIF('PF327'!Y10:Y335,"TDM_RX_SD[3](0)")</f>
        <v>0</v>
      </c>
    </row>
    <row r="180" spans="2:7" ht="10" customHeight="1" x14ac:dyDescent="0.55000000000000004">
      <c r="B180" s="174"/>
      <c r="C180" s="38" t="s">
        <v>1696</v>
      </c>
      <c r="D180" s="38">
        <f>COUNTIF('PF327'!Y10:Y335,"TDM_RX_SD[0](1)")</f>
        <v>0</v>
      </c>
      <c r="E180" s="38">
        <f>COUNTIF('PF327'!Y10:Y335,"TDM_RX_SD[1](1)")</f>
        <v>0</v>
      </c>
      <c r="F180" s="38">
        <f>COUNTIF('PF327'!Y10:Y335,"TDM_RX_SD[2](1)")</f>
        <v>0</v>
      </c>
      <c r="G180" s="38">
        <f>COUNTIF('PF327'!Y10:Y335,"TDM_RX_SD[3](1)")</f>
        <v>0</v>
      </c>
    </row>
    <row r="181" spans="2:7" ht="10" customHeight="1" x14ac:dyDescent="0.55000000000000004">
      <c r="B181" s="174"/>
      <c r="C181" s="38" t="s">
        <v>1713</v>
      </c>
      <c r="D181" s="38">
        <f>COUNTIF('PF327'!Y10:Y335,"TDM_RX_SD[0](2)")</f>
        <v>0</v>
      </c>
      <c r="E181" s="38">
        <f>COUNTIF('PF327'!Y10:Y335,"TDM_RX_SD[1](2)")</f>
        <v>0</v>
      </c>
      <c r="F181" s="38">
        <f>COUNTIF('PF327'!Y10:Y335,"TDM_RX_SD[2](2)")</f>
        <v>0</v>
      </c>
      <c r="G181" s="38">
        <f>COUNTIF('PF327'!Y10:Y335,"TDM_RX_SD[3](2)")</f>
        <v>0</v>
      </c>
    </row>
    <row r="182" spans="2:7" ht="10" customHeight="1" x14ac:dyDescent="0.55000000000000004">
      <c r="B182" s="174"/>
      <c r="C182" s="38" t="s">
        <v>1714</v>
      </c>
      <c r="D182" s="38">
        <f>COUNTIF('PF327'!Y10:Y335,"TDM_RX_SD[0](3)")</f>
        <v>0</v>
      </c>
      <c r="E182" s="38">
        <f>COUNTIF('PF327'!Y10:Y335,"TDM_RX_SD[1](3)")</f>
        <v>0</v>
      </c>
      <c r="F182" s="38">
        <f>COUNTIF('PF327'!Y10:Y335,"TDM_RX_SD[2](3)")</f>
        <v>0</v>
      </c>
      <c r="G182" s="38">
        <f>COUNTIF('PF327'!Y10:Y335,"TDM_RX_SD[3](3)")</f>
        <v>0</v>
      </c>
    </row>
    <row r="183" spans="2:7" ht="10" customHeight="1" x14ac:dyDescent="0.55000000000000004">
      <c r="B183" s="174"/>
      <c r="C183" s="38" t="s">
        <v>1697</v>
      </c>
      <c r="D183" s="38">
        <f>COUNTIF('PF327'!Y10:Y335,"TDM_TX_FSYNC[0](0)")</f>
        <v>0</v>
      </c>
      <c r="E183" s="38">
        <f>COUNTIF('PF327'!Y10:Y335,"TDM_TX_FSYNC[1](0)")</f>
        <v>0</v>
      </c>
      <c r="F183" s="38">
        <f>COUNTIF('PF327'!Y10:Y335,"TDM_TX_FSYNC[2](0)")</f>
        <v>0</v>
      </c>
      <c r="G183" s="38">
        <f>COUNTIF('PF327'!Y10:Y335,"TDM_TX_FSYNC[3](0)")</f>
        <v>0</v>
      </c>
    </row>
    <row r="184" spans="2:7" ht="10" customHeight="1" x14ac:dyDescent="0.55000000000000004">
      <c r="B184" s="174"/>
      <c r="C184" s="38" t="s">
        <v>1698</v>
      </c>
      <c r="D184" s="38">
        <f>COUNTIF('PF327'!Y10:Y335,"TDM_TX_FSYNC[0](1)")</f>
        <v>0</v>
      </c>
      <c r="E184" s="38">
        <f>COUNTIF('PF327'!Y10:Y335,"TDM_TX_FSYNC[1](1)")</f>
        <v>0</v>
      </c>
      <c r="F184" s="38">
        <f>COUNTIF('PF327'!Y10:Y335,"TDM_TX_FSYNC[2](1)")</f>
        <v>0</v>
      </c>
      <c r="G184" s="38">
        <f>COUNTIF('PF327'!Y10:Y335,"TDM_TX_FSYNC[3](1)")</f>
        <v>0</v>
      </c>
    </row>
    <row r="185" spans="2:7" ht="10" customHeight="1" x14ac:dyDescent="0.55000000000000004">
      <c r="B185" s="174"/>
      <c r="C185" s="38" t="s">
        <v>1715</v>
      </c>
      <c r="D185" s="38">
        <f>COUNTIF('PF327'!Y10:Y335,"TDM_TX_FSYNC[0](2)")</f>
        <v>0</v>
      </c>
      <c r="E185" s="38">
        <f>COUNTIF('PF327'!Y10:Y335,"TDM_TX_FSYNC[1](2)")</f>
        <v>0</v>
      </c>
      <c r="F185" s="38">
        <f>COUNTIF('PF327'!Y10:Y335,"TDM_TX_FSYNC[2](2)")</f>
        <v>0</v>
      </c>
      <c r="G185" s="38">
        <f>COUNTIF('PF327'!Y10:Y335,"TDM_TX_FSYNC[3](2)")</f>
        <v>0</v>
      </c>
    </row>
    <row r="186" spans="2:7" ht="10" customHeight="1" x14ac:dyDescent="0.55000000000000004">
      <c r="B186" s="174"/>
      <c r="C186" s="38" t="s">
        <v>1699</v>
      </c>
      <c r="D186" s="38">
        <f>COUNTIF('PF327'!Y10:Y335,"TDM_TX_MCK[0](0)")</f>
        <v>0</v>
      </c>
      <c r="E186" s="38">
        <f>COUNTIF('PF327'!Y10:Y335,"TDM_TX_MCK[1](0)")</f>
        <v>0</v>
      </c>
      <c r="F186" s="38">
        <f>COUNTIF('PF327'!Y10:Y335,"TDM_TX_MCK[2](0)")</f>
        <v>0</v>
      </c>
      <c r="G186" s="38">
        <f>COUNTIF('PF327'!Y10:Y335,"TDM_TX_MCK[3](0)")</f>
        <v>0</v>
      </c>
    </row>
    <row r="187" spans="2:7" ht="10" customHeight="1" x14ac:dyDescent="0.55000000000000004">
      <c r="B187" s="174"/>
      <c r="C187" s="38" t="s">
        <v>1700</v>
      </c>
      <c r="D187" s="38">
        <f>COUNTIF('PF327'!Y10:Y335,"TDM_TX_MCK[0](1)")</f>
        <v>0</v>
      </c>
      <c r="E187" s="38">
        <f>COUNTIF('PF327'!Y10:Y335,"TDM_TX_MCK[1](1)")</f>
        <v>0</v>
      </c>
      <c r="F187" s="38">
        <f>COUNTIF('PF327'!Y10:Y335,"TDM_TX_MCK[2](1)")</f>
        <v>0</v>
      </c>
      <c r="G187" s="38">
        <f>COUNTIF('PF327'!Y10:Y335,"TDM_TX_MCK[3](1)")</f>
        <v>0</v>
      </c>
    </row>
    <row r="188" spans="2:7" ht="10" customHeight="1" x14ac:dyDescent="0.55000000000000004">
      <c r="B188" s="174"/>
      <c r="C188" s="38" t="s">
        <v>1716</v>
      </c>
      <c r="D188" s="38">
        <f>COUNTIF('PF327'!Y10:Y335,"TDM_TX_MCK[0](2)")</f>
        <v>0</v>
      </c>
      <c r="E188" s="38">
        <f>COUNTIF('PF327'!Y10:Y335,"TDM_TX_MCK[1](2)")</f>
        <v>0</v>
      </c>
      <c r="F188" s="38">
        <f>COUNTIF('PF327'!Y10:Y335,"TDM_TX_MCK[2](2)")</f>
        <v>0</v>
      </c>
      <c r="G188" s="38">
        <f>COUNTIF('PF327'!Y10:Y335,"TDM_TX_MCK[3](2)")</f>
        <v>0</v>
      </c>
    </row>
    <row r="189" spans="2:7" ht="10" customHeight="1" x14ac:dyDescent="0.55000000000000004">
      <c r="B189" s="174"/>
      <c r="C189" s="38" t="s">
        <v>1701</v>
      </c>
      <c r="D189" s="38">
        <f>COUNTIF('PF327'!Y10:Y335,"TDM_TX_SCK[0](0)")</f>
        <v>0</v>
      </c>
      <c r="E189" s="38">
        <f>COUNTIF('PF327'!Y10:Y335,"TDM_TX_SCK[1](0)")</f>
        <v>0</v>
      </c>
      <c r="F189" s="38">
        <f>COUNTIF('PF327'!Y10:Y335,"TDM_TX_SCK[2](0)")</f>
        <v>0</v>
      </c>
      <c r="G189" s="38">
        <f>COUNTIF('PF327'!Y10:Y335,"TDM_TX_SCK[3](0)")</f>
        <v>0</v>
      </c>
    </row>
    <row r="190" spans="2:7" ht="10" customHeight="1" x14ac:dyDescent="0.55000000000000004">
      <c r="B190" s="174"/>
      <c r="C190" s="38" t="s">
        <v>1702</v>
      </c>
      <c r="D190" s="38">
        <f>COUNTIF('PF327'!Y10:Y335,"TDM_TX_SCK[0](1)")</f>
        <v>0</v>
      </c>
      <c r="E190" s="38">
        <f>COUNTIF('PF327'!Y10:Y335,"TDM_TX_SCK[1](1)")</f>
        <v>0</v>
      </c>
      <c r="F190" s="38">
        <f>COUNTIF('PF327'!Y10:Y335,"TDM_TX_SCK[2](1)")</f>
        <v>0</v>
      </c>
      <c r="G190" s="38">
        <f>COUNTIF('PF327'!Y10:Y335,"TDM_TX_SCK[3](1)")</f>
        <v>0</v>
      </c>
    </row>
    <row r="191" spans="2:7" ht="10" customHeight="1" x14ac:dyDescent="0.55000000000000004">
      <c r="B191" s="174"/>
      <c r="C191" s="38" t="s">
        <v>1717</v>
      </c>
      <c r="D191" s="38">
        <f>COUNTIF('PF327'!Y10:Y335,"TDM_TX_SCK[0](2)")</f>
        <v>0</v>
      </c>
      <c r="E191" s="38">
        <f>COUNTIF('PF327'!Y10:Y335,"TDM_TX_SCK[1](2)")</f>
        <v>0</v>
      </c>
      <c r="F191" s="38">
        <f>COUNTIF('PF327'!Y10:Y335,"TDM_TX_SCK[2](2)")</f>
        <v>0</v>
      </c>
      <c r="G191" s="38">
        <f>COUNTIF('PF327'!Y10:Y335,"TDM_TX_SCK[3](2)")</f>
        <v>0</v>
      </c>
    </row>
    <row r="192" spans="2:7" ht="10" customHeight="1" x14ac:dyDescent="0.55000000000000004">
      <c r="B192" s="174"/>
      <c r="C192" s="38" t="s">
        <v>1703</v>
      </c>
      <c r="D192" s="38">
        <f>COUNTIF('PF327'!Y10:Y335,"TDM_TX_SD[0](0)")</f>
        <v>0</v>
      </c>
      <c r="E192" s="38">
        <f>COUNTIF('PF327'!Y10:Y335,"TDM_TX_SD[1](0)")</f>
        <v>0</v>
      </c>
      <c r="F192" s="38">
        <f>COUNTIF('PF327'!Y10:Y335,"TDM_TX_SD[2](0)")</f>
        <v>0</v>
      </c>
      <c r="G192" s="38">
        <f>COUNTIF('PF327'!Y10:Y335,"TDM_TX_SD[3](0)")</f>
        <v>0</v>
      </c>
    </row>
    <row r="193" spans="2:7" ht="10" customHeight="1" x14ac:dyDescent="0.55000000000000004">
      <c r="B193" s="174"/>
      <c r="C193" s="38" t="s">
        <v>1704</v>
      </c>
      <c r="D193" s="38">
        <f>COUNTIF('PF327'!Y10:Y335,"TDM_TX_SD[0](1)")</f>
        <v>0</v>
      </c>
      <c r="E193" s="38">
        <f>COUNTIF('PF327'!Y10:Y335,"TDM_TX_SD[1](1)")</f>
        <v>0</v>
      </c>
      <c r="F193" s="38">
        <f>COUNTIF('PF327'!Y10:Y335,"TDM_TX_SD[2](1)")</f>
        <v>0</v>
      </c>
      <c r="G193" s="38">
        <f>COUNTIF('PF327'!Y10:Y335,"TDM_TX_SD[3](1)")</f>
        <v>0</v>
      </c>
    </row>
    <row r="194" spans="2:7" ht="10" customHeight="1" x14ac:dyDescent="0.55000000000000004">
      <c r="B194" s="175"/>
      <c r="C194" s="38" t="s">
        <v>1718</v>
      </c>
      <c r="D194" s="38">
        <f>COUNTIF('PF327'!Y10:Y335,"TDM_TX_SD[0](2)")</f>
        <v>0</v>
      </c>
      <c r="E194" s="38">
        <f>COUNTIF('PF327'!Y10:Y335,"TDM_TX_SD[1](2)")</f>
        <v>0</v>
      </c>
      <c r="F194" s="38">
        <f>COUNTIF('PF327'!Y10:Y335,"TDM_TX_SD[2](2)")</f>
        <v>0</v>
      </c>
      <c r="G194" s="38">
        <f>COUNTIF('PF327'!Y10:Y335,"TDM_TX_SD[3](2)")</f>
        <v>0</v>
      </c>
    </row>
    <row r="195" spans="2:7" ht="10" customHeight="1" x14ac:dyDescent="0.55000000000000004">
      <c r="B195" s="111"/>
      <c r="C195" s="41"/>
      <c r="D195" s="41"/>
      <c r="E195" s="41"/>
    </row>
    <row r="196" spans="2:7" ht="10" hidden="1" customHeight="1" x14ac:dyDescent="0.55000000000000004">
      <c r="B196" s="169" t="s">
        <v>1686</v>
      </c>
      <c r="C196" s="170"/>
      <c r="D196" s="110" t="s">
        <v>1687</v>
      </c>
      <c r="E196" s="110" t="s">
        <v>1688</v>
      </c>
      <c r="F196" s="110" t="s">
        <v>1705</v>
      </c>
      <c r="G196" s="110" t="s">
        <v>1706</v>
      </c>
    </row>
    <row r="197" spans="2:7" ht="10" hidden="1" customHeight="1" x14ac:dyDescent="0.55000000000000004">
      <c r="B197" s="113"/>
      <c r="C197" s="52">
        <v>0</v>
      </c>
      <c r="D197" s="38">
        <f t="shared" ref="D197:G199" si="16">SUM(D167+D171+D175+D179+D183+D186+D189+D192)</f>
        <v>0</v>
      </c>
      <c r="E197" s="38">
        <f t="shared" si="16"/>
        <v>0</v>
      </c>
      <c r="F197" s="38">
        <f t="shared" si="16"/>
        <v>0</v>
      </c>
      <c r="G197" s="38">
        <f t="shared" si="16"/>
        <v>0</v>
      </c>
    </row>
    <row r="198" spans="2:7" ht="10" hidden="1" customHeight="1" x14ac:dyDescent="0.55000000000000004">
      <c r="B198" s="112"/>
      <c r="C198" s="52">
        <v>1</v>
      </c>
      <c r="D198" s="38">
        <f t="shared" si="16"/>
        <v>0</v>
      </c>
      <c r="E198" s="38">
        <f t="shared" si="16"/>
        <v>0</v>
      </c>
      <c r="F198" s="38">
        <f t="shared" si="16"/>
        <v>0</v>
      </c>
      <c r="G198" s="38">
        <f t="shared" si="16"/>
        <v>0</v>
      </c>
    </row>
    <row r="199" spans="2:7" ht="10" hidden="1" customHeight="1" x14ac:dyDescent="0.55000000000000004">
      <c r="B199" s="112"/>
      <c r="C199" s="52">
        <v>2</v>
      </c>
      <c r="D199" s="38">
        <f t="shared" si="16"/>
        <v>0</v>
      </c>
      <c r="E199" s="38">
        <f t="shared" si="16"/>
        <v>0</v>
      </c>
      <c r="F199" s="38">
        <f t="shared" si="16"/>
        <v>0</v>
      </c>
      <c r="G199" s="38">
        <f t="shared" si="16"/>
        <v>0</v>
      </c>
    </row>
    <row r="200" spans="2:7" ht="10" hidden="1" customHeight="1" x14ac:dyDescent="0.55000000000000004">
      <c r="B200" s="114"/>
      <c r="C200" s="52">
        <v>3</v>
      </c>
      <c r="D200" s="38">
        <f>SUM(D170+D174+D178+D182)</f>
        <v>0</v>
      </c>
      <c r="E200" s="38">
        <f>SUM(E170+E174+E178+E182)</f>
        <v>0</v>
      </c>
      <c r="F200" s="38">
        <f>SUM(F170+F174+F178+F182)</f>
        <v>0</v>
      </c>
      <c r="G200" s="38">
        <f>SUM(G170+G174+G178+G182)</f>
        <v>0</v>
      </c>
    </row>
    <row r="201" spans="2:7" ht="10" hidden="1" customHeight="1" x14ac:dyDescent="0.55000000000000004">
      <c r="B201" s="54" t="s">
        <v>736</v>
      </c>
      <c r="C201" s="54"/>
      <c r="D201" s="49">
        <f>COUNTIF(D197:D200, "&lt;&gt;0")</f>
        <v>0</v>
      </c>
      <c r="E201" s="49">
        <f>COUNTIF(E197:E200, "&lt;&gt;0")</f>
        <v>0</v>
      </c>
      <c r="F201" s="49">
        <f>COUNTIF(F197:F200, "&lt;&gt;0")</f>
        <v>0</v>
      </c>
      <c r="G201" s="49">
        <f>COUNTIF(G197:G200, "&lt;&gt;0")</f>
        <v>0</v>
      </c>
    </row>
    <row r="202" spans="2:7" ht="10" hidden="1" customHeight="1" x14ac:dyDescent="0.55000000000000004">
      <c r="B202" s="111"/>
      <c r="C202" s="41"/>
      <c r="D202" s="41"/>
      <c r="E202" s="41"/>
    </row>
    <row r="203" spans="2:7" ht="10" customHeight="1" x14ac:dyDescent="0.55000000000000004">
      <c r="B203" s="111"/>
      <c r="C203" s="41"/>
      <c r="D203" s="41"/>
      <c r="E203" s="41"/>
    </row>
    <row r="204" spans="2:7" ht="10" customHeight="1" x14ac:dyDescent="0.55000000000000004">
      <c r="B204" s="169" t="s">
        <v>1719</v>
      </c>
      <c r="C204" s="170"/>
      <c r="D204" s="110" t="s">
        <v>1720</v>
      </c>
      <c r="E204" s="110" t="s">
        <v>1721</v>
      </c>
    </row>
    <row r="205" spans="2:7" ht="10" customHeight="1" x14ac:dyDescent="0.55000000000000004">
      <c r="B205" s="171" t="s">
        <v>275</v>
      </c>
      <c r="C205" s="38" t="s">
        <v>1722</v>
      </c>
      <c r="D205" s="38">
        <f>COUNTIF('PF327'!Y10:Y335,"PWM_LINE1_P[0](0)")</f>
        <v>0</v>
      </c>
      <c r="E205" s="38">
        <f>COUNTIF('PF327'!Y10:Y335,"PWM_LINE1_P[1](0)")</f>
        <v>0</v>
      </c>
    </row>
    <row r="206" spans="2:7" ht="10" customHeight="1" x14ac:dyDescent="0.55000000000000004">
      <c r="B206" s="174"/>
      <c r="C206" s="38" t="s">
        <v>1723</v>
      </c>
      <c r="D206" s="38">
        <f>COUNTIF('PF327'!Y10:Y335,"PWM_LINE1_P[0](1)")</f>
        <v>0</v>
      </c>
      <c r="E206" s="38">
        <f>COUNTIF('PF327'!Y10:Y335,"PWM_LINE1_P[1](1)")</f>
        <v>0</v>
      </c>
    </row>
    <row r="207" spans="2:7" ht="10" customHeight="1" x14ac:dyDescent="0.55000000000000004">
      <c r="B207" s="174"/>
      <c r="C207" s="38" t="s">
        <v>1730</v>
      </c>
      <c r="D207" s="38">
        <f>COUNTIF('PF327'!Y10:Y335,"PWM_LINE1_P[0](2)")</f>
        <v>0</v>
      </c>
      <c r="E207" s="38">
        <f>COUNTIF('PF327'!Y10:Y335,"PWM_LINE1_P[1](2)")</f>
        <v>0</v>
      </c>
    </row>
    <row r="208" spans="2:7" ht="10" customHeight="1" x14ac:dyDescent="0.55000000000000004">
      <c r="B208" s="174"/>
      <c r="C208" s="38" t="s">
        <v>1731</v>
      </c>
      <c r="D208" s="38">
        <f>COUNTIF('PF327'!Y10:Y335,"PWM_LINE1_P[0](3)")</f>
        <v>0</v>
      </c>
      <c r="E208" s="38">
        <f>COUNTIF('PF327'!Y10:Y335,"PWM_LINE1_P[1](3)")</f>
        <v>0</v>
      </c>
    </row>
    <row r="209" spans="2:8" ht="10" customHeight="1" x14ac:dyDescent="0.55000000000000004">
      <c r="B209" s="174"/>
      <c r="C209" s="38" t="s">
        <v>1724</v>
      </c>
      <c r="D209" s="38">
        <f>COUNTIF('PF327'!Y10:Y335,"PWM_LINE1_N[0](0)")</f>
        <v>0</v>
      </c>
      <c r="E209" s="38">
        <f>COUNTIF('PF327'!Y10:Y335,"PWM_LINE1_N[1](0)")</f>
        <v>0</v>
      </c>
    </row>
    <row r="210" spans="2:8" ht="10" customHeight="1" x14ac:dyDescent="0.55000000000000004">
      <c r="B210" s="174"/>
      <c r="C210" s="38" t="s">
        <v>1732</v>
      </c>
      <c r="D210" s="38">
        <f>COUNTIF('PF327'!Y10:Y335,"PWM_LINE1_N[0](1)")</f>
        <v>0</v>
      </c>
      <c r="E210" s="38">
        <f>COUNTIF('PF327'!Y10:Y335,"PWM_LINE1_N[1](1)")</f>
        <v>0</v>
      </c>
    </row>
    <row r="211" spans="2:8" ht="10" customHeight="1" x14ac:dyDescent="0.55000000000000004">
      <c r="B211" s="174"/>
      <c r="C211" s="38" t="s">
        <v>1733</v>
      </c>
      <c r="D211" s="38">
        <f>COUNTIF('PF327'!Y10:Y335,"PWM_LINE1_N[0](2)")</f>
        <v>0</v>
      </c>
      <c r="E211" s="38">
        <f>COUNTIF('PF327'!Y10:Y335,"PWM_LINE1_N[1](2)")</f>
        <v>0</v>
      </c>
    </row>
    <row r="212" spans="2:8" ht="10" customHeight="1" x14ac:dyDescent="0.55000000000000004">
      <c r="B212" s="174"/>
      <c r="C212" s="38" t="s">
        <v>1734</v>
      </c>
      <c r="D212" s="38">
        <f>COUNTIF('PF327'!Y10:Y335,"PWM_LINE1_N[0](3)")</f>
        <v>0</v>
      </c>
      <c r="E212" s="38">
        <f>COUNTIF('PF327'!Y10:Y335,"PWM_LINE1_N[1](3)")</f>
        <v>0</v>
      </c>
    </row>
    <row r="213" spans="2:8" ht="10" customHeight="1" x14ac:dyDescent="0.55000000000000004">
      <c r="B213" s="174"/>
      <c r="C213" s="38" t="s">
        <v>1725</v>
      </c>
      <c r="D213" s="38">
        <f>COUNTIF('PF327'!Y10:Y335,"PWM_LINE2_P[0](0)")</f>
        <v>0</v>
      </c>
      <c r="E213" s="38">
        <f>COUNTIF('PF327'!Y10:Y335,"PWM_LINE2_P[1](0)")</f>
        <v>0</v>
      </c>
    </row>
    <row r="214" spans="2:8" ht="10" customHeight="1" x14ac:dyDescent="0.55000000000000004">
      <c r="B214" s="174"/>
      <c r="C214" s="38" t="s">
        <v>1726</v>
      </c>
      <c r="D214" s="38">
        <f>COUNTIF('PF327'!Y10:Y335,"PWM_LINE2_P[0](1)")</f>
        <v>0</v>
      </c>
      <c r="E214" s="38">
        <f>COUNTIF('PF327'!Y10:Y335,"PWM_LINE2_P[1](1)")</f>
        <v>0</v>
      </c>
    </row>
    <row r="215" spans="2:8" ht="10" customHeight="1" x14ac:dyDescent="0.55000000000000004">
      <c r="B215" s="174"/>
      <c r="C215" s="38" t="s">
        <v>1735</v>
      </c>
      <c r="D215" s="38">
        <f>COUNTIF('PF327'!Y10:Y335,"PWM_LINE2_P[0](3)")</f>
        <v>0</v>
      </c>
      <c r="E215" s="38">
        <f>COUNTIF('PF327'!Y10:Y335,"PWM_LINE2_P[1](3)")</f>
        <v>0</v>
      </c>
    </row>
    <row r="216" spans="2:8" ht="10" customHeight="1" x14ac:dyDescent="0.55000000000000004">
      <c r="B216" s="174"/>
      <c r="C216" s="38" t="s">
        <v>1727</v>
      </c>
      <c r="D216" s="38">
        <f>COUNTIF('PF327'!Y10:Y335,"PWM_LINE2_N[0](0)")</f>
        <v>0</v>
      </c>
      <c r="E216" s="38">
        <f>COUNTIF('PF327'!Y10:Y335,"PWM_LINE2_N[1](0)")</f>
        <v>0</v>
      </c>
    </row>
    <row r="217" spans="2:8" ht="10" customHeight="1" x14ac:dyDescent="0.55000000000000004">
      <c r="B217" s="174"/>
      <c r="C217" s="38" t="s">
        <v>1728</v>
      </c>
      <c r="D217" s="38">
        <f>COUNTIF('PF327'!Y10:Y335,"PWM_LINE2_N[0](1)")</f>
        <v>0</v>
      </c>
      <c r="E217" s="38">
        <f>COUNTIF('PF327'!Y10:Y335,"PWM_LINE2_N[1](1)")</f>
        <v>0</v>
      </c>
    </row>
    <row r="218" spans="2:8" ht="10" customHeight="1" x14ac:dyDescent="0.55000000000000004">
      <c r="B218" s="174"/>
      <c r="C218" s="38" t="s">
        <v>1736</v>
      </c>
      <c r="D218" s="38">
        <f>COUNTIF('PF327'!Y10:Y335,"PWM_LINE2_N[0](3)")</f>
        <v>0</v>
      </c>
      <c r="E218" s="38">
        <f>COUNTIF('PF327'!Y10:Y335,"PWM_LINE2_N[1](3)")</f>
        <v>0</v>
      </c>
    </row>
    <row r="219" spans="2:8" ht="10" customHeight="1" x14ac:dyDescent="0.55000000000000004">
      <c r="B219" s="175"/>
      <c r="C219" s="38" t="s">
        <v>1772</v>
      </c>
      <c r="D219" s="38">
        <f>COUNTIF('PF327'!Y10:Y335,"PWM_MCK[0]")</f>
        <v>0</v>
      </c>
      <c r="E219" s="38">
        <f>COUNTIF('PF327'!Y10:Y335,"PWM_MCK[1]")</f>
        <v>0</v>
      </c>
    </row>
    <row r="220" spans="2:8" ht="10" customHeight="1" x14ac:dyDescent="0.55000000000000004">
      <c r="B220" s="111"/>
      <c r="C220" s="41"/>
      <c r="D220" s="41"/>
      <c r="E220" s="41"/>
    </row>
    <row r="222" spans="2:8" x14ac:dyDescent="0.55000000000000004">
      <c r="B222" s="169" t="s">
        <v>1792</v>
      </c>
      <c r="C222" s="170"/>
      <c r="D222" s="116" t="s">
        <v>1793</v>
      </c>
      <c r="E222" s="116" t="s">
        <v>1794</v>
      </c>
      <c r="F222" s="116" t="s">
        <v>1795</v>
      </c>
      <c r="G222" s="116" t="s">
        <v>1796</v>
      </c>
      <c r="H222" s="116" t="s">
        <v>1797</v>
      </c>
    </row>
    <row r="223" spans="2:8" x14ac:dyDescent="0.55000000000000004">
      <c r="B223" s="171" t="s">
        <v>275</v>
      </c>
      <c r="C223" s="38" t="s">
        <v>1798</v>
      </c>
      <c r="D223" s="38">
        <f>COUNTIF('PF327'!Y10:Y335,"SG_AMPL[0](0)")</f>
        <v>0</v>
      </c>
      <c r="E223" s="38">
        <f>COUNTIF('PF327'!Y10:Y335,"SG_AMPL[1](0)")</f>
        <v>0</v>
      </c>
      <c r="F223" s="38">
        <f>COUNTIF('PF327'!Y10:Y335,"SG_AMPL[2](0)")</f>
        <v>0</v>
      </c>
      <c r="G223" s="38">
        <f>COUNTIF('PF327'!Y10:Y335,"SG_AMPL[3](0)")</f>
        <v>0</v>
      </c>
      <c r="H223" s="38">
        <f>COUNTIF('PF327'!Y10:Y335,"SG_AMPL[4](0)")</f>
        <v>0</v>
      </c>
    </row>
    <row r="224" spans="2:8" x14ac:dyDescent="0.55000000000000004">
      <c r="B224" s="174"/>
      <c r="C224" s="38" t="s">
        <v>1799</v>
      </c>
      <c r="D224" s="38">
        <f>COUNTIF('PF327'!Y10:Y335,"SG_AMPL[0](1)")</f>
        <v>0</v>
      </c>
      <c r="E224" s="38">
        <f>COUNTIF('PF327'!Y10:Y335,"SG_AMPL[1](1)")</f>
        <v>0</v>
      </c>
      <c r="F224" s="38">
        <f>COUNTIF('PF327'!Y10:Y335,"SG_AMPL[2](1)")</f>
        <v>0</v>
      </c>
      <c r="G224" s="38">
        <f>COUNTIF('PF327'!Y10:Y335,"SG_AMPL[3](1)")</f>
        <v>0</v>
      </c>
      <c r="H224" s="38">
        <f>COUNTIF('PF327'!Y10:Y335,"SG_AMPL[4](1)")</f>
        <v>0</v>
      </c>
    </row>
    <row r="225" spans="2:8" ht="10" customHeight="1" x14ac:dyDescent="0.55000000000000004">
      <c r="B225" s="174"/>
      <c r="C225" s="38" t="s">
        <v>1803</v>
      </c>
      <c r="D225" s="38">
        <f>COUNTIF('PF327'!Y10:Y335,"SG_MCK[0]")</f>
        <v>0</v>
      </c>
      <c r="E225" s="38">
        <f>COUNTIF('PF327'!Y10:Y335,"SG_MCK[1]")</f>
        <v>0</v>
      </c>
      <c r="F225" s="38">
        <f>COUNTIF('PF327'!Y10:Y335,"SG_MCK[2]")</f>
        <v>0</v>
      </c>
      <c r="G225" s="38">
        <f>COUNTIF('PF327'!Y10:Y335,"SG_MCK[3]")</f>
        <v>0</v>
      </c>
      <c r="H225" s="38">
        <f>COUNTIF('PF327'!Y10:Y335,"SG_MCK[4]")</f>
        <v>0</v>
      </c>
    </row>
    <row r="226" spans="2:8" ht="10" customHeight="1" x14ac:dyDescent="0.55000000000000004">
      <c r="B226" s="174"/>
      <c r="C226" s="38" t="s">
        <v>1800</v>
      </c>
      <c r="D226" s="38">
        <f>COUNTIF('PF327'!Y10:Y335,"SG_TONE[0](0)")</f>
        <v>0</v>
      </c>
      <c r="E226" s="38">
        <f>COUNTIF('PF327'!Y10:Y335,"SG_TONE[1](0)")</f>
        <v>0</v>
      </c>
      <c r="F226" s="38">
        <f>COUNTIF('PF327'!Y10:Y335,"SG_TONE[2](0)")</f>
        <v>0</v>
      </c>
      <c r="G226" s="38">
        <f>COUNTIF('PF327'!Y10:Y335,"SG_TONE[3](0)")</f>
        <v>0</v>
      </c>
      <c r="H226" s="38">
        <f>COUNTIF('PF327'!Y10:Y335,"SG_TONE[4](0)")</f>
        <v>0</v>
      </c>
    </row>
    <row r="227" spans="2:8" ht="10" customHeight="1" x14ac:dyDescent="0.55000000000000004">
      <c r="B227" s="175"/>
      <c r="C227" s="38" t="s">
        <v>1801</v>
      </c>
      <c r="D227" s="38">
        <f>COUNTIF('PF327'!Y10:Y335,"SG_TONE[0](1)")</f>
        <v>0</v>
      </c>
      <c r="E227" s="38">
        <f>COUNTIF('PF327'!Y10:Y335,"SG_TONE[1](1)")</f>
        <v>0</v>
      </c>
      <c r="F227" s="38">
        <f>COUNTIF('PF327'!Y10:Y335,"SG_TONE[2](1)")</f>
        <v>0</v>
      </c>
      <c r="G227" s="38">
        <f>COUNTIF('PF327'!Y10:Y335,"SG_TONE[3](1)")</f>
        <v>0</v>
      </c>
      <c r="H227" s="38">
        <f>COUNTIF('PF327'!Y10:Y335,"SG_TONE[4](1)")</f>
        <v>0</v>
      </c>
    </row>
    <row r="229" spans="2:8" x14ac:dyDescent="0.55000000000000004">
      <c r="B229" s="56"/>
      <c r="C229" s="58"/>
      <c r="D229" s="41"/>
    </row>
    <row r="230" spans="2:8" x14ac:dyDescent="0.55000000000000004">
      <c r="B230" s="185" t="s">
        <v>1769</v>
      </c>
      <c r="C230" s="185"/>
      <c r="D230" s="115" t="s">
        <v>1771</v>
      </c>
    </row>
    <row r="231" spans="2:8" x14ac:dyDescent="0.55000000000000004">
      <c r="B231" s="126" t="s">
        <v>1805</v>
      </c>
      <c r="C231" s="38" t="s">
        <v>1804</v>
      </c>
      <c r="D231" s="38">
        <f>COUNTIF('PF327'!Y10:Y335,"TTL_CAP0_CLK")</f>
        <v>0</v>
      </c>
    </row>
    <row r="232" spans="2:8" x14ac:dyDescent="0.55000000000000004">
      <c r="B232" s="127"/>
      <c r="C232" s="38" t="s">
        <v>1806</v>
      </c>
      <c r="D232" s="38">
        <f>COUNTIF('PF327'!Y10:Y335,"TTL_CAP0_DATA[0]")</f>
        <v>0</v>
      </c>
    </row>
    <row r="233" spans="2:8" x14ac:dyDescent="0.55000000000000004">
      <c r="B233" s="127"/>
      <c r="C233" s="38" t="s">
        <v>1743</v>
      </c>
      <c r="D233" s="38">
        <f>COUNTIF('PF327'!Y10:Y335,"TTL_CAP0_DATA[1]")</f>
        <v>0</v>
      </c>
    </row>
    <row r="234" spans="2:8" x14ac:dyDescent="0.55000000000000004">
      <c r="B234" s="127"/>
      <c r="C234" s="38" t="s">
        <v>1757</v>
      </c>
      <c r="D234" s="38">
        <f>COUNTIF('PF327'!Y10:Y335,"TTL_CAP0_DATA[2]")</f>
        <v>0</v>
      </c>
    </row>
    <row r="235" spans="2:8" x14ac:dyDescent="0.55000000000000004">
      <c r="B235" s="127"/>
      <c r="C235" s="38" t="s">
        <v>1745</v>
      </c>
      <c r="D235" s="38">
        <f>COUNTIF('PF327'!Y10:Y335,"TTL_CAP0_DATA[3]")</f>
        <v>0</v>
      </c>
    </row>
    <row r="236" spans="2:8" x14ac:dyDescent="0.55000000000000004">
      <c r="B236" s="127"/>
      <c r="C236" s="38" t="s">
        <v>1759</v>
      </c>
      <c r="D236" s="38">
        <f>COUNTIF('PF327'!Y10:Y335,"TTL_CAP0_DATA[4]")</f>
        <v>0</v>
      </c>
    </row>
    <row r="237" spans="2:8" x14ac:dyDescent="0.55000000000000004">
      <c r="B237" s="127"/>
      <c r="C237" s="38" t="s">
        <v>1747</v>
      </c>
      <c r="D237" s="38">
        <f>COUNTIF('PF327'!Y10:Y335,"TTL_CAP0_DATA[5]")</f>
        <v>0</v>
      </c>
    </row>
    <row r="238" spans="2:8" x14ac:dyDescent="0.55000000000000004">
      <c r="B238" s="127"/>
      <c r="C238" s="38" t="s">
        <v>1761</v>
      </c>
      <c r="D238" s="38">
        <f>COUNTIF('PF327'!Y10:Y335,"TTL_CAP0_DATA[6]")</f>
        <v>0</v>
      </c>
    </row>
    <row r="239" spans="2:8" x14ac:dyDescent="0.55000000000000004">
      <c r="B239" s="127"/>
      <c r="C239" s="38" t="s">
        <v>1749</v>
      </c>
      <c r="D239" s="38">
        <f>COUNTIF('PF327'!Y10:Y335,"TTL_CAP0_DATA[7]")</f>
        <v>0</v>
      </c>
    </row>
    <row r="240" spans="2:8" x14ac:dyDescent="0.55000000000000004">
      <c r="B240" s="127"/>
      <c r="C240" s="38" t="s">
        <v>1763</v>
      </c>
      <c r="D240" s="38">
        <f>COUNTIF('PF327'!Y10:Y335,"TTL_CAP0_DATA[8]")</f>
        <v>0</v>
      </c>
    </row>
    <row r="241" spans="2:4" x14ac:dyDescent="0.55000000000000004">
      <c r="B241" s="127"/>
      <c r="C241" s="38" t="s">
        <v>1751</v>
      </c>
      <c r="D241" s="38">
        <f>COUNTIF('PF327'!Y10:Y335,"TTL_CAP0_DATA[9]")</f>
        <v>0</v>
      </c>
    </row>
    <row r="242" spans="2:4" x14ac:dyDescent="0.55000000000000004">
      <c r="B242" s="127"/>
      <c r="C242" s="38" t="s">
        <v>1765</v>
      </c>
      <c r="D242" s="38">
        <f>COUNTIF('PF327'!Y10:Y335,"TTL_CAP0_DATA[10]")</f>
        <v>0</v>
      </c>
    </row>
    <row r="243" spans="2:4" x14ac:dyDescent="0.55000000000000004">
      <c r="B243" s="127"/>
      <c r="C243" s="38" t="s">
        <v>1753</v>
      </c>
      <c r="D243" s="38">
        <f>COUNTIF('PF327'!Y10:Y335,"TTL_CAP0_DATA[11]")</f>
        <v>0</v>
      </c>
    </row>
    <row r="244" spans="2:4" x14ac:dyDescent="0.55000000000000004">
      <c r="B244" s="127"/>
      <c r="C244" s="38" t="s">
        <v>1766</v>
      </c>
      <c r="D244" s="38">
        <f>COUNTIF('PF327'!Y10:Y335,"TTL_CAP0_DATA[12]")</f>
        <v>0</v>
      </c>
    </row>
    <row r="245" spans="2:4" x14ac:dyDescent="0.55000000000000004">
      <c r="B245" s="127"/>
      <c r="C245" s="38" t="s">
        <v>1752</v>
      </c>
      <c r="D245" s="38">
        <f>COUNTIF('PF327'!Y10:Y335,"TTL_CAP0_DATA[13]")</f>
        <v>0</v>
      </c>
    </row>
    <row r="246" spans="2:4" x14ac:dyDescent="0.55000000000000004">
      <c r="B246" s="127"/>
      <c r="C246" s="38" t="s">
        <v>1764</v>
      </c>
      <c r="D246" s="38">
        <f>COUNTIF('PF327'!Y10:Y335,"TTL_CAP0_DATA[14]")</f>
        <v>0</v>
      </c>
    </row>
    <row r="247" spans="2:4" x14ac:dyDescent="0.55000000000000004">
      <c r="B247" s="127"/>
      <c r="C247" s="38" t="s">
        <v>1750</v>
      </c>
      <c r="D247" s="38">
        <f>COUNTIF('PF327'!Y15:Y335,"TTL_CAP0_DATA[15]")</f>
        <v>0</v>
      </c>
    </row>
    <row r="248" spans="2:4" x14ac:dyDescent="0.55000000000000004">
      <c r="B248" s="127"/>
      <c r="C248" s="38" t="s">
        <v>1762</v>
      </c>
      <c r="D248" s="38">
        <f>COUNTIF('PF327'!Y10:Y335,"TTL_CAP0_DATA[16]")</f>
        <v>0</v>
      </c>
    </row>
    <row r="249" spans="2:4" x14ac:dyDescent="0.55000000000000004">
      <c r="B249" s="127"/>
      <c r="C249" s="38" t="s">
        <v>1748</v>
      </c>
      <c r="D249" s="38">
        <f>COUNTIF('PF327'!Y10:Y335,"TTL_CAP0_DATA[17]")</f>
        <v>0</v>
      </c>
    </row>
    <row r="250" spans="2:4" x14ac:dyDescent="0.55000000000000004">
      <c r="B250" s="127"/>
      <c r="C250" s="38" t="s">
        <v>1760</v>
      </c>
      <c r="D250" s="38">
        <f>COUNTIF('PF327'!Y10:Y335,"TTL_CAP0_DATA[18]")</f>
        <v>0</v>
      </c>
    </row>
    <row r="251" spans="2:4" x14ac:dyDescent="0.55000000000000004">
      <c r="B251" s="127"/>
      <c r="C251" s="38" t="s">
        <v>1746</v>
      </c>
      <c r="D251" s="38">
        <f>COUNTIF('PF327'!Y10:Y335,"TTL_CAP0_DATA[19]")</f>
        <v>0</v>
      </c>
    </row>
    <row r="252" spans="2:4" x14ac:dyDescent="0.55000000000000004">
      <c r="B252" s="127"/>
      <c r="C252" s="38" t="s">
        <v>1758</v>
      </c>
      <c r="D252" s="38">
        <f>COUNTIF('PF327'!Y10:Y335,"TTL_CAP0_DATA[20]")</f>
        <v>0</v>
      </c>
    </row>
    <row r="253" spans="2:4" x14ac:dyDescent="0.55000000000000004">
      <c r="B253" s="127"/>
      <c r="C253" s="38" t="s">
        <v>1744</v>
      </c>
      <c r="D253" s="38">
        <f>COUNTIF('PF327'!Y10:Y335,"TTL_CAP0_DATA[21]")</f>
        <v>0</v>
      </c>
    </row>
    <row r="254" spans="2:4" x14ac:dyDescent="0.55000000000000004">
      <c r="B254" s="127"/>
      <c r="C254" s="38" t="s">
        <v>1756</v>
      </c>
      <c r="D254" s="38">
        <f>COUNTIF('PF327'!Y10:Y335,"TTL_CAP0_DATA[22]")</f>
        <v>0</v>
      </c>
    </row>
    <row r="255" spans="2:4" x14ac:dyDescent="0.55000000000000004">
      <c r="B255" s="127"/>
      <c r="C255" s="38" t="s">
        <v>1742</v>
      </c>
      <c r="D255" s="38">
        <f>COUNTIF('PF327'!Y10:Y335,"TTL_CAP0_DATA[23]")</f>
        <v>0</v>
      </c>
    </row>
    <row r="256" spans="2:4" x14ac:dyDescent="0.55000000000000004">
      <c r="B256" s="127"/>
      <c r="C256" s="38" t="s">
        <v>1754</v>
      </c>
      <c r="D256" s="38">
        <f>COUNTIF('PF327'!Y10:Y335,"TTL_CAP0_DATA[24]")</f>
        <v>0</v>
      </c>
    </row>
    <row r="257" spans="2:5" x14ac:dyDescent="0.55000000000000004">
      <c r="B257" s="127"/>
      <c r="C257" s="38" t="s">
        <v>1740</v>
      </c>
      <c r="D257" s="38">
        <f>COUNTIF('PF327'!Y10:Y335,"TTL_CAP0_DATA[25]")</f>
        <v>0</v>
      </c>
    </row>
    <row r="258" spans="2:5" x14ac:dyDescent="0.55000000000000004">
      <c r="B258" s="128"/>
      <c r="C258" s="38" t="s">
        <v>1767</v>
      </c>
      <c r="D258" s="38">
        <f>COUNTIF('PF327'!Y10:Y335,"TTL_CAP0_DATA[26]")</f>
        <v>0</v>
      </c>
    </row>
    <row r="261" spans="2:5" x14ac:dyDescent="0.55000000000000004">
      <c r="B261" s="185" t="s">
        <v>1769</v>
      </c>
      <c r="C261" s="185"/>
      <c r="D261" s="115" t="s">
        <v>1770</v>
      </c>
    </row>
    <row r="262" spans="2:5" x14ac:dyDescent="0.55000000000000004">
      <c r="B262" s="126" t="s">
        <v>275</v>
      </c>
      <c r="C262" s="38" t="s">
        <v>1807</v>
      </c>
      <c r="D262" s="38">
        <f>COUNTIF('PF327'!Y10:Y335,"TTL_DSP1_DATA_A0[0]")</f>
        <v>0</v>
      </c>
      <c r="E262" s="129"/>
    </row>
    <row r="263" spans="2:5" x14ac:dyDescent="0.55000000000000004">
      <c r="B263" s="127"/>
      <c r="C263" s="38" t="s">
        <v>1375</v>
      </c>
      <c r="D263" s="38">
        <f>COUNTIF('PF327'!Y10:Y335,"TTL_DSP1_DATA_A0[1]")</f>
        <v>0</v>
      </c>
      <c r="E263" s="129"/>
    </row>
    <row r="264" spans="2:5" x14ac:dyDescent="0.55000000000000004">
      <c r="B264" s="127"/>
      <c r="C264" s="38" t="s">
        <v>1386</v>
      </c>
      <c r="D264" s="38">
        <f>COUNTIF('PF327'!Y10:Y335,"TTL_DSP1_DATA_A0[2]")</f>
        <v>0</v>
      </c>
      <c r="E264" s="129"/>
    </row>
    <row r="265" spans="2:5" x14ac:dyDescent="0.55000000000000004">
      <c r="B265" s="127"/>
      <c r="C265" s="38" t="s">
        <v>1394</v>
      </c>
      <c r="D265" s="38">
        <f>COUNTIF('PF327'!Y10:Y335,"TTL_DSP1_DATA_A0[3]")</f>
        <v>0</v>
      </c>
      <c r="E265" s="129"/>
    </row>
    <row r="266" spans="2:5" x14ac:dyDescent="0.55000000000000004">
      <c r="B266" s="127"/>
      <c r="C266" s="38" t="s">
        <v>1403</v>
      </c>
      <c r="D266" s="38">
        <f>COUNTIF('PF327'!Y10:Y335,"TTL_DSP1_DATA_A0[4]")</f>
        <v>0</v>
      </c>
      <c r="E266" s="129"/>
    </row>
    <row r="267" spans="2:5" x14ac:dyDescent="0.55000000000000004">
      <c r="B267" s="127"/>
      <c r="C267" s="38" t="s">
        <v>1409</v>
      </c>
      <c r="D267" s="38">
        <f>COUNTIF('PF327'!Y10:Y335,"TTL_DSP1_DATA_A0[5]")</f>
        <v>0</v>
      </c>
      <c r="E267" s="129"/>
    </row>
    <row r="268" spans="2:5" x14ac:dyDescent="0.55000000000000004">
      <c r="B268" s="127"/>
      <c r="C268" s="38" t="s">
        <v>1413</v>
      </c>
      <c r="D268" s="38">
        <f>COUNTIF('PF327'!Y10:Y335,"TTL_DSP1_DATA_A0[6]")</f>
        <v>0</v>
      </c>
      <c r="E268" s="129"/>
    </row>
    <row r="269" spans="2:5" x14ac:dyDescent="0.55000000000000004">
      <c r="B269" s="127"/>
      <c r="C269" s="38" t="s">
        <v>1420</v>
      </c>
      <c r="D269" s="38">
        <f>COUNTIF('PF327'!Y10:Y335,"TTL_DSP1_DATA_A0[7]")</f>
        <v>0</v>
      </c>
      <c r="E269" s="129"/>
    </row>
    <row r="270" spans="2:5" x14ac:dyDescent="0.55000000000000004">
      <c r="B270" s="127"/>
      <c r="C270" s="38" t="s">
        <v>1426</v>
      </c>
      <c r="D270" s="38">
        <f>COUNTIF('PF327'!Y10:Y335,"TTL_DSP1_DATA_A0[8]")</f>
        <v>0</v>
      </c>
      <c r="E270" s="129"/>
    </row>
    <row r="271" spans="2:5" x14ac:dyDescent="0.55000000000000004">
      <c r="B271" s="127"/>
      <c r="C271" s="38" t="s">
        <v>1430</v>
      </c>
      <c r="D271" s="38">
        <f>COUNTIF('PF327'!Y10:Y335,"TTL_DSP1_DATA_A0[9]")</f>
        <v>0</v>
      </c>
      <c r="E271" s="129"/>
    </row>
    <row r="272" spans="2:5" x14ac:dyDescent="0.55000000000000004">
      <c r="B272" s="127"/>
      <c r="C272" s="38" t="s">
        <v>1808</v>
      </c>
      <c r="D272" s="38">
        <f>COUNTIF('PF327'!Y10:Y335,"TTL_DSP1_DATA_A0[10]")</f>
        <v>0</v>
      </c>
      <c r="E272" s="129"/>
    </row>
    <row r="273" spans="2:5" x14ac:dyDescent="0.55000000000000004">
      <c r="B273" s="127"/>
      <c r="C273" s="38" t="s">
        <v>1809</v>
      </c>
      <c r="D273" s="38">
        <f>COUNTIF('PF327'!Y10:Y335,"TTL_DSP1_DATA_A0[11]")</f>
        <v>0</v>
      </c>
      <c r="E273" s="129"/>
    </row>
    <row r="274" spans="2:5" x14ac:dyDescent="0.55000000000000004">
      <c r="B274" s="127"/>
      <c r="C274" s="38" t="s">
        <v>1336</v>
      </c>
      <c r="D274" s="38">
        <f>COUNTIF('PF327'!Y10:Y335,"TTL_DSP1_DATA_A1[0]")</f>
        <v>0</v>
      </c>
      <c r="E274" s="129"/>
    </row>
    <row r="275" spans="2:5" x14ac:dyDescent="0.55000000000000004">
      <c r="B275" s="127"/>
      <c r="C275" s="38" t="s">
        <v>1381</v>
      </c>
      <c r="D275" s="38">
        <f>COUNTIF('PF327'!Y10:Y335,"TTL_DSP1_DATA_A1[1]")</f>
        <v>0</v>
      </c>
      <c r="E275" s="129"/>
    </row>
    <row r="276" spans="2:5" x14ac:dyDescent="0.55000000000000004">
      <c r="B276" s="127"/>
      <c r="C276" s="38" t="s">
        <v>1390</v>
      </c>
      <c r="D276" s="38">
        <f>COUNTIF('PF327'!Y10:Y335,"TTL_DSP1_DATA_A1[2]")</f>
        <v>0</v>
      </c>
      <c r="E276" s="129"/>
    </row>
    <row r="277" spans="2:5" x14ac:dyDescent="0.55000000000000004">
      <c r="B277" s="127"/>
      <c r="C277" s="38" t="s">
        <v>1399</v>
      </c>
      <c r="D277" s="38">
        <f>COUNTIF('PF327'!Y10:Y335,"TTL_DSP1_DATA_A1[3]")</f>
        <v>0</v>
      </c>
      <c r="E277" s="129"/>
    </row>
    <row r="278" spans="2:5" x14ac:dyDescent="0.55000000000000004">
      <c r="B278" s="127"/>
      <c r="C278" s="38" t="s">
        <v>1406</v>
      </c>
      <c r="D278" s="38">
        <f>COUNTIF('PF327'!Y10:Y335,"TTL_DSP1_DATA_A1[4]")</f>
        <v>0</v>
      </c>
      <c r="E278" s="129"/>
    </row>
    <row r="279" spans="2:5" x14ac:dyDescent="0.55000000000000004">
      <c r="B279" s="127"/>
      <c r="C279" s="38" t="s">
        <v>1411</v>
      </c>
      <c r="D279" s="38">
        <f>COUNTIF('PF327'!Y10:Y335,"TTL_DSP1_DATA_A1[5]")</f>
        <v>0</v>
      </c>
      <c r="E279" s="129"/>
    </row>
    <row r="280" spans="2:5" x14ac:dyDescent="0.55000000000000004">
      <c r="B280" s="127"/>
      <c r="C280" s="38" t="s">
        <v>1417</v>
      </c>
      <c r="D280" s="38">
        <f>COUNTIF('PF327'!Y10:Y335,"TTL_DSP1_DATA_A1[6]")</f>
        <v>0</v>
      </c>
      <c r="E280" s="129"/>
    </row>
    <row r="281" spans="2:5" x14ac:dyDescent="0.55000000000000004">
      <c r="B281" s="127"/>
      <c r="C281" s="38" t="s">
        <v>1423</v>
      </c>
      <c r="D281" s="38">
        <f>COUNTIF('PF327'!Y10:Y335,"TTL_DSP1_DATA_A1[7]")</f>
        <v>0</v>
      </c>
      <c r="E281" s="129"/>
    </row>
    <row r="282" spans="2:5" x14ac:dyDescent="0.55000000000000004">
      <c r="B282" s="127"/>
      <c r="C282" s="38" t="s">
        <v>1428</v>
      </c>
      <c r="D282" s="38">
        <f>COUNTIF('PF327'!Y10:Y335,"TTL_DSP1_DATA_A1[8]")</f>
        <v>0</v>
      </c>
      <c r="E282" s="129"/>
    </row>
    <row r="283" spans="2:5" x14ac:dyDescent="0.55000000000000004">
      <c r="B283" s="127"/>
      <c r="C283" s="38" t="s">
        <v>1431</v>
      </c>
      <c r="D283" s="38">
        <f>COUNTIF('PF327'!Y10:Y335,"TTL_DSP1_DATA_A1[9]")</f>
        <v>0</v>
      </c>
      <c r="E283" s="129"/>
    </row>
    <row r="284" spans="2:5" x14ac:dyDescent="0.55000000000000004">
      <c r="B284" s="127"/>
      <c r="C284" s="38" t="s">
        <v>1438</v>
      </c>
      <c r="D284" s="38">
        <f>COUNTIF('PF327'!Y10:Y335,"TTL_DSP1_DATA_A1[10]")</f>
        <v>0</v>
      </c>
      <c r="E284" s="129"/>
    </row>
    <row r="285" spans="2:5" x14ac:dyDescent="0.55000000000000004">
      <c r="B285" s="127"/>
      <c r="C285" s="38" t="s">
        <v>1810</v>
      </c>
      <c r="D285" s="38">
        <f>COUNTIF('PF327'!Y10:Y335,"TTL_DSP1_DATA_A1[11]")</f>
        <v>0</v>
      </c>
      <c r="E285" s="129"/>
    </row>
    <row r="286" spans="2:5" x14ac:dyDescent="0.55000000000000004">
      <c r="B286" s="127"/>
      <c r="C286" s="38" t="s">
        <v>1454</v>
      </c>
      <c r="D286" s="38">
        <f>COUNTIF('PF327'!Y10:Y335,"TTL_DSP1_CONTROL[0]")</f>
        <v>0</v>
      </c>
      <c r="E286" s="129"/>
    </row>
    <row r="287" spans="2:5" x14ac:dyDescent="0.55000000000000004">
      <c r="B287" s="127"/>
      <c r="C287" s="38" t="s">
        <v>1811</v>
      </c>
      <c r="D287" s="38">
        <f>COUNTIF('PF327'!Y10:Y335,"TTL_DSP1_CONTROL[1]")</f>
        <v>0</v>
      </c>
      <c r="E287" s="129"/>
    </row>
    <row r="288" spans="2:5" x14ac:dyDescent="0.55000000000000004">
      <c r="B288" s="127"/>
      <c r="C288" s="38" t="s">
        <v>1464</v>
      </c>
      <c r="D288" s="38">
        <f>COUNTIF('PF327'!Y10:Y335,"TTL_DSP1_CONTROL[2]")</f>
        <v>0</v>
      </c>
      <c r="E288" s="129"/>
    </row>
    <row r="289" spans="2:5" x14ac:dyDescent="0.55000000000000004">
      <c r="B289" s="127"/>
      <c r="C289" s="38" t="s">
        <v>1270</v>
      </c>
      <c r="D289" s="38">
        <f>COUNTIF('PF327'!Y10:Y335,"TTL_DSP1_CONTROL[3]")</f>
        <v>0</v>
      </c>
      <c r="E289" s="129"/>
    </row>
    <row r="290" spans="2:5" x14ac:dyDescent="0.55000000000000004">
      <c r="B290" s="127"/>
      <c r="C290" s="38" t="s">
        <v>1812</v>
      </c>
      <c r="D290" s="38">
        <f>COUNTIF('PF327'!Y10:Y335,"TTL_DSP1_CONTROL[4]")</f>
        <v>0</v>
      </c>
      <c r="E290" s="129"/>
    </row>
    <row r="291" spans="2:5" x14ac:dyDescent="0.55000000000000004">
      <c r="B291" s="127"/>
      <c r="C291" s="38" t="s">
        <v>1813</v>
      </c>
      <c r="D291" s="38">
        <f>COUNTIF('PF327'!Y10:Y335,"TTL_DSP1_CONTROL[5]")</f>
        <v>0</v>
      </c>
      <c r="E291" s="129"/>
    </row>
    <row r="292" spans="2:5" x14ac:dyDescent="0.55000000000000004">
      <c r="B292" s="127"/>
      <c r="C292" s="38" t="s">
        <v>1814</v>
      </c>
      <c r="D292" s="38">
        <f>COUNTIF('PF327'!Y10:Y335,"TTL_DSP1_CONTROL[6]")</f>
        <v>0</v>
      </c>
      <c r="E292" s="129"/>
    </row>
    <row r="293" spans="2:5" x14ac:dyDescent="0.55000000000000004">
      <c r="B293" s="127"/>
      <c r="C293" s="38" t="s">
        <v>1815</v>
      </c>
      <c r="D293" s="38">
        <f>COUNTIF('PF327'!Y10:Y335,"TTL_DSP1_CONTROL[7]")</f>
        <v>0</v>
      </c>
      <c r="E293" s="129"/>
    </row>
    <row r="294" spans="2:5" x14ac:dyDescent="0.55000000000000004">
      <c r="B294" s="127"/>
      <c r="C294" s="38" t="s">
        <v>1292</v>
      </c>
      <c r="D294" s="38">
        <f>COUNTIF('PF327'!Y10:Y335,"TTL_DSP1_CONTROL[8]")</f>
        <v>0</v>
      </c>
      <c r="E294" s="129"/>
    </row>
    <row r="295" spans="2:5" x14ac:dyDescent="0.55000000000000004">
      <c r="B295" s="127"/>
      <c r="C295" s="38" t="s">
        <v>1294</v>
      </c>
      <c r="D295" s="38">
        <f>COUNTIF('PF327'!Y10:Y335,"TTL_DSP1_CONTROL[9]")</f>
        <v>0</v>
      </c>
      <c r="E295" s="129"/>
    </row>
    <row r="296" spans="2:5" x14ac:dyDescent="0.55000000000000004">
      <c r="B296" s="127"/>
      <c r="C296" s="38" t="s">
        <v>1816</v>
      </c>
      <c r="D296" s="38">
        <f>COUNTIF('PF327'!Y10:Y335,"TTL_DSP1_CONTROL[10]")</f>
        <v>0</v>
      </c>
      <c r="E296" s="129"/>
    </row>
    <row r="297" spans="2:5" x14ac:dyDescent="0.55000000000000004">
      <c r="B297" s="127"/>
      <c r="C297" s="38" t="s">
        <v>1817</v>
      </c>
      <c r="D297" s="38">
        <f>COUNTIF('PF327'!Y10:Y335,"TTL_DSP1_CONTROL[11]")</f>
        <v>0</v>
      </c>
      <c r="E297" s="129"/>
    </row>
    <row r="298" spans="2:5" ht="10" customHeight="1" x14ac:dyDescent="0.55000000000000004">
      <c r="B298" s="128"/>
      <c r="C298" s="38" t="s">
        <v>1545</v>
      </c>
      <c r="D298" s="132">
        <f>COUNTIF('PF327'!Y10:Y335,"TTL_DSP1_CLOCK")</f>
        <v>0</v>
      </c>
      <c r="E298" s="130"/>
    </row>
  </sheetData>
  <sheetProtection algorithmName="SHA-512" hashValue="2AuZQbXVta4+t54rYrRBdWNh+ELvMiQk3ZhmtvqWrWykIDk8yBX0k8/EASJQPEgagWbI8XZdIOYqaRg1cVXV5A==" saltValue="8G7sX/w+6lUB3uO6Nf0cqg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7">
    <mergeCell ref="B230:C230"/>
    <mergeCell ref="B261:C261"/>
    <mergeCell ref="B205:B219"/>
    <mergeCell ref="B57:C57"/>
    <mergeCell ref="B75:B98"/>
    <mergeCell ref="B101:C101"/>
    <mergeCell ref="B135:C135"/>
    <mergeCell ref="B136:B153"/>
    <mergeCell ref="B58:B59"/>
    <mergeCell ref="B69:B70"/>
    <mergeCell ref="B63:C63"/>
    <mergeCell ref="B223:B227"/>
    <mergeCell ref="B17:B19"/>
    <mergeCell ref="B40:B41"/>
    <mergeCell ref="B24:B35"/>
    <mergeCell ref="B36:B39"/>
    <mergeCell ref="B22:C22"/>
    <mergeCell ref="B7:C7"/>
    <mergeCell ref="B8:B9"/>
    <mergeCell ref="B11:C11"/>
    <mergeCell ref="B12:B13"/>
    <mergeCell ref="B16:C16"/>
    <mergeCell ref="B51:C51"/>
    <mergeCell ref="B52:C52"/>
    <mergeCell ref="B53:C53"/>
    <mergeCell ref="B23:C23"/>
    <mergeCell ref="B222:C222"/>
    <mergeCell ref="B204:C204"/>
    <mergeCell ref="B160:C160"/>
    <mergeCell ref="B161:B163"/>
    <mergeCell ref="B166:C166"/>
    <mergeCell ref="B167:B194"/>
    <mergeCell ref="B64:B65"/>
    <mergeCell ref="B68:C68"/>
    <mergeCell ref="B74:C74"/>
    <mergeCell ref="B102:B127"/>
    <mergeCell ref="B196:C196"/>
  </mergeCells>
  <phoneticPr fontId="3"/>
  <conditionalFormatting sqref="D20:K21 L20:W20 D8:E9 D14:F15 G14:H14 D100:F100 D133:F133 E55:N55 D12:E13 D17:E19 F16:F19 D67:O67 D75:E99 O24:O41 D102:E128 D136:D153 D72:O72 D223:H227 D229:E229 D262:D273 D24:N42">
    <cfRule type="cellIs" dxfId="157" priority="323" operator="greaterThanOrEqual">
      <formula>2</formula>
    </cfRule>
    <cfRule type="cellIs" dxfId="156" priority="324" operator="notEqual">
      <formula>0</formula>
    </cfRule>
  </conditionalFormatting>
  <conditionalFormatting sqref="D62:CI62 D64:O65">
    <cfRule type="cellIs" dxfId="155" priority="321" operator="notEqual">
      <formula>0</formula>
    </cfRule>
    <cfRule type="cellIs" dxfId="154" priority="322" operator="greaterThanOrEqual">
      <formula>2</formula>
    </cfRule>
  </conditionalFormatting>
  <conditionalFormatting sqref="D161:E162">
    <cfRule type="cellIs" dxfId="153" priority="309" operator="greaterThanOrEqual">
      <formula>2</formula>
    </cfRule>
    <cfRule type="cellIs" dxfId="152" priority="310" operator="notEqual">
      <formula>0</formula>
    </cfRule>
  </conditionalFormatting>
  <conditionalFormatting sqref="D163:E165 D195:E195 D202:E203 D220:E220">
    <cfRule type="cellIs" dxfId="151" priority="307" operator="greaterThanOrEqual">
      <formula>2</formula>
    </cfRule>
    <cfRule type="cellIs" dxfId="150" priority="308" operator="notEqual">
      <formula>0</formula>
    </cfRule>
  </conditionalFormatting>
  <conditionalFormatting sqref="D197:D200">
    <cfRule type="cellIs" dxfId="149" priority="209" operator="greaterThanOrEqual">
      <formula>2</formula>
    </cfRule>
    <cfRule type="cellIs" dxfId="148" priority="210" operator="notEqual">
      <formula>0</formula>
    </cfRule>
  </conditionalFormatting>
  <conditionalFormatting sqref="D205">
    <cfRule type="cellIs" dxfId="147" priority="203" operator="greaterThanOrEqual">
      <formula>2</formula>
    </cfRule>
    <cfRule type="cellIs" dxfId="146" priority="204" operator="notEqual">
      <formula>0</formula>
    </cfRule>
  </conditionalFormatting>
  <conditionalFormatting sqref="D171:F172">
    <cfRule type="cellIs" dxfId="145" priority="163" operator="greaterThanOrEqual">
      <formula>2</formula>
    </cfRule>
    <cfRule type="cellIs" dxfId="144" priority="164" operator="notEqual">
      <formula>0</formula>
    </cfRule>
  </conditionalFormatting>
  <conditionalFormatting sqref="G167:G170">
    <cfRule type="cellIs" dxfId="143" priority="165" operator="greaterThanOrEqual">
      <formula>2</formula>
    </cfRule>
    <cfRule type="cellIs" dxfId="142" priority="166" operator="notEqual">
      <formula>0</formula>
    </cfRule>
  </conditionalFormatting>
  <conditionalFormatting sqref="E197:E200 F200:G200">
    <cfRule type="cellIs" dxfId="141" priority="135" operator="greaterThanOrEqual">
      <formula>2</formula>
    </cfRule>
    <cfRule type="cellIs" dxfId="140" priority="136" operator="notEqual">
      <formula>0</formula>
    </cfRule>
  </conditionalFormatting>
  <conditionalFormatting sqref="F197:F199">
    <cfRule type="cellIs" dxfId="139" priority="133" operator="greaterThanOrEqual">
      <formula>2</formula>
    </cfRule>
    <cfRule type="cellIs" dxfId="138" priority="134" operator="notEqual">
      <formula>0</formula>
    </cfRule>
  </conditionalFormatting>
  <conditionalFormatting sqref="D173:F194">
    <cfRule type="cellIs" dxfId="137" priority="159" operator="greaterThanOrEqual">
      <formula>2</formula>
    </cfRule>
    <cfRule type="cellIs" dxfId="136" priority="160" operator="notEqual">
      <formula>0</formula>
    </cfRule>
  </conditionalFormatting>
  <conditionalFormatting sqref="G173:G194">
    <cfRule type="cellIs" dxfId="135" priority="157" operator="greaterThanOrEqual">
      <formula>2</formula>
    </cfRule>
    <cfRule type="cellIs" dxfId="134" priority="158" operator="notEqual">
      <formula>0</formula>
    </cfRule>
  </conditionalFormatting>
  <conditionalFormatting sqref="D167:F170">
    <cfRule type="cellIs" dxfId="133" priority="167" operator="greaterThanOrEqual">
      <formula>2</formula>
    </cfRule>
    <cfRule type="cellIs" dxfId="132" priority="168" operator="notEqual">
      <formula>0</formula>
    </cfRule>
  </conditionalFormatting>
  <conditionalFormatting sqref="G171:G172">
    <cfRule type="cellIs" dxfId="131" priority="161" operator="greaterThanOrEqual">
      <formula>2</formula>
    </cfRule>
    <cfRule type="cellIs" dxfId="130" priority="162" operator="notEqual">
      <formula>0</formula>
    </cfRule>
  </conditionalFormatting>
  <conditionalFormatting sqref="D55">
    <cfRule type="cellIs" dxfId="129" priority="155" operator="greaterThanOrEqual">
      <formula>2</formula>
    </cfRule>
    <cfRule type="cellIs" dxfId="128" priority="156" operator="notEqual">
      <formula>0</formula>
    </cfRule>
  </conditionalFormatting>
  <conditionalFormatting sqref="G197:G199">
    <cfRule type="cellIs" dxfId="127" priority="131" operator="greaterThanOrEqual">
      <formula>2</formula>
    </cfRule>
    <cfRule type="cellIs" dxfId="126" priority="132" operator="notEqual">
      <formula>0</formula>
    </cfRule>
  </conditionalFormatting>
  <conditionalFormatting sqref="E205">
    <cfRule type="cellIs" dxfId="125" priority="129" operator="greaterThanOrEqual">
      <formula>2</formula>
    </cfRule>
    <cfRule type="cellIs" dxfId="124" priority="130" operator="notEqual">
      <formula>0</formula>
    </cfRule>
  </conditionalFormatting>
  <conditionalFormatting sqref="D206">
    <cfRule type="cellIs" dxfId="123" priority="127" operator="greaterThanOrEqual">
      <formula>2</formula>
    </cfRule>
    <cfRule type="cellIs" dxfId="122" priority="128" operator="notEqual">
      <formula>0</formula>
    </cfRule>
  </conditionalFormatting>
  <conditionalFormatting sqref="E206">
    <cfRule type="cellIs" dxfId="121" priority="125" operator="greaterThanOrEqual">
      <formula>2</formula>
    </cfRule>
    <cfRule type="cellIs" dxfId="120" priority="126" operator="notEqual">
      <formula>0</formula>
    </cfRule>
  </conditionalFormatting>
  <conditionalFormatting sqref="D207">
    <cfRule type="cellIs" dxfId="119" priority="123" operator="greaterThanOrEqual">
      <formula>2</formula>
    </cfRule>
    <cfRule type="cellIs" dxfId="118" priority="124" operator="notEqual">
      <formula>0</formula>
    </cfRule>
  </conditionalFormatting>
  <conditionalFormatting sqref="E207">
    <cfRule type="cellIs" dxfId="117" priority="121" operator="greaterThanOrEqual">
      <formula>2</formula>
    </cfRule>
    <cfRule type="cellIs" dxfId="116" priority="122" operator="notEqual">
      <formula>0</formula>
    </cfRule>
  </conditionalFormatting>
  <conditionalFormatting sqref="E219">
    <cfRule type="cellIs" dxfId="115" priority="77" operator="greaterThanOrEqual">
      <formula>2</formula>
    </cfRule>
    <cfRule type="cellIs" dxfId="114" priority="78" operator="notEqual">
      <formula>0</formula>
    </cfRule>
  </conditionalFormatting>
  <conditionalFormatting sqref="D208">
    <cfRule type="cellIs" dxfId="113" priority="119" operator="greaterThanOrEqual">
      <formula>2</formula>
    </cfRule>
    <cfRule type="cellIs" dxfId="112" priority="120" operator="notEqual">
      <formula>0</formula>
    </cfRule>
  </conditionalFormatting>
  <conditionalFormatting sqref="E208">
    <cfRule type="cellIs" dxfId="111" priority="117" operator="greaterThanOrEqual">
      <formula>2</formula>
    </cfRule>
    <cfRule type="cellIs" dxfId="110" priority="118" operator="notEqual">
      <formula>0</formula>
    </cfRule>
  </conditionalFormatting>
  <conditionalFormatting sqref="D209">
    <cfRule type="cellIs" dxfId="109" priority="115" operator="greaterThanOrEqual">
      <formula>2</formula>
    </cfRule>
    <cfRule type="cellIs" dxfId="108" priority="116" operator="notEqual">
      <formula>0</formula>
    </cfRule>
  </conditionalFormatting>
  <conditionalFormatting sqref="E209">
    <cfRule type="cellIs" dxfId="107" priority="113" operator="greaterThanOrEqual">
      <formula>2</formula>
    </cfRule>
    <cfRule type="cellIs" dxfId="106" priority="114" operator="notEqual">
      <formula>0</formula>
    </cfRule>
  </conditionalFormatting>
  <conditionalFormatting sqref="D210">
    <cfRule type="cellIs" dxfId="105" priority="111" operator="greaterThanOrEqual">
      <formula>2</formula>
    </cfRule>
    <cfRule type="cellIs" dxfId="104" priority="112" operator="notEqual">
      <formula>0</formula>
    </cfRule>
  </conditionalFormatting>
  <conditionalFormatting sqref="E210">
    <cfRule type="cellIs" dxfId="103" priority="109" operator="greaterThanOrEqual">
      <formula>2</formula>
    </cfRule>
    <cfRule type="cellIs" dxfId="102" priority="110" operator="notEqual">
      <formula>0</formula>
    </cfRule>
  </conditionalFormatting>
  <conditionalFormatting sqref="D211">
    <cfRule type="cellIs" dxfId="101" priority="107" operator="greaterThanOrEqual">
      <formula>2</formula>
    </cfRule>
    <cfRule type="cellIs" dxfId="100" priority="108" operator="notEqual">
      <formula>0</formula>
    </cfRule>
  </conditionalFormatting>
  <conditionalFormatting sqref="E211">
    <cfRule type="cellIs" dxfId="99" priority="105" operator="greaterThanOrEqual">
      <formula>2</formula>
    </cfRule>
    <cfRule type="cellIs" dxfId="98" priority="106" operator="notEqual">
      <formula>0</formula>
    </cfRule>
  </conditionalFormatting>
  <conditionalFormatting sqref="D212">
    <cfRule type="cellIs" dxfId="97" priority="103" operator="greaterThanOrEqual">
      <formula>2</formula>
    </cfRule>
    <cfRule type="cellIs" dxfId="96" priority="104" operator="notEqual">
      <formula>0</formula>
    </cfRule>
  </conditionalFormatting>
  <conditionalFormatting sqref="E212">
    <cfRule type="cellIs" dxfId="95" priority="101" operator="greaterThanOrEqual">
      <formula>2</formula>
    </cfRule>
    <cfRule type="cellIs" dxfId="94" priority="102" operator="notEqual">
      <formula>0</formula>
    </cfRule>
  </conditionalFormatting>
  <conditionalFormatting sqref="D213">
    <cfRule type="cellIs" dxfId="93" priority="99" operator="greaterThanOrEqual">
      <formula>2</formula>
    </cfRule>
    <cfRule type="cellIs" dxfId="92" priority="100" operator="notEqual">
      <formula>0</formula>
    </cfRule>
  </conditionalFormatting>
  <conditionalFormatting sqref="E213">
    <cfRule type="cellIs" dxfId="91" priority="97" operator="greaterThanOrEqual">
      <formula>2</formula>
    </cfRule>
    <cfRule type="cellIs" dxfId="90" priority="98" operator="notEqual">
      <formula>0</formula>
    </cfRule>
  </conditionalFormatting>
  <conditionalFormatting sqref="D214">
    <cfRule type="cellIs" dxfId="89" priority="95" operator="greaterThanOrEqual">
      <formula>2</formula>
    </cfRule>
    <cfRule type="cellIs" dxfId="88" priority="96" operator="notEqual">
      <formula>0</formula>
    </cfRule>
  </conditionalFormatting>
  <conditionalFormatting sqref="E214">
    <cfRule type="cellIs" dxfId="87" priority="93" operator="greaterThanOrEqual">
      <formula>2</formula>
    </cfRule>
    <cfRule type="cellIs" dxfId="86" priority="94" operator="notEqual">
      <formula>0</formula>
    </cfRule>
  </conditionalFormatting>
  <conditionalFormatting sqref="D215">
    <cfRule type="cellIs" dxfId="85" priority="91" operator="greaterThanOrEqual">
      <formula>2</formula>
    </cfRule>
    <cfRule type="cellIs" dxfId="84" priority="92" operator="notEqual">
      <formula>0</formula>
    </cfRule>
  </conditionalFormatting>
  <conditionalFormatting sqref="E215">
    <cfRule type="cellIs" dxfId="83" priority="89" operator="greaterThanOrEqual">
      <formula>2</formula>
    </cfRule>
    <cfRule type="cellIs" dxfId="82" priority="90" operator="notEqual">
      <formula>0</formula>
    </cfRule>
  </conditionalFormatting>
  <conditionalFormatting sqref="D216">
    <cfRule type="cellIs" dxfId="81" priority="87" operator="greaterThanOrEqual">
      <formula>2</formula>
    </cfRule>
    <cfRule type="cellIs" dxfId="80" priority="88" operator="notEqual">
      <formula>0</formula>
    </cfRule>
  </conditionalFormatting>
  <conditionalFormatting sqref="E216">
    <cfRule type="cellIs" dxfId="79" priority="85" operator="greaterThanOrEqual">
      <formula>2</formula>
    </cfRule>
    <cfRule type="cellIs" dxfId="78" priority="86" operator="notEqual">
      <formula>0</formula>
    </cfRule>
  </conditionalFormatting>
  <conditionalFormatting sqref="D217">
    <cfRule type="cellIs" dxfId="77" priority="83" operator="greaterThanOrEqual">
      <formula>2</formula>
    </cfRule>
    <cfRule type="cellIs" dxfId="76" priority="84" operator="notEqual">
      <formula>0</formula>
    </cfRule>
  </conditionalFormatting>
  <conditionalFormatting sqref="E217">
    <cfRule type="cellIs" dxfId="75" priority="81" operator="greaterThanOrEqual">
      <formula>2</formula>
    </cfRule>
    <cfRule type="cellIs" dxfId="74" priority="82" operator="notEqual">
      <formula>0</formula>
    </cfRule>
  </conditionalFormatting>
  <conditionalFormatting sqref="D219">
    <cfRule type="cellIs" dxfId="73" priority="79" operator="greaterThanOrEqual">
      <formula>2</formula>
    </cfRule>
    <cfRule type="cellIs" dxfId="72" priority="80" operator="notEqual">
      <formula>0</formula>
    </cfRule>
  </conditionalFormatting>
  <conditionalFormatting sqref="D218">
    <cfRule type="cellIs" dxfId="71" priority="75" operator="greaterThanOrEqual">
      <formula>2</formula>
    </cfRule>
    <cfRule type="cellIs" dxfId="70" priority="76" operator="notEqual">
      <formula>0</formula>
    </cfRule>
  </conditionalFormatting>
  <conditionalFormatting sqref="E218">
    <cfRule type="cellIs" dxfId="69" priority="73" operator="greaterThanOrEqual">
      <formula>2</formula>
    </cfRule>
    <cfRule type="cellIs" dxfId="68" priority="74" operator="notEqual">
      <formula>0</formula>
    </cfRule>
  </conditionalFormatting>
  <conditionalFormatting sqref="F23">
    <cfRule type="expression" dxfId="67" priority="46">
      <formula>F53&gt;=1</formula>
    </cfRule>
    <cfRule type="expression" dxfId="66" priority="58">
      <formula>F52&gt;=1</formula>
    </cfRule>
    <cfRule type="expression" dxfId="65" priority="72">
      <formula>F51&gt;=1</formula>
    </cfRule>
  </conditionalFormatting>
  <conditionalFormatting sqref="D23">
    <cfRule type="expression" dxfId="64" priority="48">
      <formula>D53&gt;=1</formula>
    </cfRule>
    <cfRule type="expression" dxfId="63" priority="60">
      <formula>D52&gt;=1</formula>
    </cfRule>
    <cfRule type="expression" dxfId="62" priority="71">
      <formula>D51&gt;=1</formula>
    </cfRule>
  </conditionalFormatting>
  <conditionalFormatting sqref="E23">
    <cfRule type="expression" dxfId="61" priority="47">
      <formula>E53&gt;=1</formula>
    </cfRule>
    <cfRule type="expression" dxfId="60" priority="59">
      <formula>E52&gt;=1</formula>
    </cfRule>
    <cfRule type="expression" dxfId="59" priority="70">
      <formula>E51&gt;=1</formula>
    </cfRule>
  </conditionalFormatting>
  <conditionalFormatting sqref="G23">
    <cfRule type="expression" dxfId="58" priority="45">
      <formula>G53&gt;=1</formula>
    </cfRule>
    <cfRule type="expression" dxfId="57" priority="57">
      <formula>G52&gt;=1</formula>
    </cfRule>
    <cfRule type="expression" dxfId="56" priority="69">
      <formula>G51&gt;=1</formula>
    </cfRule>
  </conditionalFormatting>
  <conditionalFormatting sqref="H23">
    <cfRule type="expression" dxfId="55" priority="44">
      <formula>H53&gt;=1</formula>
    </cfRule>
    <cfRule type="expression" dxfId="54" priority="56">
      <formula>H52&gt;=1</formula>
    </cfRule>
    <cfRule type="expression" dxfId="53" priority="68">
      <formula>H51&gt;=1</formula>
    </cfRule>
  </conditionalFormatting>
  <conditionalFormatting sqref="I23">
    <cfRule type="expression" dxfId="52" priority="43">
      <formula>I53&gt;=1</formula>
    </cfRule>
    <cfRule type="expression" dxfId="51" priority="55">
      <formula>I52&gt;=1</formula>
    </cfRule>
    <cfRule type="expression" dxfId="50" priority="67">
      <formula>I51&gt;=1</formula>
    </cfRule>
  </conditionalFormatting>
  <conditionalFormatting sqref="J23">
    <cfRule type="expression" dxfId="49" priority="42">
      <formula>J53&gt;=1</formula>
    </cfRule>
    <cfRule type="expression" dxfId="48" priority="54">
      <formula>J52&gt;=1</formula>
    </cfRule>
    <cfRule type="expression" dxfId="47" priority="66">
      <formula>J51&gt;=1</formula>
    </cfRule>
  </conditionalFormatting>
  <conditionalFormatting sqref="K23">
    <cfRule type="expression" dxfId="46" priority="41">
      <formula>K53&gt;=1</formula>
    </cfRule>
    <cfRule type="expression" dxfId="45" priority="53">
      <formula>K52&gt;=1</formula>
    </cfRule>
    <cfRule type="expression" dxfId="44" priority="65">
      <formula>K51&gt;=1</formula>
    </cfRule>
  </conditionalFormatting>
  <conditionalFormatting sqref="L23">
    <cfRule type="expression" dxfId="43" priority="40">
      <formula>L53&gt;=1</formula>
    </cfRule>
    <cfRule type="expression" dxfId="42" priority="52">
      <formula>L52&gt;=1</formula>
    </cfRule>
    <cfRule type="expression" dxfId="41" priority="64">
      <formula>L51&gt;=1</formula>
    </cfRule>
  </conditionalFormatting>
  <conditionalFormatting sqref="M23">
    <cfRule type="expression" dxfId="40" priority="39">
      <formula>M53&gt;=1</formula>
    </cfRule>
    <cfRule type="expression" dxfId="39" priority="51">
      <formula>M52&gt;=1</formula>
    </cfRule>
    <cfRule type="expression" dxfId="38" priority="63">
      <formula>M51&gt;=1</formula>
    </cfRule>
  </conditionalFormatting>
  <conditionalFormatting sqref="N23">
    <cfRule type="expression" dxfId="37" priority="38">
      <formula>N53&gt;=1</formula>
    </cfRule>
    <cfRule type="expression" dxfId="36" priority="50">
      <formula>N52&gt;=1</formula>
    </cfRule>
    <cfRule type="expression" dxfId="35" priority="62">
      <formula>N51&gt;=1</formula>
    </cfRule>
  </conditionalFormatting>
  <conditionalFormatting sqref="O23">
    <cfRule type="expression" dxfId="34" priority="37">
      <formula>O53&gt;=1</formula>
    </cfRule>
    <cfRule type="expression" dxfId="33" priority="49">
      <formula>O52&gt;=1</formula>
    </cfRule>
    <cfRule type="expression" dxfId="32" priority="61">
      <formula>O51&gt;=1</formula>
    </cfRule>
  </conditionalFormatting>
  <conditionalFormatting sqref="D232:D258">
    <cfRule type="cellIs" dxfId="31" priority="33" operator="greaterThanOrEqual">
      <formula>2</formula>
    </cfRule>
    <cfRule type="cellIs" dxfId="30" priority="34" operator="notEqual">
      <formula>0</formula>
    </cfRule>
  </conditionalFormatting>
  <conditionalFormatting sqref="D231">
    <cfRule type="cellIs" dxfId="29" priority="31" operator="greaterThanOrEqual">
      <formula>2</formula>
    </cfRule>
    <cfRule type="cellIs" dxfId="28" priority="32" operator="notEqual">
      <formula>0</formula>
    </cfRule>
  </conditionalFormatting>
  <conditionalFormatting sqref="E274:E285">
    <cfRule type="cellIs" dxfId="27" priority="27" operator="greaterThanOrEqual">
      <formula>2</formula>
    </cfRule>
    <cfRule type="cellIs" dxfId="26" priority="28" operator="notEqual">
      <formula>0</formula>
    </cfRule>
  </conditionalFormatting>
  <conditionalFormatting sqref="E286:E297">
    <cfRule type="cellIs" dxfId="25" priority="25" operator="greaterThanOrEqual">
      <formula>2</formula>
    </cfRule>
    <cfRule type="cellIs" dxfId="24" priority="26" operator="notEqual">
      <formula>0</formula>
    </cfRule>
  </conditionalFormatting>
  <conditionalFormatting sqref="D298">
    <cfRule type="cellIs" dxfId="23" priority="23" operator="greaterThanOrEqual">
      <formula>2</formula>
    </cfRule>
    <cfRule type="cellIs" dxfId="22" priority="24" operator="notEqual">
      <formula>0</formula>
    </cfRule>
  </conditionalFormatting>
  <conditionalFormatting sqref="D274">
    <cfRule type="cellIs" dxfId="21" priority="21" operator="greaterThanOrEqual">
      <formula>2</formula>
    </cfRule>
    <cfRule type="cellIs" dxfId="20" priority="22" operator="notEqual">
      <formula>0</formula>
    </cfRule>
  </conditionalFormatting>
  <conditionalFormatting sqref="D275:D285">
    <cfRule type="cellIs" dxfId="19" priority="19" operator="greaterThanOrEqual">
      <formula>2</formula>
    </cfRule>
    <cfRule type="cellIs" dxfId="18" priority="20" operator="notEqual">
      <formula>0</formula>
    </cfRule>
  </conditionalFormatting>
  <conditionalFormatting sqref="D286:D297">
    <cfRule type="cellIs" dxfId="17" priority="17" operator="greaterThanOrEqual">
      <formula>2</formula>
    </cfRule>
    <cfRule type="cellIs" dxfId="16" priority="18" operator="notEqual">
      <formula>0</formula>
    </cfRule>
  </conditionalFormatting>
  <conditionalFormatting sqref="D56:E56">
    <cfRule type="cellIs" dxfId="15" priority="13" operator="notEqual">
      <formula>0</formula>
    </cfRule>
    <cfRule type="cellIs" dxfId="14" priority="14" operator="greaterThanOrEqual">
      <formula>2</formula>
    </cfRule>
  </conditionalFormatting>
  <conditionalFormatting sqref="D58:W60">
    <cfRule type="cellIs" dxfId="13" priority="11" operator="notEqual">
      <formula>0</formula>
    </cfRule>
    <cfRule type="cellIs" dxfId="12" priority="12" operator="greaterThanOrEqual">
      <formula>2</formula>
    </cfRule>
  </conditionalFormatting>
  <conditionalFormatting sqref="X58:AO58">
    <cfRule type="cellIs" dxfId="11" priority="9" operator="notEqual">
      <formula>0</formula>
    </cfRule>
    <cfRule type="cellIs" dxfId="10" priority="10" operator="greaterThanOrEqual">
      <formula>2</formula>
    </cfRule>
  </conditionalFormatting>
  <conditionalFormatting sqref="X60:AO60">
    <cfRule type="cellIs" dxfId="9" priority="5" operator="notEqual">
      <formula>0</formula>
    </cfRule>
    <cfRule type="cellIs" dxfId="8" priority="6" operator="greaterThanOrEqual">
      <formula>2</formula>
    </cfRule>
  </conditionalFormatting>
  <conditionalFormatting sqref="X59:AO59">
    <cfRule type="cellIs" dxfId="7" priority="7" operator="notEqual">
      <formula>0</formula>
    </cfRule>
    <cfRule type="cellIs" dxfId="6" priority="8" operator="greaterThanOrEqual">
      <formula>2</formula>
    </cfRule>
  </conditionalFormatting>
  <conditionalFormatting sqref="D69:L70 D71:AI71">
    <cfRule type="cellIs" dxfId="5" priority="3" operator="greaterThanOrEqual">
      <formula>2</formula>
    </cfRule>
    <cfRule type="cellIs" dxfId="4" priority="4" operator="notEqual">
      <formula>0</formula>
    </cfRule>
  </conditionalFormatting>
  <conditionalFormatting sqref="M69:AI70">
    <cfRule type="cellIs" dxfId="3" priority="1" operator="greaterThanOrEqual">
      <formula>2</formula>
    </cfRule>
    <cfRule type="cellIs" dxfId="2" priority="2" operator="notEqual">
      <formula>0</formula>
    </cfRule>
  </conditionalFormatting>
  <pageMargins left="0.7" right="0.7" top="0.75" bottom="0.75" header="0.3" footer="0.3"/>
  <pageSetup paperSize="9" orientation="portrait" r:id="rId1"/>
  <ignoredErrors>
    <ignoredError sqref="D75:E98 D54:N54 D64:O65 D102:D127 D167:G167 D161:E163 D136:D153 D156:D157 D205:E205 D206:E206 D207:E208 D209:E209 D210:E210 D211:E214 D215:E215 D216:E216 D217:E219 E28 D24:O27 D29:O35 D28 F28:O28 D37:O37 O54 D8:E9 D12:E13 D17:E19 D36:O36 O44:O47 D44:N47 D50:O53 D48:F48 D168:G194 D130:D132 D49:N49 O49 G48:O48 D39:O41 D38:E38 F38:O38 D197:G201 D223:H226 D231:D258 D227:H227 D69:AI71 D58:AO60 D262:D29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82F1-1830-4309-BC78-26D53D8EB704}">
  <dimension ref="A1:AV265"/>
  <sheetViews>
    <sheetView topLeftCell="A16" zoomScale="56" zoomScaleNormal="56" workbookViewId="0">
      <selection activeCell="K4" sqref="K4"/>
    </sheetView>
  </sheetViews>
  <sheetFormatPr defaultRowHeight="10" x14ac:dyDescent="0.55000000000000004"/>
  <cols>
    <col min="1" max="1" width="8.6640625" style="61"/>
    <col min="2" max="2" width="3.33203125" style="61" customWidth="1"/>
    <col min="3" max="3" width="6.58203125" style="61" customWidth="1"/>
    <col min="4" max="4" width="3.58203125" style="62" customWidth="1"/>
    <col min="5" max="5" width="8.58203125" style="62" customWidth="1"/>
    <col min="6" max="6" width="1.58203125" style="62" customWidth="1"/>
    <col min="7" max="7" width="8.58203125" style="62" customWidth="1"/>
    <col min="8" max="8" width="1.58203125" style="62" customWidth="1"/>
    <col min="9" max="9" width="8.58203125" style="62" customWidth="1"/>
    <col min="10" max="10" width="1.58203125" style="62" customWidth="1"/>
    <col min="11" max="11" width="8.58203125" style="62" customWidth="1"/>
    <col min="12" max="12" width="1.58203125" style="62" customWidth="1"/>
    <col min="13" max="13" width="8.58203125" style="62" customWidth="1"/>
    <col min="14" max="14" width="1.58203125" style="62" customWidth="1"/>
    <col min="15" max="15" width="8.58203125" style="62" customWidth="1"/>
    <col min="16" max="16" width="1.58203125" style="62" customWidth="1"/>
    <col min="17" max="17" width="8.58203125" style="62" customWidth="1"/>
    <col min="18" max="18" width="1.58203125" style="62" customWidth="1"/>
    <col min="19" max="19" width="8.58203125" style="62" customWidth="1"/>
    <col min="20" max="20" width="1.58203125" style="62" customWidth="1"/>
    <col min="21" max="21" width="8.58203125" style="62" customWidth="1"/>
    <col min="22" max="22" width="1.58203125" style="62" customWidth="1"/>
    <col min="23" max="23" width="8.58203125" style="62" customWidth="1"/>
    <col min="24" max="24" width="1.58203125" style="62" customWidth="1"/>
    <col min="25" max="25" width="8.58203125" style="62" customWidth="1"/>
    <col min="26" max="26" width="1.58203125" style="62" customWidth="1"/>
    <col min="27" max="27" width="8.58203125" style="62" customWidth="1"/>
    <col min="28" max="28" width="1.58203125" style="62" customWidth="1"/>
    <col min="29" max="29" width="8.58203125" style="62" customWidth="1"/>
    <col min="30" max="30" width="1.58203125" style="62" customWidth="1"/>
    <col min="31" max="31" width="8.58203125" style="62" customWidth="1"/>
    <col min="32" max="32" width="1.58203125" style="62" customWidth="1"/>
    <col min="33" max="33" width="8.58203125" style="62" customWidth="1"/>
    <col min="34" max="34" width="1.58203125" style="62" customWidth="1"/>
    <col min="35" max="35" width="8.58203125" style="62" customWidth="1"/>
    <col min="36" max="36" width="1.58203125" style="62" customWidth="1"/>
    <col min="37" max="37" width="8.58203125" style="62" customWidth="1"/>
    <col min="38" max="38" width="1.58203125" style="62" customWidth="1"/>
    <col min="39" max="39" width="8.58203125" style="62" customWidth="1"/>
    <col min="40" max="40" width="1.58203125" style="62" customWidth="1"/>
    <col min="41" max="41" width="8.58203125" style="62" customWidth="1"/>
    <col min="42" max="42" width="1.58203125" style="62" customWidth="1"/>
    <col min="43" max="43" width="8.58203125" style="62" customWidth="1"/>
    <col min="44" max="44" width="3.58203125" style="62" customWidth="1"/>
    <col min="45" max="45" width="3.33203125" style="62" customWidth="1"/>
    <col min="46" max="48" width="8.58203125" style="61" customWidth="1"/>
    <col min="49" max="270" width="8.6640625" style="61"/>
    <col min="271" max="271" width="14.33203125" style="61" customWidth="1"/>
    <col min="272" max="273" width="3.33203125" style="61" customWidth="1"/>
    <col min="274" max="298" width="2.4140625" style="61" customWidth="1"/>
    <col min="299" max="300" width="3.33203125" style="61" customWidth="1"/>
    <col min="301" max="301" width="14.33203125" style="61" customWidth="1"/>
    <col min="302" max="526" width="8.6640625" style="61"/>
    <col min="527" max="527" width="14.33203125" style="61" customWidth="1"/>
    <col min="528" max="529" width="3.33203125" style="61" customWidth="1"/>
    <col min="530" max="554" width="2.4140625" style="61" customWidth="1"/>
    <col min="555" max="556" width="3.33203125" style="61" customWidth="1"/>
    <col min="557" max="557" width="14.33203125" style="61" customWidth="1"/>
    <col min="558" max="782" width="8.6640625" style="61"/>
    <col min="783" max="783" width="14.33203125" style="61" customWidth="1"/>
    <col min="784" max="785" width="3.33203125" style="61" customWidth="1"/>
    <col min="786" max="810" width="2.4140625" style="61" customWidth="1"/>
    <col min="811" max="812" width="3.33203125" style="61" customWidth="1"/>
    <col min="813" max="813" width="14.33203125" style="61" customWidth="1"/>
    <col min="814" max="1038" width="8.6640625" style="61"/>
    <col min="1039" max="1039" width="14.33203125" style="61" customWidth="1"/>
    <col min="1040" max="1041" width="3.33203125" style="61" customWidth="1"/>
    <col min="1042" max="1066" width="2.4140625" style="61" customWidth="1"/>
    <col min="1067" max="1068" width="3.33203125" style="61" customWidth="1"/>
    <col min="1069" max="1069" width="14.33203125" style="61" customWidth="1"/>
    <col min="1070" max="1294" width="8.6640625" style="61"/>
    <col min="1295" max="1295" width="14.33203125" style="61" customWidth="1"/>
    <col min="1296" max="1297" width="3.33203125" style="61" customWidth="1"/>
    <col min="1298" max="1322" width="2.4140625" style="61" customWidth="1"/>
    <col min="1323" max="1324" width="3.33203125" style="61" customWidth="1"/>
    <col min="1325" max="1325" width="14.33203125" style="61" customWidth="1"/>
    <col min="1326" max="1550" width="8.6640625" style="61"/>
    <col min="1551" max="1551" width="14.33203125" style="61" customWidth="1"/>
    <col min="1552" max="1553" width="3.33203125" style="61" customWidth="1"/>
    <col min="1554" max="1578" width="2.4140625" style="61" customWidth="1"/>
    <col min="1579" max="1580" width="3.33203125" style="61" customWidth="1"/>
    <col min="1581" max="1581" width="14.33203125" style="61" customWidth="1"/>
    <col min="1582" max="1806" width="8.6640625" style="61"/>
    <col min="1807" max="1807" width="14.33203125" style="61" customWidth="1"/>
    <col min="1808" max="1809" width="3.33203125" style="61" customWidth="1"/>
    <col min="1810" max="1834" width="2.4140625" style="61" customWidth="1"/>
    <col min="1835" max="1836" width="3.33203125" style="61" customWidth="1"/>
    <col min="1837" max="1837" width="14.33203125" style="61" customWidth="1"/>
    <col min="1838" max="2062" width="8.6640625" style="61"/>
    <col min="2063" max="2063" width="14.33203125" style="61" customWidth="1"/>
    <col min="2064" max="2065" width="3.33203125" style="61" customWidth="1"/>
    <col min="2066" max="2090" width="2.4140625" style="61" customWidth="1"/>
    <col min="2091" max="2092" width="3.33203125" style="61" customWidth="1"/>
    <col min="2093" max="2093" width="14.33203125" style="61" customWidth="1"/>
    <col min="2094" max="2318" width="8.6640625" style="61"/>
    <col min="2319" max="2319" width="14.33203125" style="61" customWidth="1"/>
    <col min="2320" max="2321" width="3.33203125" style="61" customWidth="1"/>
    <col min="2322" max="2346" width="2.4140625" style="61" customWidth="1"/>
    <col min="2347" max="2348" width="3.33203125" style="61" customWidth="1"/>
    <col min="2349" max="2349" width="14.33203125" style="61" customWidth="1"/>
    <col min="2350" max="2574" width="8.6640625" style="61"/>
    <col min="2575" max="2575" width="14.33203125" style="61" customWidth="1"/>
    <col min="2576" max="2577" width="3.33203125" style="61" customWidth="1"/>
    <col min="2578" max="2602" width="2.4140625" style="61" customWidth="1"/>
    <col min="2603" max="2604" width="3.33203125" style="61" customWidth="1"/>
    <col min="2605" max="2605" width="14.33203125" style="61" customWidth="1"/>
    <col min="2606" max="2830" width="8.6640625" style="61"/>
    <col min="2831" max="2831" width="14.33203125" style="61" customWidth="1"/>
    <col min="2832" max="2833" width="3.33203125" style="61" customWidth="1"/>
    <col min="2834" max="2858" width="2.4140625" style="61" customWidth="1"/>
    <col min="2859" max="2860" width="3.33203125" style="61" customWidth="1"/>
    <col min="2861" max="2861" width="14.33203125" style="61" customWidth="1"/>
    <col min="2862" max="3086" width="8.6640625" style="61"/>
    <col min="3087" max="3087" width="14.33203125" style="61" customWidth="1"/>
    <col min="3088" max="3089" width="3.33203125" style="61" customWidth="1"/>
    <col min="3090" max="3114" width="2.4140625" style="61" customWidth="1"/>
    <col min="3115" max="3116" width="3.33203125" style="61" customWidth="1"/>
    <col min="3117" max="3117" width="14.33203125" style="61" customWidth="1"/>
    <col min="3118" max="3342" width="8.6640625" style="61"/>
    <col min="3343" max="3343" width="14.33203125" style="61" customWidth="1"/>
    <col min="3344" max="3345" width="3.33203125" style="61" customWidth="1"/>
    <col min="3346" max="3370" width="2.4140625" style="61" customWidth="1"/>
    <col min="3371" max="3372" width="3.33203125" style="61" customWidth="1"/>
    <col min="3373" max="3373" width="14.33203125" style="61" customWidth="1"/>
    <col min="3374" max="3598" width="8.6640625" style="61"/>
    <col min="3599" max="3599" width="14.33203125" style="61" customWidth="1"/>
    <col min="3600" max="3601" width="3.33203125" style="61" customWidth="1"/>
    <col min="3602" max="3626" width="2.4140625" style="61" customWidth="1"/>
    <col min="3627" max="3628" width="3.33203125" style="61" customWidth="1"/>
    <col min="3629" max="3629" width="14.33203125" style="61" customWidth="1"/>
    <col min="3630" max="3854" width="8.6640625" style="61"/>
    <col min="3855" max="3855" width="14.33203125" style="61" customWidth="1"/>
    <col min="3856" max="3857" width="3.33203125" style="61" customWidth="1"/>
    <col min="3858" max="3882" width="2.4140625" style="61" customWidth="1"/>
    <col min="3883" max="3884" width="3.33203125" style="61" customWidth="1"/>
    <col min="3885" max="3885" width="14.33203125" style="61" customWidth="1"/>
    <col min="3886" max="4110" width="8.6640625" style="61"/>
    <col min="4111" max="4111" width="14.33203125" style="61" customWidth="1"/>
    <col min="4112" max="4113" width="3.33203125" style="61" customWidth="1"/>
    <col min="4114" max="4138" width="2.4140625" style="61" customWidth="1"/>
    <col min="4139" max="4140" width="3.33203125" style="61" customWidth="1"/>
    <col min="4141" max="4141" width="14.33203125" style="61" customWidth="1"/>
    <col min="4142" max="4366" width="8.6640625" style="61"/>
    <col min="4367" max="4367" width="14.33203125" style="61" customWidth="1"/>
    <col min="4368" max="4369" width="3.33203125" style="61" customWidth="1"/>
    <col min="4370" max="4394" width="2.4140625" style="61" customWidth="1"/>
    <col min="4395" max="4396" width="3.33203125" style="61" customWidth="1"/>
    <col min="4397" max="4397" width="14.33203125" style="61" customWidth="1"/>
    <col min="4398" max="4622" width="8.6640625" style="61"/>
    <col min="4623" max="4623" width="14.33203125" style="61" customWidth="1"/>
    <col min="4624" max="4625" width="3.33203125" style="61" customWidth="1"/>
    <col min="4626" max="4650" width="2.4140625" style="61" customWidth="1"/>
    <col min="4651" max="4652" width="3.33203125" style="61" customWidth="1"/>
    <col min="4653" max="4653" width="14.33203125" style="61" customWidth="1"/>
    <col min="4654" max="4878" width="8.6640625" style="61"/>
    <col min="4879" max="4879" width="14.33203125" style="61" customWidth="1"/>
    <col min="4880" max="4881" width="3.33203125" style="61" customWidth="1"/>
    <col min="4882" max="4906" width="2.4140625" style="61" customWidth="1"/>
    <col min="4907" max="4908" width="3.33203125" style="61" customWidth="1"/>
    <col min="4909" max="4909" width="14.33203125" style="61" customWidth="1"/>
    <col min="4910" max="5134" width="8.6640625" style="61"/>
    <col min="5135" max="5135" width="14.33203125" style="61" customWidth="1"/>
    <col min="5136" max="5137" width="3.33203125" style="61" customWidth="1"/>
    <col min="5138" max="5162" width="2.4140625" style="61" customWidth="1"/>
    <col min="5163" max="5164" width="3.33203125" style="61" customWidth="1"/>
    <col min="5165" max="5165" width="14.33203125" style="61" customWidth="1"/>
    <col min="5166" max="5390" width="8.6640625" style="61"/>
    <col min="5391" max="5391" width="14.33203125" style="61" customWidth="1"/>
    <col min="5392" max="5393" width="3.33203125" style="61" customWidth="1"/>
    <col min="5394" max="5418" width="2.4140625" style="61" customWidth="1"/>
    <col min="5419" max="5420" width="3.33203125" style="61" customWidth="1"/>
    <col min="5421" max="5421" width="14.33203125" style="61" customWidth="1"/>
    <col min="5422" max="5646" width="8.6640625" style="61"/>
    <col min="5647" max="5647" width="14.33203125" style="61" customWidth="1"/>
    <col min="5648" max="5649" width="3.33203125" style="61" customWidth="1"/>
    <col min="5650" max="5674" width="2.4140625" style="61" customWidth="1"/>
    <col min="5675" max="5676" width="3.33203125" style="61" customWidth="1"/>
    <col min="5677" max="5677" width="14.33203125" style="61" customWidth="1"/>
    <col min="5678" max="5902" width="8.6640625" style="61"/>
    <col min="5903" max="5903" width="14.33203125" style="61" customWidth="1"/>
    <col min="5904" max="5905" width="3.33203125" style="61" customWidth="1"/>
    <col min="5906" max="5930" width="2.4140625" style="61" customWidth="1"/>
    <col min="5931" max="5932" width="3.33203125" style="61" customWidth="1"/>
    <col min="5933" max="5933" width="14.33203125" style="61" customWidth="1"/>
    <col min="5934" max="6158" width="8.6640625" style="61"/>
    <col min="6159" max="6159" width="14.33203125" style="61" customWidth="1"/>
    <col min="6160" max="6161" width="3.33203125" style="61" customWidth="1"/>
    <col min="6162" max="6186" width="2.4140625" style="61" customWidth="1"/>
    <col min="6187" max="6188" width="3.33203125" style="61" customWidth="1"/>
    <col min="6189" max="6189" width="14.33203125" style="61" customWidth="1"/>
    <col min="6190" max="6414" width="8.6640625" style="61"/>
    <col min="6415" max="6415" width="14.33203125" style="61" customWidth="1"/>
    <col min="6416" max="6417" width="3.33203125" style="61" customWidth="1"/>
    <col min="6418" max="6442" width="2.4140625" style="61" customWidth="1"/>
    <col min="6443" max="6444" width="3.33203125" style="61" customWidth="1"/>
    <col min="6445" max="6445" width="14.33203125" style="61" customWidth="1"/>
    <col min="6446" max="6670" width="8.6640625" style="61"/>
    <col min="6671" max="6671" width="14.33203125" style="61" customWidth="1"/>
    <col min="6672" max="6673" width="3.33203125" style="61" customWidth="1"/>
    <col min="6674" max="6698" width="2.4140625" style="61" customWidth="1"/>
    <col min="6699" max="6700" width="3.33203125" style="61" customWidth="1"/>
    <col min="6701" max="6701" width="14.33203125" style="61" customWidth="1"/>
    <col min="6702" max="6926" width="8.6640625" style="61"/>
    <col min="6927" max="6927" width="14.33203125" style="61" customWidth="1"/>
    <col min="6928" max="6929" width="3.33203125" style="61" customWidth="1"/>
    <col min="6930" max="6954" width="2.4140625" style="61" customWidth="1"/>
    <col min="6955" max="6956" width="3.33203125" style="61" customWidth="1"/>
    <col min="6957" max="6957" width="14.33203125" style="61" customWidth="1"/>
    <col min="6958" max="7182" width="8.6640625" style="61"/>
    <col min="7183" max="7183" width="14.33203125" style="61" customWidth="1"/>
    <col min="7184" max="7185" width="3.33203125" style="61" customWidth="1"/>
    <col min="7186" max="7210" width="2.4140625" style="61" customWidth="1"/>
    <col min="7211" max="7212" width="3.33203125" style="61" customWidth="1"/>
    <col min="7213" max="7213" width="14.33203125" style="61" customWidth="1"/>
    <col min="7214" max="7438" width="8.6640625" style="61"/>
    <col min="7439" max="7439" width="14.33203125" style="61" customWidth="1"/>
    <col min="7440" max="7441" width="3.33203125" style="61" customWidth="1"/>
    <col min="7442" max="7466" width="2.4140625" style="61" customWidth="1"/>
    <col min="7467" max="7468" width="3.33203125" style="61" customWidth="1"/>
    <col min="7469" max="7469" width="14.33203125" style="61" customWidth="1"/>
    <col min="7470" max="7694" width="8.6640625" style="61"/>
    <col min="7695" max="7695" width="14.33203125" style="61" customWidth="1"/>
    <col min="7696" max="7697" width="3.33203125" style="61" customWidth="1"/>
    <col min="7698" max="7722" width="2.4140625" style="61" customWidth="1"/>
    <col min="7723" max="7724" width="3.33203125" style="61" customWidth="1"/>
    <col min="7725" max="7725" width="14.33203125" style="61" customWidth="1"/>
    <col min="7726" max="7950" width="8.6640625" style="61"/>
    <col min="7951" max="7951" width="14.33203125" style="61" customWidth="1"/>
    <col min="7952" max="7953" width="3.33203125" style="61" customWidth="1"/>
    <col min="7954" max="7978" width="2.4140625" style="61" customWidth="1"/>
    <col min="7979" max="7980" width="3.33203125" style="61" customWidth="1"/>
    <col min="7981" max="7981" width="14.33203125" style="61" customWidth="1"/>
    <col min="7982" max="8206" width="8.6640625" style="61"/>
    <col min="8207" max="8207" width="14.33203125" style="61" customWidth="1"/>
    <col min="8208" max="8209" width="3.33203125" style="61" customWidth="1"/>
    <col min="8210" max="8234" width="2.4140625" style="61" customWidth="1"/>
    <col min="8235" max="8236" width="3.33203125" style="61" customWidth="1"/>
    <col min="8237" max="8237" width="14.33203125" style="61" customWidth="1"/>
    <col min="8238" max="8462" width="8.6640625" style="61"/>
    <col min="8463" max="8463" width="14.33203125" style="61" customWidth="1"/>
    <col min="8464" max="8465" width="3.33203125" style="61" customWidth="1"/>
    <col min="8466" max="8490" width="2.4140625" style="61" customWidth="1"/>
    <col min="8491" max="8492" width="3.33203125" style="61" customWidth="1"/>
    <col min="8493" max="8493" width="14.33203125" style="61" customWidth="1"/>
    <col min="8494" max="8718" width="8.6640625" style="61"/>
    <col min="8719" max="8719" width="14.33203125" style="61" customWidth="1"/>
    <col min="8720" max="8721" width="3.33203125" style="61" customWidth="1"/>
    <col min="8722" max="8746" width="2.4140625" style="61" customWidth="1"/>
    <col min="8747" max="8748" width="3.33203125" style="61" customWidth="1"/>
    <col min="8749" max="8749" width="14.33203125" style="61" customWidth="1"/>
    <col min="8750" max="8974" width="8.6640625" style="61"/>
    <col min="8975" max="8975" width="14.33203125" style="61" customWidth="1"/>
    <col min="8976" max="8977" width="3.33203125" style="61" customWidth="1"/>
    <col min="8978" max="9002" width="2.4140625" style="61" customWidth="1"/>
    <col min="9003" max="9004" width="3.33203125" style="61" customWidth="1"/>
    <col min="9005" max="9005" width="14.33203125" style="61" customWidth="1"/>
    <col min="9006" max="9230" width="8.6640625" style="61"/>
    <col min="9231" max="9231" width="14.33203125" style="61" customWidth="1"/>
    <col min="9232" max="9233" width="3.33203125" style="61" customWidth="1"/>
    <col min="9234" max="9258" width="2.4140625" style="61" customWidth="1"/>
    <col min="9259" max="9260" width="3.33203125" style="61" customWidth="1"/>
    <col min="9261" max="9261" width="14.33203125" style="61" customWidth="1"/>
    <col min="9262" max="9486" width="8.6640625" style="61"/>
    <col min="9487" max="9487" width="14.33203125" style="61" customWidth="1"/>
    <col min="9488" max="9489" width="3.33203125" style="61" customWidth="1"/>
    <col min="9490" max="9514" width="2.4140625" style="61" customWidth="1"/>
    <col min="9515" max="9516" width="3.33203125" style="61" customWidth="1"/>
    <col min="9517" max="9517" width="14.33203125" style="61" customWidth="1"/>
    <col min="9518" max="9742" width="8.6640625" style="61"/>
    <col min="9743" max="9743" width="14.33203125" style="61" customWidth="1"/>
    <col min="9744" max="9745" width="3.33203125" style="61" customWidth="1"/>
    <col min="9746" max="9770" width="2.4140625" style="61" customWidth="1"/>
    <col min="9771" max="9772" width="3.33203125" style="61" customWidth="1"/>
    <col min="9773" max="9773" width="14.33203125" style="61" customWidth="1"/>
    <col min="9774" max="9998" width="8.6640625" style="61"/>
    <col min="9999" max="9999" width="14.33203125" style="61" customWidth="1"/>
    <col min="10000" max="10001" width="3.33203125" style="61" customWidth="1"/>
    <col min="10002" max="10026" width="2.4140625" style="61" customWidth="1"/>
    <col min="10027" max="10028" width="3.33203125" style="61" customWidth="1"/>
    <col min="10029" max="10029" width="14.33203125" style="61" customWidth="1"/>
    <col min="10030" max="10254" width="8.6640625" style="61"/>
    <col min="10255" max="10255" width="14.33203125" style="61" customWidth="1"/>
    <col min="10256" max="10257" width="3.33203125" style="61" customWidth="1"/>
    <col min="10258" max="10282" width="2.4140625" style="61" customWidth="1"/>
    <col min="10283" max="10284" width="3.33203125" style="61" customWidth="1"/>
    <col min="10285" max="10285" width="14.33203125" style="61" customWidth="1"/>
    <col min="10286" max="10510" width="8.6640625" style="61"/>
    <col min="10511" max="10511" width="14.33203125" style="61" customWidth="1"/>
    <col min="10512" max="10513" width="3.33203125" style="61" customWidth="1"/>
    <col min="10514" max="10538" width="2.4140625" style="61" customWidth="1"/>
    <col min="10539" max="10540" width="3.33203125" style="61" customWidth="1"/>
    <col min="10541" max="10541" width="14.33203125" style="61" customWidth="1"/>
    <col min="10542" max="10766" width="8.6640625" style="61"/>
    <col min="10767" max="10767" width="14.33203125" style="61" customWidth="1"/>
    <col min="10768" max="10769" width="3.33203125" style="61" customWidth="1"/>
    <col min="10770" max="10794" width="2.4140625" style="61" customWidth="1"/>
    <col min="10795" max="10796" width="3.33203125" style="61" customWidth="1"/>
    <col min="10797" max="10797" width="14.33203125" style="61" customWidth="1"/>
    <col min="10798" max="11022" width="8.6640625" style="61"/>
    <col min="11023" max="11023" width="14.33203125" style="61" customWidth="1"/>
    <col min="11024" max="11025" width="3.33203125" style="61" customWidth="1"/>
    <col min="11026" max="11050" width="2.4140625" style="61" customWidth="1"/>
    <col min="11051" max="11052" width="3.33203125" style="61" customWidth="1"/>
    <col min="11053" max="11053" width="14.33203125" style="61" customWidth="1"/>
    <col min="11054" max="11278" width="8.6640625" style="61"/>
    <col min="11279" max="11279" width="14.33203125" style="61" customWidth="1"/>
    <col min="11280" max="11281" width="3.33203125" style="61" customWidth="1"/>
    <col min="11282" max="11306" width="2.4140625" style="61" customWidth="1"/>
    <col min="11307" max="11308" width="3.33203125" style="61" customWidth="1"/>
    <col min="11309" max="11309" width="14.33203125" style="61" customWidth="1"/>
    <col min="11310" max="11534" width="8.6640625" style="61"/>
    <col min="11535" max="11535" width="14.33203125" style="61" customWidth="1"/>
    <col min="11536" max="11537" width="3.33203125" style="61" customWidth="1"/>
    <col min="11538" max="11562" width="2.4140625" style="61" customWidth="1"/>
    <col min="11563" max="11564" width="3.33203125" style="61" customWidth="1"/>
    <col min="11565" max="11565" width="14.33203125" style="61" customWidth="1"/>
    <col min="11566" max="11790" width="8.6640625" style="61"/>
    <col min="11791" max="11791" width="14.33203125" style="61" customWidth="1"/>
    <col min="11792" max="11793" width="3.33203125" style="61" customWidth="1"/>
    <col min="11794" max="11818" width="2.4140625" style="61" customWidth="1"/>
    <col min="11819" max="11820" width="3.33203125" style="61" customWidth="1"/>
    <col min="11821" max="11821" width="14.33203125" style="61" customWidth="1"/>
    <col min="11822" max="12046" width="8.6640625" style="61"/>
    <col min="12047" max="12047" width="14.33203125" style="61" customWidth="1"/>
    <col min="12048" max="12049" width="3.33203125" style="61" customWidth="1"/>
    <col min="12050" max="12074" width="2.4140625" style="61" customWidth="1"/>
    <col min="12075" max="12076" width="3.33203125" style="61" customWidth="1"/>
    <col min="12077" max="12077" width="14.33203125" style="61" customWidth="1"/>
    <col min="12078" max="12302" width="8.6640625" style="61"/>
    <col min="12303" max="12303" width="14.33203125" style="61" customWidth="1"/>
    <col min="12304" max="12305" width="3.33203125" style="61" customWidth="1"/>
    <col min="12306" max="12330" width="2.4140625" style="61" customWidth="1"/>
    <col min="12331" max="12332" width="3.33203125" style="61" customWidth="1"/>
    <col min="12333" max="12333" width="14.33203125" style="61" customWidth="1"/>
    <col min="12334" max="12558" width="8.6640625" style="61"/>
    <col min="12559" max="12559" width="14.33203125" style="61" customWidth="1"/>
    <col min="12560" max="12561" width="3.33203125" style="61" customWidth="1"/>
    <col min="12562" max="12586" width="2.4140625" style="61" customWidth="1"/>
    <col min="12587" max="12588" width="3.33203125" style="61" customWidth="1"/>
    <col min="12589" max="12589" width="14.33203125" style="61" customWidth="1"/>
    <col min="12590" max="12814" width="8.6640625" style="61"/>
    <col min="12815" max="12815" width="14.33203125" style="61" customWidth="1"/>
    <col min="12816" max="12817" width="3.33203125" style="61" customWidth="1"/>
    <col min="12818" max="12842" width="2.4140625" style="61" customWidth="1"/>
    <col min="12843" max="12844" width="3.33203125" style="61" customWidth="1"/>
    <col min="12845" max="12845" width="14.33203125" style="61" customWidth="1"/>
    <col min="12846" max="13070" width="8.6640625" style="61"/>
    <col min="13071" max="13071" width="14.33203125" style="61" customWidth="1"/>
    <col min="13072" max="13073" width="3.33203125" style="61" customWidth="1"/>
    <col min="13074" max="13098" width="2.4140625" style="61" customWidth="1"/>
    <col min="13099" max="13100" width="3.33203125" style="61" customWidth="1"/>
    <col min="13101" max="13101" width="14.33203125" style="61" customWidth="1"/>
    <col min="13102" max="13326" width="8.6640625" style="61"/>
    <col min="13327" max="13327" width="14.33203125" style="61" customWidth="1"/>
    <col min="13328" max="13329" width="3.33203125" style="61" customWidth="1"/>
    <col min="13330" max="13354" width="2.4140625" style="61" customWidth="1"/>
    <col min="13355" max="13356" width="3.33203125" style="61" customWidth="1"/>
    <col min="13357" max="13357" width="14.33203125" style="61" customWidth="1"/>
    <col min="13358" max="13582" width="8.6640625" style="61"/>
    <col min="13583" max="13583" width="14.33203125" style="61" customWidth="1"/>
    <col min="13584" max="13585" width="3.33203125" style="61" customWidth="1"/>
    <col min="13586" max="13610" width="2.4140625" style="61" customWidth="1"/>
    <col min="13611" max="13612" width="3.33203125" style="61" customWidth="1"/>
    <col min="13613" max="13613" width="14.33203125" style="61" customWidth="1"/>
    <col min="13614" max="13838" width="8.6640625" style="61"/>
    <col min="13839" max="13839" width="14.33203125" style="61" customWidth="1"/>
    <col min="13840" max="13841" width="3.33203125" style="61" customWidth="1"/>
    <col min="13842" max="13866" width="2.4140625" style="61" customWidth="1"/>
    <col min="13867" max="13868" width="3.33203125" style="61" customWidth="1"/>
    <col min="13869" max="13869" width="14.33203125" style="61" customWidth="1"/>
    <col min="13870" max="14094" width="8.6640625" style="61"/>
    <col min="14095" max="14095" width="14.33203125" style="61" customWidth="1"/>
    <col min="14096" max="14097" width="3.33203125" style="61" customWidth="1"/>
    <col min="14098" max="14122" width="2.4140625" style="61" customWidth="1"/>
    <col min="14123" max="14124" width="3.33203125" style="61" customWidth="1"/>
    <col min="14125" max="14125" width="14.33203125" style="61" customWidth="1"/>
    <col min="14126" max="14350" width="8.6640625" style="61"/>
    <col min="14351" max="14351" width="14.33203125" style="61" customWidth="1"/>
    <col min="14352" max="14353" width="3.33203125" style="61" customWidth="1"/>
    <col min="14354" max="14378" width="2.4140625" style="61" customWidth="1"/>
    <col min="14379" max="14380" width="3.33203125" style="61" customWidth="1"/>
    <col min="14381" max="14381" width="14.33203125" style="61" customWidth="1"/>
    <col min="14382" max="14606" width="8.6640625" style="61"/>
    <col min="14607" max="14607" width="14.33203125" style="61" customWidth="1"/>
    <col min="14608" max="14609" width="3.33203125" style="61" customWidth="1"/>
    <col min="14610" max="14634" width="2.4140625" style="61" customWidth="1"/>
    <col min="14635" max="14636" width="3.33203125" style="61" customWidth="1"/>
    <col min="14637" max="14637" width="14.33203125" style="61" customWidth="1"/>
    <col min="14638" max="14862" width="8.6640625" style="61"/>
    <col min="14863" max="14863" width="14.33203125" style="61" customWidth="1"/>
    <col min="14864" max="14865" width="3.33203125" style="61" customWidth="1"/>
    <col min="14866" max="14890" width="2.4140625" style="61" customWidth="1"/>
    <col min="14891" max="14892" width="3.33203125" style="61" customWidth="1"/>
    <col min="14893" max="14893" width="14.33203125" style="61" customWidth="1"/>
    <col min="14894" max="15118" width="8.6640625" style="61"/>
    <col min="15119" max="15119" width="14.33203125" style="61" customWidth="1"/>
    <col min="15120" max="15121" width="3.33203125" style="61" customWidth="1"/>
    <col min="15122" max="15146" width="2.4140625" style="61" customWidth="1"/>
    <col min="15147" max="15148" width="3.33203125" style="61" customWidth="1"/>
    <col min="15149" max="15149" width="14.33203125" style="61" customWidth="1"/>
    <col min="15150" max="15374" width="8.6640625" style="61"/>
    <col min="15375" max="15375" width="14.33203125" style="61" customWidth="1"/>
    <col min="15376" max="15377" width="3.33203125" style="61" customWidth="1"/>
    <col min="15378" max="15402" width="2.4140625" style="61" customWidth="1"/>
    <col min="15403" max="15404" width="3.33203125" style="61" customWidth="1"/>
    <col min="15405" max="15405" width="14.33203125" style="61" customWidth="1"/>
    <col min="15406" max="15630" width="8.6640625" style="61"/>
    <col min="15631" max="15631" width="14.33203125" style="61" customWidth="1"/>
    <col min="15632" max="15633" width="3.33203125" style="61" customWidth="1"/>
    <col min="15634" max="15658" width="2.4140625" style="61" customWidth="1"/>
    <col min="15659" max="15660" width="3.33203125" style="61" customWidth="1"/>
    <col min="15661" max="15661" width="14.33203125" style="61" customWidth="1"/>
    <col min="15662" max="15886" width="8.6640625" style="61"/>
    <col min="15887" max="15887" width="14.33203125" style="61" customWidth="1"/>
    <col min="15888" max="15889" width="3.33203125" style="61" customWidth="1"/>
    <col min="15890" max="15914" width="2.4140625" style="61" customWidth="1"/>
    <col min="15915" max="15916" width="3.33203125" style="61" customWidth="1"/>
    <col min="15917" max="15917" width="14.33203125" style="61" customWidth="1"/>
    <col min="15918" max="16142" width="8.6640625" style="61"/>
    <col min="16143" max="16143" width="14.33203125" style="61" customWidth="1"/>
    <col min="16144" max="16145" width="3.33203125" style="61" customWidth="1"/>
    <col min="16146" max="16170" width="2.4140625" style="61" customWidth="1"/>
    <col min="16171" max="16172" width="3.33203125" style="61" customWidth="1"/>
    <col min="16173" max="16173" width="14.33203125" style="61" customWidth="1"/>
    <col min="16174" max="16384" width="8.6640625" style="61"/>
  </cols>
  <sheetData>
    <row r="1" spans="1:48" ht="29.5" x14ac:dyDescent="0.55000000000000004">
      <c r="A1" s="60" t="s">
        <v>763</v>
      </c>
      <c r="AT1" s="63"/>
      <c r="AU1" s="63"/>
      <c r="AV1" s="63"/>
    </row>
    <row r="2" spans="1:48" ht="25" customHeight="1" x14ac:dyDescent="0.55000000000000004">
      <c r="A2" s="60"/>
      <c r="AT2" s="63"/>
      <c r="AU2" s="63"/>
      <c r="AV2" s="63"/>
    </row>
    <row r="3" spans="1:48" ht="25" customHeight="1" x14ac:dyDescent="0.55000000000000004">
      <c r="A3" s="64"/>
      <c r="AT3" s="63"/>
      <c r="AU3" s="63"/>
      <c r="AV3" s="63"/>
    </row>
    <row r="4" spans="1:48" ht="25" customHeight="1" x14ac:dyDescent="0.55000000000000004">
      <c r="A4" s="64"/>
      <c r="AT4" s="63"/>
      <c r="AU4" s="63"/>
      <c r="AV4" s="63"/>
    </row>
    <row r="5" spans="1:48" ht="25" customHeight="1" x14ac:dyDescent="0.55000000000000004">
      <c r="A5" s="64"/>
      <c r="AT5" s="63"/>
      <c r="AU5" s="63"/>
      <c r="AV5" s="65" t="s">
        <v>1783</v>
      </c>
    </row>
    <row r="6" spans="1:48" ht="22.5" x14ac:dyDescent="0.55000000000000004">
      <c r="A6" s="64"/>
      <c r="AT6" s="66"/>
    </row>
    <row r="7" spans="1:48" ht="28" customHeight="1" x14ac:dyDescent="0.55000000000000004"/>
    <row r="8" spans="1:48" ht="28" customHeight="1" thickBot="1" x14ac:dyDescent="0.6">
      <c r="E8" s="67">
        <v>1</v>
      </c>
      <c r="F8" s="67"/>
      <c r="G8" s="67">
        <v>2</v>
      </c>
      <c r="H8" s="67"/>
      <c r="I8" s="67">
        <v>3</v>
      </c>
      <c r="J8" s="67"/>
      <c r="K8" s="67">
        <v>4</v>
      </c>
      <c r="L8" s="67"/>
      <c r="M8" s="67">
        <v>5</v>
      </c>
      <c r="N8" s="67"/>
      <c r="O8" s="67">
        <v>6</v>
      </c>
      <c r="P8" s="67"/>
      <c r="Q8" s="67">
        <v>7</v>
      </c>
      <c r="R8" s="67"/>
      <c r="S8" s="67">
        <v>8</v>
      </c>
      <c r="T8" s="67"/>
      <c r="U8" s="67">
        <v>9</v>
      </c>
      <c r="V8" s="67"/>
      <c r="W8" s="67">
        <v>10</v>
      </c>
      <c r="X8" s="67"/>
      <c r="Y8" s="67">
        <v>11</v>
      </c>
      <c r="Z8" s="67"/>
      <c r="AA8" s="67">
        <v>12</v>
      </c>
      <c r="AB8" s="67"/>
      <c r="AC8" s="67">
        <v>13</v>
      </c>
      <c r="AD8" s="67"/>
      <c r="AE8" s="67">
        <v>14</v>
      </c>
      <c r="AF8" s="67"/>
      <c r="AG8" s="67">
        <v>15</v>
      </c>
      <c r="AH8" s="67"/>
      <c r="AI8" s="67">
        <v>16</v>
      </c>
      <c r="AJ8" s="67"/>
      <c r="AK8" s="67">
        <v>17</v>
      </c>
      <c r="AL8" s="67"/>
      <c r="AM8" s="67">
        <v>18</v>
      </c>
      <c r="AN8" s="67"/>
      <c r="AO8" s="67">
        <v>19</v>
      </c>
      <c r="AP8" s="67"/>
      <c r="AQ8" s="67">
        <v>20</v>
      </c>
    </row>
    <row r="9" spans="1:48" ht="20" customHeight="1" x14ac:dyDescent="0.55000000000000004">
      <c r="D9" s="7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5"/>
    </row>
    <row r="10" spans="1:48" ht="46" customHeight="1" x14ac:dyDescent="0.55000000000000004">
      <c r="C10" s="68" t="s">
        <v>623</v>
      </c>
      <c r="D10" s="76"/>
      <c r="E10" s="77" t="str">
        <f>'PF327'!Y216</f>
        <v>VSS</v>
      </c>
      <c r="F10" s="78"/>
      <c r="G10" s="79">
        <f>'PF327'!Y78</f>
        <v>0</v>
      </c>
      <c r="H10" s="78"/>
      <c r="I10" s="79">
        <f>'PF327'!Y77</f>
        <v>0</v>
      </c>
      <c r="J10" s="78"/>
      <c r="K10" s="79">
        <f>'PF327'!Y72</f>
        <v>0</v>
      </c>
      <c r="L10" s="78"/>
      <c r="M10" s="79">
        <f>'PF327'!Y71</f>
        <v>0</v>
      </c>
      <c r="N10" s="78"/>
      <c r="O10" s="79">
        <f>'PF327'!Y69</f>
        <v>0</v>
      </c>
      <c r="P10" s="78"/>
      <c r="Q10" s="79">
        <f>'PF327'!Y62</f>
        <v>0</v>
      </c>
      <c r="R10" s="78"/>
      <c r="S10" s="79">
        <f>'PF327'!Y60</f>
        <v>0</v>
      </c>
      <c r="T10" s="78"/>
      <c r="U10" s="79">
        <f>'PF327'!Y56</f>
        <v>0</v>
      </c>
      <c r="V10" s="78"/>
      <c r="W10" s="79">
        <f>'PF327'!Y52</f>
        <v>0</v>
      </c>
      <c r="X10" s="78"/>
      <c r="Y10" s="79">
        <f>'PF327'!Y48</f>
        <v>0</v>
      </c>
      <c r="Z10" s="78"/>
      <c r="AA10" s="79">
        <f>'PF327'!Y47</f>
        <v>0</v>
      </c>
      <c r="AB10" s="78"/>
      <c r="AC10" s="79">
        <f>'PF327'!Y44</f>
        <v>0</v>
      </c>
      <c r="AD10" s="78"/>
      <c r="AE10" s="79">
        <f>'PF327'!Y41</f>
        <v>0</v>
      </c>
      <c r="AF10" s="78"/>
      <c r="AG10" s="79">
        <f>'PF327'!Y37</f>
        <v>0</v>
      </c>
      <c r="AH10" s="78"/>
      <c r="AI10" s="79">
        <f>'PF327'!Y33</f>
        <v>0</v>
      </c>
      <c r="AJ10" s="78"/>
      <c r="AK10" s="79">
        <f>'PF327'!Y29</f>
        <v>0</v>
      </c>
      <c r="AL10" s="78"/>
      <c r="AM10" s="79">
        <f>'PF327'!Y25</f>
        <v>0</v>
      </c>
      <c r="AN10" s="78"/>
      <c r="AO10" s="79">
        <f>'PF327'!Y15</f>
        <v>0</v>
      </c>
      <c r="AP10" s="78"/>
      <c r="AQ10" s="80" t="str">
        <f>'PF327'!Y326</f>
        <v>VSS</v>
      </c>
      <c r="AR10" s="81"/>
      <c r="AS10" s="69"/>
    </row>
    <row r="11" spans="1:48" ht="10" customHeight="1" x14ac:dyDescent="0.55000000000000004">
      <c r="C11" s="70"/>
      <c r="D11" s="76"/>
      <c r="E11" s="78"/>
      <c r="F11" s="78"/>
      <c r="G11" s="78" t="s">
        <v>1539</v>
      </c>
      <c r="H11" s="78"/>
      <c r="I11" s="78" t="s">
        <v>1538</v>
      </c>
      <c r="J11" s="78"/>
      <c r="K11" s="78" t="s">
        <v>1537</v>
      </c>
      <c r="L11" s="78"/>
      <c r="M11" s="78" t="s">
        <v>1536</v>
      </c>
      <c r="N11" s="78"/>
      <c r="O11" s="78" t="s">
        <v>1535</v>
      </c>
      <c r="P11" s="78"/>
      <c r="Q11" s="78" t="s">
        <v>1534</v>
      </c>
      <c r="R11" s="78"/>
      <c r="S11" s="78" t="s">
        <v>1533</v>
      </c>
      <c r="T11" s="78"/>
      <c r="U11" s="78" t="s">
        <v>1532</v>
      </c>
      <c r="V11" s="78"/>
      <c r="W11" s="78" t="s">
        <v>1531</v>
      </c>
      <c r="X11" s="78"/>
      <c r="Y11" s="78" t="s">
        <v>1530</v>
      </c>
      <c r="Z11" s="78"/>
      <c r="AA11" s="78" t="s">
        <v>1529</v>
      </c>
      <c r="AB11" s="78"/>
      <c r="AC11" s="78" t="s">
        <v>1528</v>
      </c>
      <c r="AD11" s="78"/>
      <c r="AE11" s="78" t="s">
        <v>1527</v>
      </c>
      <c r="AF11" s="78"/>
      <c r="AG11" s="78" t="s">
        <v>1526</v>
      </c>
      <c r="AH11" s="78"/>
      <c r="AI11" s="78" t="s">
        <v>1525</v>
      </c>
      <c r="AJ11" s="78"/>
      <c r="AK11" s="78" t="s">
        <v>1524</v>
      </c>
      <c r="AL11" s="78"/>
      <c r="AM11" s="78" t="s">
        <v>1523</v>
      </c>
      <c r="AN11" s="78"/>
      <c r="AO11" s="78" t="s">
        <v>1522</v>
      </c>
      <c r="AP11" s="78"/>
      <c r="AQ11" s="78"/>
      <c r="AR11" s="81"/>
    </row>
    <row r="12" spans="1:48" ht="46" customHeight="1" x14ac:dyDescent="0.55000000000000004">
      <c r="C12" s="68" t="s">
        <v>624</v>
      </c>
      <c r="D12" s="76"/>
      <c r="E12" s="79">
        <f>'PF327'!Y80</f>
        <v>0</v>
      </c>
      <c r="F12" s="78"/>
      <c r="G12" s="79">
        <f>'PF327'!Y79</f>
        <v>0</v>
      </c>
      <c r="H12" s="78"/>
      <c r="I12" s="79">
        <f>'PF327'!Y81</f>
        <v>0</v>
      </c>
      <c r="J12" s="78"/>
      <c r="K12" s="79">
        <f>'PF327'!Y75</f>
        <v>0</v>
      </c>
      <c r="L12" s="78"/>
      <c r="M12" s="79">
        <f>'PF327'!Y70</f>
        <v>0</v>
      </c>
      <c r="N12" s="78"/>
      <c r="O12" s="79">
        <f>'PF327'!Y68</f>
        <v>0</v>
      </c>
      <c r="P12" s="78"/>
      <c r="Q12" s="79">
        <f>'PF327'!Y63</f>
        <v>0</v>
      </c>
      <c r="R12" s="78"/>
      <c r="S12" s="79">
        <f>'PF327'!Y174</f>
        <v>0</v>
      </c>
      <c r="T12" s="78"/>
      <c r="U12" s="79">
        <f>'PF327'!Y57</f>
        <v>0</v>
      </c>
      <c r="V12" s="78"/>
      <c r="W12" s="79">
        <f>'PF327'!Y53</f>
        <v>0</v>
      </c>
      <c r="X12" s="78"/>
      <c r="Y12" s="79">
        <f>'PF327'!Y49</f>
        <v>0</v>
      </c>
      <c r="Z12" s="78"/>
      <c r="AA12" s="79">
        <f>'PF327'!Y46</f>
        <v>0</v>
      </c>
      <c r="AB12" s="78"/>
      <c r="AC12" s="79">
        <f>'PF327'!Y43</f>
        <v>0</v>
      </c>
      <c r="AD12" s="78"/>
      <c r="AE12" s="79">
        <f>'PF327'!Y40</f>
        <v>0</v>
      </c>
      <c r="AF12" s="78"/>
      <c r="AG12" s="79">
        <f>'PF327'!Y36</f>
        <v>0</v>
      </c>
      <c r="AH12" s="78"/>
      <c r="AI12" s="79">
        <f>'PF327'!Y32</f>
        <v>0</v>
      </c>
      <c r="AJ12" s="78"/>
      <c r="AK12" s="79">
        <f>'PF327'!Y28</f>
        <v>0</v>
      </c>
      <c r="AL12" s="78"/>
      <c r="AM12" s="79">
        <f>'PF327'!Y24</f>
        <v>0</v>
      </c>
      <c r="AN12" s="78"/>
      <c r="AO12" s="79">
        <f>'PF327'!Y14</f>
        <v>0</v>
      </c>
      <c r="AP12" s="78"/>
      <c r="AQ12" s="79">
        <f>'PF327'!Y13</f>
        <v>0</v>
      </c>
      <c r="AR12" s="81"/>
    </row>
    <row r="13" spans="1:48" ht="10" customHeight="1" x14ac:dyDescent="0.55000000000000004">
      <c r="C13" s="68"/>
      <c r="D13" s="76"/>
      <c r="E13" s="78" t="s">
        <v>803</v>
      </c>
      <c r="F13" s="78"/>
      <c r="G13" s="78" t="s">
        <v>802</v>
      </c>
      <c r="H13" s="78"/>
      <c r="I13" s="78" t="s">
        <v>801</v>
      </c>
      <c r="J13" s="78"/>
      <c r="K13" s="78" t="s">
        <v>800</v>
      </c>
      <c r="L13" s="78"/>
      <c r="M13" s="78" t="s">
        <v>765</v>
      </c>
      <c r="N13" s="78"/>
      <c r="O13" s="78" t="s">
        <v>766</v>
      </c>
      <c r="P13" s="78"/>
      <c r="Q13" s="78" t="s">
        <v>767</v>
      </c>
      <c r="R13" s="78"/>
      <c r="S13" s="78" t="s">
        <v>768</v>
      </c>
      <c r="T13" s="78"/>
      <c r="U13" s="78" t="s">
        <v>769</v>
      </c>
      <c r="V13" s="78"/>
      <c r="W13" s="78" t="s">
        <v>770</v>
      </c>
      <c r="X13" s="78"/>
      <c r="Y13" s="78" t="s">
        <v>771</v>
      </c>
      <c r="Z13" s="78"/>
      <c r="AA13" s="78" t="s">
        <v>772</v>
      </c>
      <c r="AB13" s="78"/>
      <c r="AC13" s="78" t="s">
        <v>773</v>
      </c>
      <c r="AD13" s="78"/>
      <c r="AE13" s="78" t="s">
        <v>774</v>
      </c>
      <c r="AF13" s="78"/>
      <c r="AG13" s="78" t="s">
        <v>775</v>
      </c>
      <c r="AH13" s="78"/>
      <c r="AI13" s="78" t="s">
        <v>776</v>
      </c>
      <c r="AJ13" s="78"/>
      <c r="AK13" s="78" t="s">
        <v>777</v>
      </c>
      <c r="AL13" s="78"/>
      <c r="AM13" s="78" t="s">
        <v>778</v>
      </c>
      <c r="AN13" s="78"/>
      <c r="AO13" s="78" t="s">
        <v>779</v>
      </c>
      <c r="AP13" s="78"/>
      <c r="AQ13" s="78" t="s">
        <v>29</v>
      </c>
      <c r="AR13" s="81"/>
    </row>
    <row r="14" spans="1:48" ht="46" customHeight="1" x14ac:dyDescent="0.55000000000000004">
      <c r="C14" s="68" t="s">
        <v>625</v>
      </c>
      <c r="D14" s="76"/>
      <c r="E14" s="79">
        <f>'PF327'!Y148</f>
        <v>0</v>
      </c>
      <c r="F14" s="78"/>
      <c r="G14" s="79">
        <f>'PF327'!Y149</f>
        <v>0</v>
      </c>
      <c r="H14" s="78"/>
      <c r="I14" s="79">
        <f>'PF327'!Y82</f>
        <v>0</v>
      </c>
      <c r="J14" s="78"/>
      <c r="K14" s="79">
        <f>'PF327'!Y76</f>
        <v>0</v>
      </c>
      <c r="L14" s="78"/>
      <c r="M14" s="79">
        <f>'PF327'!Y73</f>
        <v>0</v>
      </c>
      <c r="N14" s="78"/>
      <c r="O14" s="79">
        <f>'PF327'!Y67</f>
        <v>0</v>
      </c>
      <c r="P14" s="78"/>
      <c r="Q14" s="79">
        <f>'PF327'!Y64</f>
        <v>0</v>
      </c>
      <c r="R14" s="78"/>
      <c r="S14" s="79">
        <f>'PF327'!Y175</f>
        <v>0</v>
      </c>
      <c r="T14" s="78"/>
      <c r="U14" s="79">
        <f>'PF327'!Y58</f>
        <v>0</v>
      </c>
      <c r="V14" s="78"/>
      <c r="W14" s="108">
        <f>'PF327'!Y54</f>
        <v>0</v>
      </c>
      <c r="X14" s="78"/>
      <c r="Y14" s="79">
        <f>'PF327'!Y50</f>
        <v>0</v>
      </c>
      <c r="Z14" s="78"/>
      <c r="AA14" s="79">
        <f>'PF327'!Y45</f>
        <v>0</v>
      </c>
      <c r="AB14" s="78"/>
      <c r="AC14" s="79">
        <f>'PF327'!Y42</f>
        <v>0</v>
      </c>
      <c r="AD14" s="78"/>
      <c r="AE14" s="79">
        <f>'PF327'!Y39</f>
        <v>0</v>
      </c>
      <c r="AF14" s="78"/>
      <c r="AG14" s="79">
        <f>'PF327'!Y35</f>
        <v>0</v>
      </c>
      <c r="AH14" s="78"/>
      <c r="AI14" s="79">
        <f>'PF327'!Y31</f>
        <v>0</v>
      </c>
      <c r="AJ14" s="78"/>
      <c r="AK14" s="79">
        <f>'PF327'!Y27</f>
        <v>0</v>
      </c>
      <c r="AL14" s="78"/>
      <c r="AM14" s="108">
        <f>'PF327'!Y21</f>
        <v>0</v>
      </c>
      <c r="AN14" s="78"/>
      <c r="AO14" s="79">
        <f>'PF327'!Y23</f>
        <v>0</v>
      </c>
      <c r="AP14" s="78"/>
      <c r="AQ14" s="79">
        <f>'PF327'!Y22</f>
        <v>0</v>
      </c>
      <c r="AR14" s="81"/>
    </row>
    <row r="15" spans="1:48" ht="10" customHeight="1" x14ac:dyDescent="0.55000000000000004">
      <c r="C15" s="68"/>
      <c r="D15" s="76"/>
      <c r="E15" s="78" t="s">
        <v>780</v>
      </c>
      <c r="F15" s="78"/>
      <c r="G15" s="78" t="s">
        <v>781</v>
      </c>
      <c r="H15" s="78"/>
      <c r="I15" s="78" t="s">
        <v>782</v>
      </c>
      <c r="J15" s="78"/>
      <c r="K15" s="78" t="s">
        <v>783</v>
      </c>
      <c r="L15" s="78"/>
      <c r="M15" s="78" t="s">
        <v>784</v>
      </c>
      <c r="N15" s="78"/>
      <c r="O15" s="78" t="s">
        <v>785</v>
      </c>
      <c r="P15" s="78"/>
      <c r="Q15" s="78" t="s">
        <v>786</v>
      </c>
      <c r="R15" s="78"/>
      <c r="S15" s="78" t="s">
        <v>787</v>
      </c>
      <c r="T15" s="78"/>
      <c r="U15" s="78" t="s">
        <v>788</v>
      </c>
      <c r="V15" s="78"/>
      <c r="W15" s="78" t="s">
        <v>789</v>
      </c>
      <c r="X15" s="78"/>
      <c r="Y15" s="78" t="s">
        <v>790</v>
      </c>
      <c r="Z15" s="78"/>
      <c r="AA15" s="78" t="s">
        <v>791</v>
      </c>
      <c r="AB15" s="78"/>
      <c r="AC15" s="78" t="s">
        <v>792</v>
      </c>
      <c r="AD15" s="78"/>
      <c r="AE15" s="78" t="s">
        <v>793</v>
      </c>
      <c r="AF15" s="78"/>
      <c r="AG15" s="78" t="s">
        <v>794</v>
      </c>
      <c r="AH15" s="78"/>
      <c r="AI15" s="78" t="s">
        <v>795</v>
      </c>
      <c r="AJ15" s="78"/>
      <c r="AK15" s="78" t="s">
        <v>796</v>
      </c>
      <c r="AL15" s="78"/>
      <c r="AM15" s="78" t="s">
        <v>797</v>
      </c>
      <c r="AN15" s="78"/>
      <c r="AO15" s="78" t="s">
        <v>798</v>
      </c>
      <c r="AP15" s="78"/>
      <c r="AQ15" s="78" t="s">
        <v>799</v>
      </c>
      <c r="AR15" s="81"/>
    </row>
    <row r="16" spans="1:48" ht="46" customHeight="1" x14ac:dyDescent="0.55000000000000004">
      <c r="C16" s="68" t="s">
        <v>626</v>
      </c>
      <c r="D16" s="76"/>
      <c r="E16" s="79">
        <f>'PF327'!Y150</f>
        <v>0</v>
      </c>
      <c r="F16" s="78"/>
      <c r="G16" s="79">
        <f>'PF327'!Y151</f>
        <v>0</v>
      </c>
      <c r="H16" s="78"/>
      <c r="I16" s="79">
        <f>'PF327'!Y152</f>
        <v>0</v>
      </c>
      <c r="J16" s="78"/>
      <c r="K16" s="79">
        <f>'PF327'!Y83</f>
        <v>0</v>
      </c>
      <c r="L16" s="78"/>
      <c r="M16" s="79">
        <f>'PF327'!Y74</f>
        <v>0</v>
      </c>
      <c r="N16" s="78"/>
      <c r="O16" s="79">
        <f>'PF327'!Y66</f>
        <v>0</v>
      </c>
      <c r="P16" s="78"/>
      <c r="Q16" s="79">
        <f>'PF327'!Y65</f>
        <v>0</v>
      </c>
      <c r="R16" s="78"/>
      <c r="S16" s="79">
        <f>'PF327'!Y61</f>
        <v>0</v>
      </c>
      <c r="T16" s="78"/>
      <c r="U16" s="79">
        <f>'PF327'!Y59</f>
        <v>0</v>
      </c>
      <c r="V16" s="78"/>
      <c r="W16" s="108">
        <f>'PF327'!Y55</f>
        <v>0</v>
      </c>
      <c r="X16" s="78"/>
      <c r="Y16" s="79">
        <f>'PF327'!Y51</f>
        <v>0</v>
      </c>
      <c r="Z16" s="78"/>
      <c r="AA16" s="77" t="str">
        <f>'PF327'!Y265</f>
        <v>VSSA_ADC</v>
      </c>
      <c r="AB16" s="78"/>
      <c r="AC16" s="90" t="str">
        <f>'PF327'!Y276</f>
        <v>VREFL</v>
      </c>
      <c r="AD16" s="78"/>
      <c r="AE16" s="79">
        <f>'PF327'!Y38</f>
        <v>0</v>
      </c>
      <c r="AF16" s="78"/>
      <c r="AG16" s="79">
        <f>'PF327'!Y34</f>
        <v>0</v>
      </c>
      <c r="AH16" s="78"/>
      <c r="AI16" s="79">
        <f>'PF327'!Y30</f>
        <v>0</v>
      </c>
      <c r="AJ16" s="78"/>
      <c r="AK16" s="79">
        <f>'PF327'!Y26</f>
        <v>0</v>
      </c>
      <c r="AL16" s="78"/>
      <c r="AM16" s="79">
        <f>'PF327'!Y20</f>
        <v>0</v>
      </c>
      <c r="AN16" s="78"/>
      <c r="AO16" s="133" t="str">
        <f>'PF327'!Y214</f>
        <v>PMIC_STATUS</v>
      </c>
      <c r="AP16" s="78"/>
      <c r="AQ16" s="79" t="s">
        <v>1521</v>
      </c>
      <c r="AR16" s="81"/>
    </row>
    <row r="17" spans="3:44" ht="10" customHeight="1" x14ac:dyDescent="0.55000000000000004">
      <c r="C17" s="68"/>
      <c r="D17" s="76"/>
      <c r="E17" s="78" t="s">
        <v>804</v>
      </c>
      <c r="F17" s="78"/>
      <c r="G17" s="78" t="s">
        <v>805</v>
      </c>
      <c r="H17" s="78"/>
      <c r="I17" s="78" t="s">
        <v>806</v>
      </c>
      <c r="J17" s="78"/>
      <c r="K17" s="78" t="s">
        <v>807</v>
      </c>
      <c r="L17" s="78"/>
      <c r="M17" s="78" t="s">
        <v>808</v>
      </c>
      <c r="N17" s="78"/>
      <c r="O17" s="78" t="s">
        <v>809</v>
      </c>
      <c r="P17" s="78"/>
      <c r="Q17" s="78" t="s">
        <v>810</v>
      </c>
      <c r="R17" s="78"/>
      <c r="S17" s="78" t="s">
        <v>811</v>
      </c>
      <c r="T17" s="78"/>
      <c r="U17" s="78" t="s">
        <v>812</v>
      </c>
      <c r="V17" s="78"/>
      <c r="W17" s="78" t="s">
        <v>813</v>
      </c>
      <c r="X17" s="78"/>
      <c r="Y17" s="78" t="s">
        <v>814</v>
      </c>
      <c r="Z17" s="78"/>
      <c r="AA17" s="78"/>
      <c r="AB17" s="78"/>
      <c r="AC17" s="78"/>
      <c r="AD17" s="78"/>
      <c r="AE17" s="78" t="s">
        <v>815</v>
      </c>
      <c r="AF17" s="78"/>
      <c r="AG17" s="78" t="s">
        <v>816</v>
      </c>
      <c r="AH17" s="78"/>
      <c r="AI17" s="78" t="s">
        <v>817</v>
      </c>
      <c r="AJ17" s="78"/>
      <c r="AK17" s="78" t="s">
        <v>818</v>
      </c>
      <c r="AL17" s="78"/>
      <c r="AM17" s="78" t="s">
        <v>1556</v>
      </c>
      <c r="AN17" s="78"/>
      <c r="AO17" s="78"/>
      <c r="AP17" s="78"/>
      <c r="AQ17" s="78"/>
      <c r="AR17" s="81"/>
    </row>
    <row r="18" spans="3:44" ht="46" customHeight="1" x14ac:dyDescent="0.55000000000000004">
      <c r="C18" s="68" t="s">
        <v>627</v>
      </c>
      <c r="D18" s="76"/>
      <c r="E18" s="79">
        <f>'PF327'!Y155</f>
        <v>0</v>
      </c>
      <c r="F18" s="78"/>
      <c r="G18" s="79">
        <f>'PF327'!Y156</f>
        <v>0</v>
      </c>
      <c r="H18" s="78"/>
      <c r="I18" s="79">
        <f>'PF327'!Y157</f>
        <v>0</v>
      </c>
      <c r="J18" s="78"/>
      <c r="K18" s="79">
        <f>'PF327'!Y84</f>
        <v>0</v>
      </c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9">
        <f>'PF327'!Y12</f>
        <v>0</v>
      </c>
      <c r="AL18" s="78"/>
      <c r="AM18" s="79">
        <f>'PF327'!Y11</f>
        <v>0</v>
      </c>
      <c r="AN18" s="78"/>
      <c r="AO18" s="133" t="str">
        <f>'PF327'!Y213</f>
        <v>PMIC_EN</v>
      </c>
      <c r="AP18" s="78"/>
      <c r="AQ18" s="77" t="str">
        <f>'PF327'!Y327</f>
        <v>VSS</v>
      </c>
      <c r="AR18" s="81"/>
    </row>
    <row r="19" spans="3:44" ht="10" customHeight="1" x14ac:dyDescent="0.55000000000000004">
      <c r="C19" s="68"/>
      <c r="D19" s="76"/>
      <c r="E19" s="78" t="s">
        <v>819</v>
      </c>
      <c r="F19" s="78"/>
      <c r="G19" s="78" t="s">
        <v>820</v>
      </c>
      <c r="H19" s="78"/>
      <c r="I19" s="78" t="s">
        <v>821</v>
      </c>
      <c r="J19" s="78"/>
      <c r="K19" s="78" t="s">
        <v>111</v>
      </c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 t="s">
        <v>822</v>
      </c>
      <c r="AL19" s="78"/>
      <c r="AM19" s="78" t="s">
        <v>823</v>
      </c>
      <c r="AN19" s="78"/>
      <c r="AO19" s="78"/>
      <c r="AP19" s="78"/>
      <c r="AQ19" s="78"/>
      <c r="AR19" s="81"/>
    </row>
    <row r="20" spans="3:44" ht="46" customHeight="1" x14ac:dyDescent="0.55000000000000004">
      <c r="C20" s="68" t="s">
        <v>628</v>
      </c>
      <c r="D20" s="76"/>
      <c r="E20" s="79">
        <f>'PF327'!Y158</f>
        <v>0</v>
      </c>
      <c r="F20" s="78"/>
      <c r="G20" s="79">
        <f>'PF327'!Y159</f>
        <v>0</v>
      </c>
      <c r="H20" s="78"/>
      <c r="I20" s="79">
        <f>'PF327'!Y160</f>
        <v>0</v>
      </c>
      <c r="J20" s="78"/>
      <c r="K20" s="79">
        <f>'PF327'!Y85</f>
        <v>0</v>
      </c>
      <c r="L20" s="78"/>
      <c r="M20" s="78"/>
      <c r="N20" s="78"/>
      <c r="O20" s="82" t="str">
        <f>'PF327'!Y220</f>
        <v>VDDIO_SMC</v>
      </c>
      <c r="P20" s="78"/>
      <c r="Q20" s="89" t="str">
        <f>'PF327'!Y230</f>
        <v>VDDIO_SMC</v>
      </c>
      <c r="R20" s="78"/>
      <c r="S20" s="82" t="str">
        <f>'PF327'!Y232</f>
        <v>VDDIO_SMC</v>
      </c>
      <c r="T20" s="78"/>
      <c r="U20" s="82" t="str">
        <f>'PF327'!Y239</f>
        <v>VCCD</v>
      </c>
      <c r="V20" s="78"/>
      <c r="W20" s="82" t="str">
        <f>'PF327'!Y247</f>
        <v>VDDD</v>
      </c>
      <c r="X20" s="78"/>
      <c r="Y20" s="82" t="str">
        <f>'PF327'!Y255</f>
        <v>VDDIO_GPIO_2</v>
      </c>
      <c r="Z20" s="78"/>
      <c r="AA20" s="82" t="str">
        <f>'PF327'!Y266</f>
        <v>VDDA_ADC</v>
      </c>
      <c r="AB20" s="78"/>
      <c r="AC20" s="83" t="str">
        <f>'PF327'!Y277</f>
        <v>VREFH</v>
      </c>
      <c r="AD20" s="78"/>
      <c r="AE20" s="89" t="str">
        <f>'PF327'!Y287</f>
        <v>VDDIO_GPIO_1</v>
      </c>
      <c r="AF20" s="78"/>
      <c r="AG20" s="82" t="str">
        <f>'PF327'!Y290</f>
        <v>VDDIO_GPIO_0</v>
      </c>
      <c r="AH20" s="78"/>
      <c r="AI20" s="78"/>
      <c r="AJ20" s="78"/>
      <c r="AK20" s="79">
        <f>'PF327'!Y10</f>
        <v>0</v>
      </c>
      <c r="AL20" s="78"/>
      <c r="AM20" s="107" t="str">
        <f>'PF327'!Y215</f>
        <v>XRES_L</v>
      </c>
      <c r="AN20" s="78"/>
      <c r="AO20" s="77" t="str">
        <f>'PF327'!Y318</f>
        <v>VSS</v>
      </c>
      <c r="AP20" s="78"/>
      <c r="AQ20" s="79">
        <f>'PF327'!Y19</f>
        <v>0</v>
      </c>
      <c r="AR20" s="81"/>
    </row>
    <row r="21" spans="3:44" ht="10" customHeight="1" x14ac:dyDescent="0.55000000000000004">
      <c r="C21" s="68"/>
      <c r="D21" s="76"/>
      <c r="E21" s="78" t="s">
        <v>824</v>
      </c>
      <c r="F21" s="78"/>
      <c r="G21" s="78" t="s">
        <v>825</v>
      </c>
      <c r="H21" s="78"/>
      <c r="I21" s="78" t="s">
        <v>826</v>
      </c>
      <c r="J21" s="78"/>
      <c r="K21" s="78" t="s">
        <v>113</v>
      </c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 t="s">
        <v>863</v>
      </c>
      <c r="AL21" s="78"/>
      <c r="AM21" s="78"/>
      <c r="AN21" s="78"/>
      <c r="AO21" s="78"/>
      <c r="AP21" s="78"/>
      <c r="AQ21" s="78" t="s">
        <v>864</v>
      </c>
      <c r="AR21" s="81"/>
    </row>
    <row r="22" spans="3:44" ht="46" customHeight="1" x14ac:dyDescent="0.55000000000000004">
      <c r="C22" s="68" t="s">
        <v>629</v>
      </c>
      <c r="D22" s="76"/>
      <c r="E22" s="79">
        <f>'PF327'!Y153</f>
        <v>0</v>
      </c>
      <c r="F22" s="78"/>
      <c r="G22" s="79">
        <f>'PF327'!Y154</f>
        <v>0</v>
      </c>
      <c r="H22" s="78"/>
      <c r="I22" s="79">
        <f>'PF327'!Y86</f>
        <v>0</v>
      </c>
      <c r="J22" s="78"/>
      <c r="K22" s="79">
        <f>'PF327'!Y87</f>
        <v>0</v>
      </c>
      <c r="L22" s="78"/>
      <c r="M22" s="78"/>
      <c r="N22" s="78"/>
      <c r="O22" s="89" t="str">
        <f>'PF327'!Y221</f>
        <v>VDDIO_SMIF</v>
      </c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89" t="str">
        <f>'PF327'!Y291</f>
        <v>VCCD</v>
      </c>
      <c r="AH22" s="78"/>
      <c r="AI22" s="78"/>
      <c r="AJ22" s="78"/>
      <c r="AK22" s="77" t="str">
        <f>'PF327'!Y304</f>
        <v>VSSA_DAC</v>
      </c>
      <c r="AL22" s="78"/>
      <c r="AM22" s="77" t="str">
        <f>'PF327'!Y312</f>
        <v>VSSA_DAC</v>
      </c>
      <c r="AN22" s="78"/>
      <c r="AO22" s="79">
        <f>'PF327'!Y18</f>
        <v>0</v>
      </c>
      <c r="AP22" s="78"/>
      <c r="AQ22" s="77" t="str">
        <f>'PF327'!Y328</f>
        <v>VSS</v>
      </c>
      <c r="AR22" s="81"/>
    </row>
    <row r="23" spans="3:44" ht="10" customHeight="1" x14ac:dyDescent="0.55000000000000004">
      <c r="C23" s="68"/>
      <c r="D23" s="76"/>
      <c r="E23" s="78" t="s">
        <v>827</v>
      </c>
      <c r="F23" s="78"/>
      <c r="G23" s="78" t="s">
        <v>828</v>
      </c>
      <c r="H23" s="78"/>
      <c r="I23" s="78" t="s">
        <v>829</v>
      </c>
      <c r="J23" s="78"/>
      <c r="K23" s="78" t="s">
        <v>117</v>
      </c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 t="s">
        <v>865</v>
      </c>
      <c r="AP23" s="78"/>
      <c r="AQ23" s="78"/>
      <c r="AR23" s="81"/>
    </row>
    <row r="24" spans="3:44" ht="46" customHeight="1" x14ac:dyDescent="0.55000000000000004">
      <c r="C24" s="68" t="s">
        <v>630</v>
      </c>
      <c r="D24" s="76"/>
      <c r="E24" s="79">
        <f>'PF327'!Y161</f>
        <v>0</v>
      </c>
      <c r="F24" s="78"/>
      <c r="G24" s="79">
        <f>'PF327'!Y162</f>
        <v>0</v>
      </c>
      <c r="H24" s="78"/>
      <c r="I24" s="79">
        <f>'PF327'!Y88</f>
        <v>0</v>
      </c>
      <c r="J24" s="78"/>
      <c r="K24" s="77" t="str">
        <f>'PF327'!Y219</f>
        <v>VSS</v>
      </c>
      <c r="L24" s="78"/>
      <c r="M24" s="78"/>
      <c r="N24" s="78"/>
      <c r="O24" s="82" t="str">
        <f>'PF327'!Y222</f>
        <v>VDDIO_SMIF</v>
      </c>
      <c r="P24" s="78"/>
      <c r="Q24" s="78"/>
      <c r="R24" s="78"/>
      <c r="S24" s="106"/>
      <c r="T24" s="78"/>
      <c r="U24" s="77" t="str">
        <f>'PF327'!Y240</f>
        <v>VSS</v>
      </c>
      <c r="V24" s="78"/>
      <c r="W24" s="77" t="str">
        <f>'PF327'!Y248</f>
        <v>VSS</v>
      </c>
      <c r="X24" s="78"/>
      <c r="Y24" s="77" t="str">
        <f>'PF327'!Y256</f>
        <v>VSS</v>
      </c>
      <c r="Z24" s="78"/>
      <c r="AA24" s="77" t="str">
        <f>'PF327'!Y267</f>
        <v>VSS</v>
      </c>
      <c r="AB24" s="78"/>
      <c r="AC24" s="77" t="str">
        <f>'PF327'!Y278</f>
        <v>VSS</v>
      </c>
      <c r="AD24" s="78"/>
      <c r="AE24" s="78"/>
      <c r="AF24" s="78"/>
      <c r="AG24" s="82" t="str">
        <f>'PF327'!Y292</f>
        <v>VCCD</v>
      </c>
      <c r="AH24" s="78"/>
      <c r="AI24" s="78"/>
      <c r="AJ24" s="78"/>
      <c r="AK24" s="133" t="str">
        <f>'PF327'!Y212</f>
        <v>DAC_AOUTS_L</v>
      </c>
      <c r="AL24" s="78"/>
      <c r="AM24" s="133" t="str">
        <f>'PF327'!Y211</f>
        <v>DAC_COM_L</v>
      </c>
      <c r="AN24" s="78"/>
      <c r="AO24" s="79">
        <f>'PF327'!Y16</f>
        <v>0</v>
      </c>
      <c r="AP24" s="78"/>
      <c r="AQ24" s="79">
        <f>'PF327'!Y17</f>
        <v>0</v>
      </c>
      <c r="AR24" s="81"/>
    </row>
    <row r="25" spans="3:44" ht="10" customHeight="1" x14ac:dyDescent="0.55000000000000004">
      <c r="C25" s="68"/>
      <c r="D25" s="76"/>
      <c r="E25" s="78" t="s">
        <v>830</v>
      </c>
      <c r="F25" s="78"/>
      <c r="G25" s="78" t="s">
        <v>831</v>
      </c>
      <c r="H25" s="78"/>
      <c r="I25" s="78" t="s">
        <v>832</v>
      </c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 t="s">
        <v>31</v>
      </c>
      <c r="AP25" s="78"/>
      <c r="AQ25" s="78" t="s">
        <v>866</v>
      </c>
      <c r="AR25" s="81"/>
    </row>
    <row r="26" spans="3:44" ht="46" customHeight="1" x14ac:dyDescent="0.55000000000000004">
      <c r="C26" s="68" t="s">
        <v>631</v>
      </c>
      <c r="D26" s="76"/>
      <c r="E26" s="79">
        <f>'PF327'!Y163</f>
        <v>0</v>
      </c>
      <c r="F26" s="78"/>
      <c r="G26" s="79">
        <f>'PF327'!Y164</f>
        <v>0</v>
      </c>
      <c r="H26" s="78"/>
      <c r="I26" s="79">
        <f>'PF327'!Y165</f>
        <v>0</v>
      </c>
      <c r="J26" s="78"/>
      <c r="K26" s="79">
        <f>'PF327'!Y90</f>
        <v>0</v>
      </c>
      <c r="L26" s="78"/>
      <c r="M26" s="78"/>
      <c r="N26" s="78"/>
      <c r="O26" s="82" t="str">
        <f>'PF327'!Y223</f>
        <v>VDDIO_SMIF</v>
      </c>
      <c r="P26" s="78"/>
      <c r="Q26" s="78"/>
      <c r="R26" s="78"/>
      <c r="S26" s="77" t="str">
        <f>'PF327'!Y233</f>
        <v>VSS</v>
      </c>
      <c r="T26" s="78"/>
      <c r="U26" s="77" t="str">
        <f>'PF327'!Y241</f>
        <v>VSS</v>
      </c>
      <c r="V26" s="78"/>
      <c r="W26" s="77" t="str">
        <f>'PF327'!Y249</f>
        <v>VSS</v>
      </c>
      <c r="X26" s="78"/>
      <c r="Y26" s="77" t="str">
        <f>'PF327'!Y257</f>
        <v>VSS</v>
      </c>
      <c r="Z26" s="78"/>
      <c r="AA26" s="77" t="str">
        <f>'PF327'!Y268</f>
        <v>VSS</v>
      </c>
      <c r="AB26" s="78"/>
      <c r="AC26" s="77" t="str">
        <f>'PF327'!Y279</f>
        <v>VSS</v>
      </c>
      <c r="AD26" s="78"/>
      <c r="AE26" s="78"/>
      <c r="AF26" s="78"/>
      <c r="AG26" s="82" t="str">
        <f>'PF327'!Y293</f>
        <v>VDDA_DAC</v>
      </c>
      <c r="AH26" s="78"/>
      <c r="AI26" s="78"/>
      <c r="AJ26" s="78"/>
      <c r="AK26" s="134" t="str">
        <f>'PF327'!Y209</f>
        <v>DAC_AOUTS_R</v>
      </c>
      <c r="AL26" s="78"/>
      <c r="AM26" s="134" t="str">
        <f>'PF327'!Y210</f>
        <v>DAC_COM_R</v>
      </c>
      <c r="AN26" s="78"/>
      <c r="AO26" s="77" t="str">
        <f>'PF327'!Y319</f>
        <v>VSSA_FPD1</v>
      </c>
      <c r="AP26" s="78"/>
      <c r="AQ26" s="80" t="str">
        <f>'PF327'!Y329</f>
        <v>VSSA_FPD1</v>
      </c>
      <c r="AR26" s="81"/>
    </row>
    <row r="27" spans="3:44" ht="10" customHeight="1" x14ac:dyDescent="0.55000000000000004">
      <c r="C27" s="68"/>
      <c r="D27" s="76"/>
      <c r="E27" s="78" t="s">
        <v>833</v>
      </c>
      <c r="F27" s="78"/>
      <c r="G27" s="78" t="s">
        <v>834</v>
      </c>
      <c r="H27" s="78"/>
      <c r="I27" s="78" t="s">
        <v>835</v>
      </c>
      <c r="J27" s="78"/>
      <c r="K27" s="78" t="s">
        <v>836</v>
      </c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81"/>
    </row>
    <row r="28" spans="3:44" ht="46" customHeight="1" x14ac:dyDescent="0.55000000000000004">
      <c r="C28" s="68" t="s">
        <v>632</v>
      </c>
      <c r="D28" s="76"/>
      <c r="E28" s="79">
        <f>'PF327'!Y168</f>
        <v>0</v>
      </c>
      <c r="F28" s="78"/>
      <c r="G28" s="79">
        <f>'PF327'!Y169</f>
        <v>0</v>
      </c>
      <c r="H28" s="78"/>
      <c r="I28" s="79">
        <f>'PF327'!Y170</f>
        <v>0</v>
      </c>
      <c r="J28" s="78"/>
      <c r="K28" s="79">
        <f>'PF327'!Y89</f>
        <v>0</v>
      </c>
      <c r="L28" s="78"/>
      <c r="M28" s="78"/>
      <c r="N28" s="78"/>
      <c r="O28" s="82" t="str">
        <f>'PF327'!Y224</f>
        <v>VDDIO_SMIF_HV</v>
      </c>
      <c r="P28" s="78"/>
      <c r="Q28" s="78"/>
      <c r="R28" s="78"/>
      <c r="S28" s="77" t="str">
        <f>'PF327'!Y234</f>
        <v>VSS</v>
      </c>
      <c r="T28" s="78"/>
      <c r="U28" s="77" t="str">
        <f>'PF327'!Y242</f>
        <v>VSS</v>
      </c>
      <c r="V28" s="78"/>
      <c r="W28" s="77" t="str">
        <f>'PF327'!Y250</f>
        <v>VSS</v>
      </c>
      <c r="X28" s="78"/>
      <c r="Y28" s="77" t="str">
        <f>'PF327'!Y258</f>
        <v>VSS</v>
      </c>
      <c r="Z28" s="78"/>
      <c r="AA28" s="77" t="str">
        <f>'PF327'!Y269</f>
        <v>VSS</v>
      </c>
      <c r="AB28" s="78"/>
      <c r="AC28" s="77" t="str">
        <f>'PF327'!Y280</f>
        <v>VSS</v>
      </c>
      <c r="AD28" s="78"/>
      <c r="AE28" s="78"/>
      <c r="AF28" s="78"/>
      <c r="AG28" s="82" t="str">
        <f>'PF327'!Y294</f>
        <v>VDDD</v>
      </c>
      <c r="AH28" s="78"/>
      <c r="AI28" s="78"/>
      <c r="AJ28" s="78"/>
      <c r="AK28" s="80" t="str">
        <f>'PF327'!Y305</f>
        <v>VSSA_FPD1</v>
      </c>
      <c r="AL28" s="78"/>
      <c r="AM28" s="80" t="str">
        <f>'PF327'!Y313</f>
        <v>VSSA_FPD1</v>
      </c>
      <c r="AN28" s="78"/>
      <c r="AO28" s="133" t="str">
        <f>'PF327'!Y208</f>
        <v>FPD1_TDN</v>
      </c>
      <c r="AP28" s="78"/>
      <c r="AQ28" s="134" t="str">
        <f>'PF327'!Y207</f>
        <v>FPD1_TDP</v>
      </c>
      <c r="AR28" s="81"/>
    </row>
    <row r="29" spans="3:44" ht="10" customHeight="1" x14ac:dyDescent="0.55000000000000004">
      <c r="C29" s="68"/>
      <c r="D29" s="76"/>
      <c r="E29" s="78" t="s">
        <v>837</v>
      </c>
      <c r="F29" s="78"/>
      <c r="G29" s="78" t="s">
        <v>838</v>
      </c>
      <c r="H29" s="78"/>
      <c r="I29" s="78" t="s">
        <v>839</v>
      </c>
      <c r="J29" s="78"/>
      <c r="K29" s="78" t="s">
        <v>840</v>
      </c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81"/>
    </row>
    <row r="30" spans="3:44" ht="46" customHeight="1" x14ac:dyDescent="0.55000000000000004">
      <c r="C30" s="68" t="s">
        <v>633</v>
      </c>
      <c r="D30" s="76"/>
      <c r="E30" s="79">
        <f>'PF327'!Y171</f>
        <v>0</v>
      </c>
      <c r="F30" s="78"/>
      <c r="G30" s="79">
        <f>'PF327'!Y172</f>
        <v>0</v>
      </c>
      <c r="H30" s="78"/>
      <c r="I30" s="79">
        <f>'PF327'!Y173</f>
        <v>0</v>
      </c>
      <c r="J30" s="78"/>
      <c r="K30" s="79">
        <f>'PF327'!Y91</f>
        <v>0</v>
      </c>
      <c r="L30" s="78"/>
      <c r="M30" s="78"/>
      <c r="N30" s="78"/>
      <c r="O30" s="82" t="str">
        <f>'PF327'!Y225</f>
        <v>VDDIO_SMIF_HV</v>
      </c>
      <c r="P30" s="78"/>
      <c r="Q30" s="78"/>
      <c r="R30" s="78"/>
      <c r="S30" s="77" t="str">
        <f>'PF327'!Y235</f>
        <v>VSS</v>
      </c>
      <c r="T30" s="78"/>
      <c r="U30" s="77" t="str">
        <f>'PF327'!Y243</f>
        <v>VSS</v>
      </c>
      <c r="V30" s="78"/>
      <c r="W30" s="77" t="str">
        <f>'PF327'!Y251</f>
        <v>VSS</v>
      </c>
      <c r="X30" s="78"/>
      <c r="Y30" s="77" t="str">
        <f>'PF327'!Y259</f>
        <v>VSS</v>
      </c>
      <c r="Z30" s="78"/>
      <c r="AA30" s="77" t="str">
        <f>'PF327'!Y270</f>
        <v>VSS</v>
      </c>
      <c r="AB30" s="78"/>
      <c r="AC30" s="77" t="str">
        <f>'PF327'!Y281</f>
        <v>VSS</v>
      </c>
      <c r="AD30" s="78"/>
      <c r="AE30" s="78"/>
      <c r="AF30" s="78"/>
      <c r="AG30" s="80" t="str">
        <f>'PF327'!Y295</f>
        <v>VSSA_FPD1</v>
      </c>
      <c r="AH30" s="78"/>
      <c r="AI30" s="78"/>
      <c r="AJ30" s="78"/>
      <c r="AK30" s="133" t="str">
        <f>'PF327'!Y206</f>
        <v>FPD1_TCN</v>
      </c>
      <c r="AL30" s="78"/>
      <c r="AM30" s="133" t="str">
        <f>'PF327'!Y205</f>
        <v>FPD1_TCP</v>
      </c>
      <c r="AN30" s="78"/>
      <c r="AO30" s="77" t="str">
        <f>'PF327'!Y320</f>
        <v>VSSA_FPD1</v>
      </c>
      <c r="AP30" s="78"/>
      <c r="AQ30" s="80" t="str">
        <f>'PF327'!Y330</f>
        <v>VSSA_FPD1</v>
      </c>
      <c r="AR30" s="81"/>
    </row>
    <row r="31" spans="3:44" ht="10" customHeight="1" x14ac:dyDescent="0.55000000000000004">
      <c r="C31" s="68"/>
      <c r="D31" s="76"/>
      <c r="E31" s="78" t="s">
        <v>841</v>
      </c>
      <c r="F31" s="78"/>
      <c r="G31" s="78" t="s">
        <v>842</v>
      </c>
      <c r="H31" s="78"/>
      <c r="I31" s="78" t="s">
        <v>843</v>
      </c>
      <c r="J31" s="78"/>
      <c r="K31" s="78" t="s">
        <v>844</v>
      </c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81"/>
    </row>
    <row r="32" spans="3:44" ht="46" customHeight="1" x14ac:dyDescent="0.55000000000000004">
      <c r="C32" s="68" t="s">
        <v>634</v>
      </c>
      <c r="D32" s="76"/>
      <c r="E32" s="79">
        <f>'PF327'!Y166</f>
        <v>0</v>
      </c>
      <c r="F32" s="78"/>
      <c r="G32" s="79">
        <f>'PF327'!Y167</f>
        <v>0</v>
      </c>
      <c r="H32" s="78"/>
      <c r="I32" s="79">
        <f>'PF327'!Y92</f>
        <v>0</v>
      </c>
      <c r="J32" s="78"/>
      <c r="K32" s="79">
        <f>'PF327'!Y93</f>
        <v>0</v>
      </c>
      <c r="L32" s="78"/>
      <c r="M32" s="78"/>
      <c r="N32" s="78"/>
      <c r="O32" s="82" t="str">
        <f>'PF327'!Y226</f>
        <v>VDDD</v>
      </c>
      <c r="P32" s="78"/>
      <c r="Q32" s="78"/>
      <c r="R32" s="78"/>
      <c r="S32" s="80" t="str">
        <f>'PF327'!Y236</f>
        <v>VSS</v>
      </c>
      <c r="T32" s="78"/>
      <c r="U32" s="77" t="str">
        <f>'PF327'!Y244</f>
        <v>VSS</v>
      </c>
      <c r="V32" s="78"/>
      <c r="W32" s="77" t="str">
        <f>'PF327'!Y252</f>
        <v>VSS</v>
      </c>
      <c r="X32" s="78"/>
      <c r="Y32" s="77" t="str">
        <f>'PF327'!Y260</f>
        <v>VSS</v>
      </c>
      <c r="Z32" s="78"/>
      <c r="AA32" s="77" t="str">
        <f>'PF327'!Y271</f>
        <v>VSS</v>
      </c>
      <c r="AB32" s="78"/>
      <c r="AC32" s="77" t="str">
        <f>'PF327'!Y282</f>
        <v>VSS</v>
      </c>
      <c r="AD32" s="78"/>
      <c r="AE32" s="78"/>
      <c r="AF32" s="78"/>
      <c r="AG32" s="82" t="str">
        <f>'PF327'!Y296</f>
        <v>VDDA_FPD1</v>
      </c>
      <c r="AH32" s="78"/>
      <c r="AI32" s="78"/>
      <c r="AJ32" s="78"/>
      <c r="AK32" s="89" t="str">
        <f>'PF327'!Y306</f>
        <v>VDDHA_FPD1</v>
      </c>
      <c r="AL32" s="78"/>
      <c r="AM32" s="89" t="str">
        <f>'PF327'!Y314</f>
        <v>VDDHA_FPD1</v>
      </c>
      <c r="AN32" s="78"/>
      <c r="AO32" s="133" t="str">
        <f>'PF327'!Y204</f>
        <v>FPD1_TCLKN</v>
      </c>
      <c r="AP32" s="78"/>
      <c r="AQ32" s="133" t="str">
        <f>'PF327'!Y203</f>
        <v>FPD1_TCLKP</v>
      </c>
      <c r="AR32" s="81"/>
    </row>
    <row r="33" spans="3:44" ht="10" customHeight="1" x14ac:dyDescent="0.55000000000000004">
      <c r="C33" s="68"/>
      <c r="D33" s="76"/>
      <c r="E33" s="78" t="s">
        <v>845</v>
      </c>
      <c r="F33" s="78"/>
      <c r="G33" s="78" t="s">
        <v>846</v>
      </c>
      <c r="H33" s="78"/>
      <c r="I33" s="78" t="s">
        <v>847</v>
      </c>
      <c r="J33" s="78"/>
      <c r="K33" s="78" t="s">
        <v>123</v>
      </c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81"/>
    </row>
    <row r="34" spans="3:44" ht="46" customHeight="1" x14ac:dyDescent="0.55000000000000004">
      <c r="C34" s="68" t="s">
        <v>635</v>
      </c>
      <c r="D34" s="76"/>
      <c r="E34" s="77" t="str">
        <f>'PF327'!Y217</f>
        <v>VSS</v>
      </c>
      <c r="F34" s="78"/>
      <c r="G34" s="79">
        <f>'PF327'!Y94</f>
        <v>0</v>
      </c>
      <c r="H34" s="78"/>
      <c r="I34" s="79">
        <f>'PF327'!Y95</f>
        <v>0</v>
      </c>
      <c r="J34" s="78"/>
      <c r="K34" s="79">
        <f>'PF327'!Y96</f>
        <v>0</v>
      </c>
      <c r="L34" s="78"/>
      <c r="M34" s="78"/>
      <c r="N34" s="78"/>
      <c r="O34" s="82" t="str">
        <f>'PF327'!Y227</f>
        <v>VDDIO_HSIO</v>
      </c>
      <c r="P34" s="78"/>
      <c r="Q34" s="78"/>
      <c r="R34" s="78"/>
      <c r="S34" s="80" t="str">
        <f>'PF327'!Y237</f>
        <v>VSS</v>
      </c>
      <c r="T34" s="78"/>
      <c r="U34" s="84" t="str">
        <f>'PF327'!Y245</f>
        <v>VSS</v>
      </c>
      <c r="V34" s="78"/>
      <c r="W34" s="84" t="str">
        <f>'PF327'!Y253</f>
        <v>VSS</v>
      </c>
      <c r="X34" s="78"/>
      <c r="Y34" s="77" t="str">
        <f>'PF327'!Y261</f>
        <v>VSS</v>
      </c>
      <c r="Z34" s="78"/>
      <c r="AA34" s="77" t="str">
        <f>'PF327'!Y272</f>
        <v>VSS</v>
      </c>
      <c r="AB34" s="78"/>
      <c r="AC34" s="77" t="str">
        <f>'PF327'!Y283</f>
        <v>VSS</v>
      </c>
      <c r="AD34" s="78"/>
      <c r="AE34" s="78"/>
      <c r="AF34" s="78"/>
      <c r="AG34" s="82" t="str">
        <f>'PF327'!Y297</f>
        <v>VDDPLL_FPD1</v>
      </c>
      <c r="AH34" s="78"/>
      <c r="AI34" s="78"/>
      <c r="AJ34" s="78"/>
      <c r="AK34" s="133" t="str">
        <f>'PF327'!Y202</f>
        <v>FPD1_TBN</v>
      </c>
      <c r="AL34" s="78"/>
      <c r="AM34" s="133" t="str">
        <f>'PF327'!Y201</f>
        <v>FPD1_TBP</v>
      </c>
      <c r="AN34" s="78"/>
      <c r="AO34" s="89" t="str">
        <f>'PF327'!Y321</f>
        <v>VDDHA_FPD1</v>
      </c>
      <c r="AP34" s="78"/>
      <c r="AQ34" s="89" t="str">
        <f>'PF327'!Y331</f>
        <v>VDDHA_FPD1</v>
      </c>
      <c r="AR34" s="81"/>
    </row>
    <row r="35" spans="3:44" ht="10" customHeight="1" x14ac:dyDescent="0.55000000000000004">
      <c r="C35" s="68"/>
      <c r="D35" s="76"/>
      <c r="E35" s="78"/>
      <c r="F35" s="78"/>
      <c r="G35" s="78" t="s">
        <v>848</v>
      </c>
      <c r="H35" s="78"/>
      <c r="I35" s="78" t="s">
        <v>849</v>
      </c>
      <c r="J35" s="78"/>
      <c r="K35" s="78" t="s">
        <v>850</v>
      </c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81"/>
    </row>
    <row r="36" spans="3:44" ht="46" customHeight="1" x14ac:dyDescent="0.55000000000000004">
      <c r="C36" s="68" t="s">
        <v>636</v>
      </c>
      <c r="D36" s="76"/>
      <c r="E36" s="79">
        <f>'PF327'!Y97</f>
        <v>0</v>
      </c>
      <c r="F36" s="78"/>
      <c r="G36" s="79">
        <f>'PF327'!Y98</f>
        <v>0</v>
      </c>
      <c r="H36" s="78"/>
      <c r="I36" s="79">
        <f>'PF327'!Y99</f>
        <v>0</v>
      </c>
      <c r="J36" s="78"/>
      <c r="K36" s="79">
        <f>'PF327'!Y100</f>
        <v>0</v>
      </c>
      <c r="L36" s="78"/>
      <c r="M36" s="78"/>
      <c r="N36" s="78"/>
      <c r="O36" s="89" t="str">
        <f>'PF327'!Y228</f>
        <v>VCCD</v>
      </c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89" t="str">
        <f>'PF327'!Y298</f>
        <v>VDDPLL_FPD0</v>
      </c>
      <c r="AH36" s="78"/>
      <c r="AI36" s="78"/>
      <c r="AJ36" s="78"/>
      <c r="AK36" s="89" t="str">
        <f>'PF327'!Y307</f>
        <v>VDDHA_FPD0</v>
      </c>
      <c r="AL36" s="78"/>
      <c r="AM36" s="89" t="str">
        <f>'PF327'!Y315</f>
        <v>VDDHA_FPD0</v>
      </c>
      <c r="AN36" s="78"/>
      <c r="AO36" s="133" t="str">
        <f>'PF327'!Y200</f>
        <v>FPD1_TAN</v>
      </c>
      <c r="AP36" s="78"/>
      <c r="AQ36" s="134" t="str">
        <f>'PF327'!Y199</f>
        <v>FPD1_TAP</v>
      </c>
      <c r="AR36" s="81"/>
    </row>
    <row r="37" spans="3:44" ht="10" customHeight="1" x14ac:dyDescent="0.55000000000000004">
      <c r="C37" s="68"/>
      <c r="D37" s="76"/>
      <c r="E37" s="78" t="s">
        <v>851</v>
      </c>
      <c r="F37" s="78"/>
      <c r="G37" s="78" t="s">
        <v>852</v>
      </c>
      <c r="H37" s="78"/>
      <c r="I37" s="78" t="s">
        <v>853</v>
      </c>
      <c r="J37" s="78"/>
      <c r="K37" s="78" t="s">
        <v>854</v>
      </c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81"/>
    </row>
    <row r="38" spans="3:44" ht="46" customHeight="1" x14ac:dyDescent="0.55000000000000004">
      <c r="C38" s="68" t="s">
        <v>637</v>
      </c>
      <c r="D38" s="76"/>
      <c r="E38" s="79">
        <f>'PF327'!Y101</f>
        <v>0</v>
      </c>
      <c r="F38" s="78"/>
      <c r="G38" s="79">
        <f>'PF327'!Y102</f>
        <v>0</v>
      </c>
      <c r="H38" s="78"/>
      <c r="I38" s="79">
        <f>'PF327'!Y103</f>
        <v>0</v>
      </c>
      <c r="J38" s="78"/>
      <c r="K38" s="79">
        <f>'PF327'!Y104</f>
        <v>0</v>
      </c>
      <c r="L38" s="78"/>
      <c r="M38" s="78"/>
      <c r="N38" s="78"/>
      <c r="O38" s="82" t="str">
        <f>'PF327'!Y229</f>
        <v>VDDIO_HSIO</v>
      </c>
      <c r="P38" s="78"/>
      <c r="Q38" s="89" t="str">
        <f>'PF327'!Y231</f>
        <v>VDDIO_HSIO</v>
      </c>
      <c r="R38" s="78"/>
      <c r="S38" s="82" t="str">
        <f>'PF327'!Y238</f>
        <v>VDDIO_HSIO</v>
      </c>
      <c r="T38" s="78"/>
      <c r="U38" s="82" t="str">
        <f>'PF327'!Y246</f>
        <v>VDDIO_HSIO</v>
      </c>
      <c r="V38" s="78"/>
      <c r="W38" s="82" t="str">
        <f>'PF327'!Y254</f>
        <v>VCCD</v>
      </c>
      <c r="X38" s="78"/>
      <c r="Y38" s="82" t="str">
        <f>'PF327'!Y262</f>
        <v>VDDD</v>
      </c>
      <c r="Z38" s="78"/>
      <c r="AA38" s="82" t="str">
        <f>'PF327'!Y273</f>
        <v>VDDA_MIPI</v>
      </c>
      <c r="AB38" s="78"/>
      <c r="AC38" s="82" t="str">
        <f>'PF327'!Y284</f>
        <v>VDDA_MIPI</v>
      </c>
      <c r="AD38" s="78"/>
      <c r="AE38" s="89" t="str">
        <f>'PF327'!Y288</f>
        <v>VDDA_FPD0</v>
      </c>
      <c r="AF38" s="78"/>
      <c r="AG38" s="80" t="str">
        <f>'PF327'!Y299</f>
        <v>VSSA_FPD0</v>
      </c>
      <c r="AH38" s="78"/>
      <c r="AI38" s="78"/>
      <c r="AJ38" s="78"/>
      <c r="AK38" s="133" t="str">
        <f>'PF327'!Y198</f>
        <v>FPD0_TAP</v>
      </c>
      <c r="AL38" s="78"/>
      <c r="AM38" s="133" t="str">
        <f>'PF327'!Y197</f>
        <v>FPD0_TAN</v>
      </c>
      <c r="AN38" s="78"/>
      <c r="AO38" s="89" t="str">
        <f>'PF327'!Y322</f>
        <v>VDDHA_FPD0</v>
      </c>
      <c r="AP38" s="78"/>
      <c r="AQ38" s="89" t="str">
        <f>'PF327'!Y332</f>
        <v>VDDHA_FPD0</v>
      </c>
      <c r="AR38" s="81"/>
    </row>
    <row r="39" spans="3:44" ht="10" customHeight="1" x14ac:dyDescent="0.55000000000000004">
      <c r="C39" s="68"/>
      <c r="D39" s="76"/>
      <c r="E39" s="78" t="s">
        <v>855</v>
      </c>
      <c r="F39" s="78"/>
      <c r="G39" s="78" t="s">
        <v>856</v>
      </c>
      <c r="H39" s="78"/>
      <c r="I39" s="78" t="s">
        <v>857</v>
      </c>
      <c r="J39" s="78"/>
      <c r="K39" s="78" t="s">
        <v>858</v>
      </c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81"/>
    </row>
    <row r="40" spans="3:44" ht="46" customHeight="1" x14ac:dyDescent="0.55000000000000004">
      <c r="C40" s="68" t="s">
        <v>638</v>
      </c>
      <c r="D40" s="76"/>
      <c r="E40" s="79">
        <f>'PF327'!Y176</f>
        <v>0</v>
      </c>
      <c r="F40" s="78"/>
      <c r="G40" s="79">
        <f>'PF327'!Y177</f>
        <v>0</v>
      </c>
      <c r="H40" s="78"/>
      <c r="I40" s="79">
        <f>'PF327'!Y105</f>
        <v>0</v>
      </c>
      <c r="J40" s="78"/>
      <c r="K40" s="79">
        <f>'PF327'!Y106</f>
        <v>0</v>
      </c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7" t="str">
        <f>'PF327'!Y308</f>
        <v>VSSA_FPD0</v>
      </c>
      <c r="AL40" s="78"/>
      <c r="AM40" s="77" t="str">
        <f>'PF327'!Y316</f>
        <v>VSSA_FPD0</v>
      </c>
      <c r="AN40" s="78"/>
      <c r="AO40" s="133" t="str">
        <f>'PF327'!Y195</f>
        <v>FPD0_TBN</v>
      </c>
      <c r="AP40" s="78"/>
      <c r="AQ40" s="133" t="str">
        <f>'PF327'!Y196</f>
        <v>FPD0_TBP</v>
      </c>
      <c r="AR40" s="81"/>
    </row>
    <row r="41" spans="3:44" ht="10" customHeight="1" x14ac:dyDescent="0.55000000000000004">
      <c r="C41" s="68"/>
      <c r="D41" s="76"/>
      <c r="E41" s="78" t="s">
        <v>859</v>
      </c>
      <c r="F41" s="78"/>
      <c r="G41" s="78" t="s">
        <v>860</v>
      </c>
      <c r="H41" s="78"/>
      <c r="I41" s="78" t="s">
        <v>861</v>
      </c>
      <c r="J41" s="78"/>
      <c r="K41" s="78" t="s">
        <v>862</v>
      </c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81"/>
    </row>
    <row r="42" spans="3:44" ht="46" customHeight="1" x14ac:dyDescent="0.55000000000000004">
      <c r="C42" s="68" t="s">
        <v>639</v>
      </c>
      <c r="D42" s="76"/>
      <c r="E42" s="79">
        <f>'PF327'!Y107</f>
        <v>0</v>
      </c>
      <c r="F42" s="78"/>
      <c r="G42" s="79">
        <f>'PF327'!Y108</f>
        <v>0</v>
      </c>
      <c r="H42" s="78"/>
      <c r="I42" s="79">
        <f>'PF327'!Y109</f>
        <v>0</v>
      </c>
      <c r="J42" s="78"/>
      <c r="K42" s="88">
        <f>'PF327'!Y113</f>
        <v>0</v>
      </c>
      <c r="L42" s="78"/>
      <c r="M42" s="79">
        <f>'PF327'!Y122</f>
        <v>0</v>
      </c>
      <c r="N42" s="78"/>
      <c r="O42" s="79">
        <f>'PF327'!Y126</f>
        <v>0</v>
      </c>
      <c r="P42" s="78"/>
      <c r="Q42" s="79">
        <f>'PF327'!Y130</f>
        <v>0</v>
      </c>
      <c r="R42" s="78"/>
      <c r="S42" s="79">
        <f>'PF327'!Y134</f>
        <v>0</v>
      </c>
      <c r="T42" s="78"/>
      <c r="U42" s="79">
        <f>'PF327'!Y138</f>
        <v>0</v>
      </c>
      <c r="V42" s="78"/>
      <c r="W42" s="79">
        <f>'PF327'!Y142</f>
        <v>0</v>
      </c>
      <c r="X42" s="78"/>
      <c r="Y42" s="79">
        <f>'PF327'!Y146</f>
        <v>0</v>
      </c>
      <c r="Z42" s="78"/>
      <c r="AA42" s="77" t="str">
        <f>'PF327'!Y274</f>
        <v>VSSA_MIPI</v>
      </c>
      <c r="AB42" s="78"/>
      <c r="AC42" s="133" t="str">
        <f>'PF327'!Y181</f>
        <v>MIPI_DP0</v>
      </c>
      <c r="AD42" s="78"/>
      <c r="AE42" s="133" t="str">
        <f>'PF327'!Y184</f>
        <v>MIPI_REXT</v>
      </c>
      <c r="AF42" s="78"/>
      <c r="AG42" s="134" t="str">
        <f>'PF327'!Y186</f>
        <v>MIPI_DN1</v>
      </c>
      <c r="AH42" s="78"/>
      <c r="AI42" s="133" t="str">
        <f>'PF327'!Y302</f>
        <v>VSSA_FPD0</v>
      </c>
      <c r="AJ42" s="78"/>
      <c r="AK42" s="133" t="str">
        <f>'PF327'!Y193</f>
        <v>FPD0_TCLKN</v>
      </c>
      <c r="AL42" s="78"/>
      <c r="AM42" s="133" t="str">
        <f>'PF327'!Y194</f>
        <v>FPD0_TCLKP</v>
      </c>
      <c r="AN42" s="78"/>
      <c r="AO42" s="77" t="str">
        <f>'PF327'!Y323</f>
        <v>VSSA_FPD0</v>
      </c>
      <c r="AP42" s="78"/>
      <c r="AQ42" s="77" t="str">
        <f>'PF327'!Y333</f>
        <v>VSSA_FPD0</v>
      </c>
      <c r="AR42" s="81"/>
    </row>
    <row r="43" spans="3:44" ht="10" customHeight="1" x14ac:dyDescent="0.55000000000000004">
      <c r="C43" s="68"/>
      <c r="D43" s="76"/>
      <c r="E43" s="78" t="s">
        <v>876</v>
      </c>
      <c r="F43" s="78"/>
      <c r="G43" s="78" t="s">
        <v>877</v>
      </c>
      <c r="H43" s="78"/>
      <c r="I43" s="78" t="s">
        <v>878</v>
      </c>
      <c r="J43" s="78"/>
      <c r="K43" s="78" t="s">
        <v>879</v>
      </c>
      <c r="L43" s="78"/>
      <c r="M43" s="78" t="s">
        <v>880</v>
      </c>
      <c r="N43" s="78"/>
      <c r="O43" s="78" t="s">
        <v>881</v>
      </c>
      <c r="P43" s="78"/>
      <c r="Q43" s="78" t="s">
        <v>882</v>
      </c>
      <c r="R43" s="78"/>
      <c r="S43" s="78" t="s">
        <v>883</v>
      </c>
      <c r="T43" s="78"/>
      <c r="U43" s="78" t="s">
        <v>884</v>
      </c>
      <c r="V43" s="78"/>
      <c r="W43" s="78" t="s">
        <v>885</v>
      </c>
      <c r="X43" s="78"/>
      <c r="Y43" s="78" t="s">
        <v>886</v>
      </c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81"/>
    </row>
    <row r="44" spans="3:44" ht="46" customHeight="1" x14ac:dyDescent="0.55000000000000004">
      <c r="C44" s="68" t="s">
        <v>640</v>
      </c>
      <c r="D44" s="76"/>
      <c r="E44" s="79">
        <f>'PF327'!Y110</f>
        <v>0</v>
      </c>
      <c r="F44" s="78"/>
      <c r="G44" s="79">
        <f>'PF327'!Y111</f>
        <v>0</v>
      </c>
      <c r="H44" s="78"/>
      <c r="I44" s="88">
        <f>'PF327'!Y114</f>
        <v>0</v>
      </c>
      <c r="J44" s="78"/>
      <c r="K44" s="88">
        <f>'PF327'!Y119</f>
        <v>0</v>
      </c>
      <c r="L44" s="78"/>
      <c r="M44" s="79">
        <f>'PF327'!Y123</f>
        <v>0</v>
      </c>
      <c r="N44" s="78"/>
      <c r="O44" s="79">
        <f>'PF327'!Y127</f>
        <v>0</v>
      </c>
      <c r="P44" s="78"/>
      <c r="Q44" s="79">
        <f>'PF327'!Y131</f>
        <v>0</v>
      </c>
      <c r="R44" s="78"/>
      <c r="S44" s="79">
        <f>'PF327'!Y135</f>
        <v>0</v>
      </c>
      <c r="T44" s="78"/>
      <c r="U44" s="79">
        <f>'PF327'!Y139</f>
        <v>0</v>
      </c>
      <c r="V44" s="78"/>
      <c r="W44" s="79">
        <f>'PF327'!Y143</f>
        <v>0</v>
      </c>
      <c r="X44" s="78"/>
      <c r="Y44" s="79">
        <f>'PF327'!Y147</f>
        <v>0</v>
      </c>
      <c r="Z44" s="78"/>
      <c r="AA44" s="77" t="str">
        <f>'PF327'!Y275</f>
        <v>VSSA_MIPI</v>
      </c>
      <c r="AB44" s="78"/>
      <c r="AC44" s="133" t="str">
        <f>'PF327'!Y180</f>
        <v>MIPI_DN0</v>
      </c>
      <c r="AD44" s="78"/>
      <c r="AE44" s="133" t="str">
        <f>'PF327'!Y289</f>
        <v>VDDA_MIPI</v>
      </c>
      <c r="AF44" s="78"/>
      <c r="AG44" s="134" t="str">
        <f>'PF327'!Y185</f>
        <v>MIPI_DP1</v>
      </c>
      <c r="AH44" s="78"/>
      <c r="AI44" s="133" t="str">
        <f>'PF327'!Y303</f>
        <v>VSSA_MIPI</v>
      </c>
      <c r="AJ44" s="78"/>
      <c r="AK44" s="77" t="str">
        <f>'PF327'!Y309</f>
        <v>VSSA_FPD0</v>
      </c>
      <c r="AL44" s="78"/>
      <c r="AM44" s="77" t="str">
        <f>'PF327'!Y317</f>
        <v>VSSA_FPD0</v>
      </c>
      <c r="AN44" s="78"/>
      <c r="AO44" s="133" t="str">
        <f>'PF327'!Y192</f>
        <v>FPD0_TCP</v>
      </c>
      <c r="AP44" s="78"/>
      <c r="AQ44" s="133" t="str">
        <f>'PF327'!Y191</f>
        <v>FPD0_TCN</v>
      </c>
      <c r="AR44" s="81"/>
    </row>
    <row r="45" spans="3:44" ht="10" customHeight="1" x14ac:dyDescent="0.55000000000000004">
      <c r="C45" s="68"/>
      <c r="D45" s="76"/>
      <c r="E45" s="78" t="s">
        <v>887</v>
      </c>
      <c r="F45" s="78"/>
      <c r="G45" s="78" t="s">
        <v>888</v>
      </c>
      <c r="H45" s="78"/>
      <c r="I45" s="78" t="s">
        <v>889</v>
      </c>
      <c r="J45" s="78"/>
      <c r="K45" s="78" t="s">
        <v>890</v>
      </c>
      <c r="L45" s="78"/>
      <c r="M45" s="78" t="s">
        <v>891</v>
      </c>
      <c r="N45" s="78"/>
      <c r="O45" s="78" t="s">
        <v>892</v>
      </c>
      <c r="P45" s="78"/>
      <c r="Q45" s="78" t="s">
        <v>893</v>
      </c>
      <c r="R45" s="78"/>
      <c r="S45" s="78" t="s">
        <v>894</v>
      </c>
      <c r="T45" s="78"/>
      <c r="U45" s="78" t="s">
        <v>895</v>
      </c>
      <c r="V45" s="78"/>
      <c r="W45" s="78" t="s">
        <v>896</v>
      </c>
      <c r="X45" s="78"/>
      <c r="Y45" s="78" t="s">
        <v>897</v>
      </c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81"/>
    </row>
    <row r="46" spans="3:44" ht="46" customHeight="1" x14ac:dyDescent="0.55000000000000004">
      <c r="C46" s="68" t="s">
        <v>641</v>
      </c>
      <c r="D46" s="76"/>
      <c r="E46" s="79">
        <f>'PF327'!Y112</f>
        <v>0</v>
      </c>
      <c r="F46" s="78"/>
      <c r="G46" s="79">
        <f>'PF327'!Y115</f>
        <v>0</v>
      </c>
      <c r="H46" s="78"/>
      <c r="I46" s="79">
        <f>'PF327'!Y117</f>
        <v>0</v>
      </c>
      <c r="J46" s="78"/>
      <c r="K46" s="79">
        <f>'PF327'!Y120</f>
        <v>0</v>
      </c>
      <c r="L46" s="78"/>
      <c r="M46" s="79">
        <f>'PF327'!Y124</f>
        <v>0</v>
      </c>
      <c r="N46" s="78"/>
      <c r="O46" s="79">
        <f>'PF327'!Y128</f>
        <v>0</v>
      </c>
      <c r="P46" s="78"/>
      <c r="Q46" s="79">
        <f>'PF327'!Y132</f>
        <v>0</v>
      </c>
      <c r="R46" s="78"/>
      <c r="S46" s="79">
        <f>'PF327'!Y136</f>
        <v>0</v>
      </c>
      <c r="T46" s="78"/>
      <c r="U46" s="79">
        <f>'PF327'!Y140</f>
        <v>0</v>
      </c>
      <c r="V46" s="78"/>
      <c r="W46" s="79">
        <f>'PF327'!Y144</f>
        <v>0</v>
      </c>
      <c r="X46" s="78"/>
      <c r="Y46" s="77" t="str">
        <f>'PF327'!Y263</f>
        <v>VSSA_MIPI</v>
      </c>
      <c r="Z46" s="78"/>
      <c r="AA46" s="133" t="str">
        <f>'PF327'!Y178</f>
        <v>MIPI_DP2</v>
      </c>
      <c r="AB46" s="78"/>
      <c r="AC46" s="77" t="str">
        <f>'PF327'!Y285</f>
        <v>VSSA_MIPI</v>
      </c>
      <c r="AD46" s="78"/>
      <c r="AE46" s="133" t="str">
        <f>'PF327'!Y183</f>
        <v>MIPI_CKN</v>
      </c>
      <c r="AF46" s="78"/>
      <c r="AG46" s="77" t="str">
        <f>'PF327'!Y300</f>
        <v>VSSA_MIPI</v>
      </c>
      <c r="AH46" s="78"/>
      <c r="AI46" s="133" t="str">
        <f>'PF327'!Y187</f>
        <v>MIPI_DN3</v>
      </c>
      <c r="AJ46" s="78"/>
      <c r="AK46" s="77" t="str">
        <f>'PF327'!Y310</f>
        <v>VSSA_FPD0</v>
      </c>
      <c r="AL46" s="78"/>
      <c r="AM46" s="133" t="str">
        <f>'PF327'!Y190</f>
        <v>FPD0_TDP</v>
      </c>
      <c r="AN46" s="78"/>
      <c r="AO46" s="77" t="str">
        <f>'PF327'!Y324</f>
        <v>VSSA_FPD0</v>
      </c>
      <c r="AP46" s="78"/>
      <c r="AQ46" s="77" t="str">
        <f>'PF327'!Y334</f>
        <v>VSSA_FPD0</v>
      </c>
      <c r="AR46" s="81"/>
    </row>
    <row r="47" spans="3:44" ht="10" customHeight="1" x14ac:dyDescent="0.55000000000000004">
      <c r="C47" s="68"/>
      <c r="D47" s="76"/>
      <c r="E47" s="78" t="s">
        <v>901</v>
      </c>
      <c r="F47" s="78"/>
      <c r="G47" s="78" t="s">
        <v>902</v>
      </c>
      <c r="H47" s="78"/>
      <c r="I47" s="78" t="s">
        <v>903</v>
      </c>
      <c r="J47" s="78"/>
      <c r="K47" s="78" t="s">
        <v>904</v>
      </c>
      <c r="L47" s="78"/>
      <c r="M47" s="78" t="s">
        <v>905</v>
      </c>
      <c r="N47" s="78"/>
      <c r="O47" s="78" t="s">
        <v>906</v>
      </c>
      <c r="P47" s="78"/>
      <c r="Q47" s="78" t="s">
        <v>907</v>
      </c>
      <c r="R47" s="78"/>
      <c r="S47" s="78" t="s">
        <v>908</v>
      </c>
      <c r="T47" s="78"/>
      <c r="U47" s="78" t="s">
        <v>909</v>
      </c>
      <c r="V47" s="78"/>
      <c r="W47" s="78" t="s">
        <v>910</v>
      </c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81"/>
    </row>
    <row r="48" spans="3:44" ht="46" customHeight="1" x14ac:dyDescent="0.55000000000000004">
      <c r="C48" s="68" t="s">
        <v>642</v>
      </c>
      <c r="D48" s="76"/>
      <c r="E48" s="77" t="str">
        <f>'PF327'!Y218</f>
        <v>VSS</v>
      </c>
      <c r="F48" s="78"/>
      <c r="G48" s="79">
        <f>'PF327'!Y116</f>
        <v>0</v>
      </c>
      <c r="H48" s="78"/>
      <c r="I48" s="79">
        <f>'PF327'!Y118</f>
        <v>0</v>
      </c>
      <c r="J48" s="78"/>
      <c r="K48" s="79">
        <f>'PF327'!Y121</f>
        <v>0</v>
      </c>
      <c r="L48" s="78"/>
      <c r="M48" s="79">
        <f>'PF327'!Y125</f>
        <v>0</v>
      </c>
      <c r="N48" s="78"/>
      <c r="O48" s="79">
        <f>'PF327'!Y129</f>
        <v>0</v>
      </c>
      <c r="P48" s="78"/>
      <c r="Q48" s="79">
        <f>'PF327'!Y133</f>
        <v>0</v>
      </c>
      <c r="R48" s="78"/>
      <c r="S48" s="79">
        <f>'PF327'!Y137</f>
        <v>0</v>
      </c>
      <c r="T48" s="78"/>
      <c r="U48" s="79">
        <f>'PF327'!Y141</f>
        <v>0</v>
      </c>
      <c r="V48" s="78"/>
      <c r="W48" s="79">
        <f>'PF327'!Y145</f>
        <v>0</v>
      </c>
      <c r="X48" s="78"/>
      <c r="Y48" s="77" t="str">
        <f>'PF327'!Y264</f>
        <v>VSSA_MIPI</v>
      </c>
      <c r="Z48" s="78"/>
      <c r="AA48" s="133" t="str">
        <f>'PF327'!Y179</f>
        <v>MIPI_DN2</v>
      </c>
      <c r="AB48" s="78"/>
      <c r="AC48" s="77" t="str">
        <f>'PF327'!Y286</f>
        <v>VSSA_MIPI</v>
      </c>
      <c r="AD48" s="78"/>
      <c r="AE48" s="133" t="str">
        <f>'PF327'!Y182</f>
        <v>MIPI_CKP</v>
      </c>
      <c r="AF48" s="78"/>
      <c r="AG48" s="77" t="str">
        <f>'PF327'!Y301</f>
        <v>VSSA_MIPI</v>
      </c>
      <c r="AH48" s="78"/>
      <c r="AI48" s="133" t="str">
        <f>'PF327'!Y188</f>
        <v>MIPI_DP3</v>
      </c>
      <c r="AJ48" s="78"/>
      <c r="AK48" s="77" t="str">
        <f>'PF327'!Y311</f>
        <v>VSSA_FPD0</v>
      </c>
      <c r="AL48" s="78"/>
      <c r="AM48" s="133" t="str">
        <f>'PF327'!Y189</f>
        <v>FPD0_TDN</v>
      </c>
      <c r="AN48" s="78"/>
      <c r="AO48" s="77" t="str">
        <f>'PF327'!Y325</f>
        <v>VSSA_FPD0</v>
      </c>
      <c r="AP48" s="78"/>
      <c r="AQ48" s="80" t="str">
        <f>'PF327'!Y335</f>
        <v>VSSA_FPD0</v>
      </c>
      <c r="AR48" s="81"/>
    </row>
    <row r="49" spans="3:44" ht="20" customHeight="1" thickBot="1" x14ac:dyDescent="0.6">
      <c r="C49" s="71"/>
      <c r="D49" s="85"/>
      <c r="E49" s="86"/>
      <c r="F49" s="86"/>
      <c r="G49" s="86" t="s">
        <v>913</v>
      </c>
      <c r="H49" s="86"/>
      <c r="I49" s="86" t="s">
        <v>914</v>
      </c>
      <c r="J49" s="86"/>
      <c r="K49" s="86" t="s">
        <v>915</v>
      </c>
      <c r="L49" s="86"/>
      <c r="M49" s="86" t="s">
        <v>916</v>
      </c>
      <c r="N49" s="86"/>
      <c r="O49" s="86" t="s">
        <v>917</v>
      </c>
      <c r="P49" s="86"/>
      <c r="Q49" s="86" t="s">
        <v>918</v>
      </c>
      <c r="R49" s="86"/>
      <c r="S49" s="86" t="s">
        <v>919</v>
      </c>
      <c r="T49" s="86"/>
      <c r="U49" s="86" t="s">
        <v>920</v>
      </c>
      <c r="V49" s="86"/>
      <c r="W49" s="86" t="s">
        <v>921</v>
      </c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7"/>
    </row>
    <row r="50" spans="3:44" ht="34" customHeight="1" x14ac:dyDescent="0.55000000000000004">
      <c r="C50" s="72"/>
    </row>
    <row r="51" spans="3:44" ht="34" customHeight="1" x14ac:dyDescent="0.55000000000000004">
      <c r="C51" s="72"/>
    </row>
    <row r="52" spans="3:44" ht="34" customHeight="1" x14ac:dyDescent="0.55000000000000004"/>
    <row r="53" spans="3:44" ht="34" customHeight="1" x14ac:dyDescent="0.55000000000000004"/>
    <row r="54" spans="3:44" ht="34" customHeight="1" x14ac:dyDescent="0.55000000000000004"/>
    <row r="55" spans="3:44" ht="34" customHeight="1" x14ac:dyDescent="0.55000000000000004"/>
    <row r="56" spans="3:44" ht="34" customHeight="1" x14ac:dyDescent="0.55000000000000004"/>
    <row r="57" spans="3:44" ht="34" customHeight="1" x14ac:dyDescent="0.55000000000000004"/>
    <row r="58" spans="3:44" ht="34" customHeight="1" x14ac:dyDescent="0.55000000000000004"/>
    <row r="59" spans="3:44" ht="34" customHeight="1" x14ac:dyDescent="0.55000000000000004"/>
    <row r="60" spans="3:44" ht="34" customHeight="1" x14ac:dyDescent="0.55000000000000004"/>
    <row r="61" spans="3:44" ht="34" customHeight="1" x14ac:dyDescent="0.55000000000000004"/>
    <row r="62" spans="3:44" ht="34" customHeight="1" x14ac:dyDescent="0.55000000000000004"/>
    <row r="63" spans="3:44" ht="34" customHeight="1" x14ac:dyDescent="0.55000000000000004"/>
    <row r="64" spans="3:44" ht="34" customHeight="1" x14ac:dyDescent="0.55000000000000004"/>
    <row r="65" ht="34" customHeight="1" x14ac:dyDescent="0.55000000000000004"/>
    <row r="66" ht="34" customHeight="1" x14ac:dyDescent="0.55000000000000004"/>
    <row r="67" ht="34" customHeight="1" x14ac:dyDescent="0.55000000000000004"/>
    <row r="68" ht="34" customHeight="1" x14ac:dyDescent="0.55000000000000004"/>
    <row r="69" ht="34" customHeight="1" x14ac:dyDescent="0.55000000000000004"/>
    <row r="70" ht="34" customHeight="1" x14ac:dyDescent="0.55000000000000004"/>
    <row r="71" ht="34" customHeight="1" x14ac:dyDescent="0.55000000000000004"/>
    <row r="72" ht="34" customHeight="1" x14ac:dyDescent="0.55000000000000004"/>
    <row r="73" ht="34" customHeight="1" x14ac:dyDescent="0.55000000000000004"/>
    <row r="74" ht="34" customHeight="1" x14ac:dyDescent="0.55000000000000004"/>
    <row r="75" ht="34" customHeight="1" x14ac:dyDescent="0.55000000000000004"/>
    <row r="76" ht="34" customHeight="1" x14ac:dyDescent="0.55000000000000004"/>
    <row r="77" ht="34" customHeight="1" x14ac:dyDescent="0.55000000000000004"/>
    <row r="78" ht="34" customHeight="1" x14ac:dyDescent="0.55000000000000004"/>
    <row r="79" ht="34" customHeight="1" x14ac:dyDescent="0.55000000000000004"/>
    <row r="80" ht="34" customHeight="1" x14ac:dyDescent="0.55000000000000004"/>
    <row r="81" ht="34" customHeight="1" x14ac:dyDescent="0.55000000000000004"/>
    <row r="82" ht="34" customHeight="1" x14ac:dyDescent="0.55000000000000004"/>
    <row r="83" ht="34" customHeight="1" x14ac:dyDescent="0.55000000000000004"/>
    <row r="84" ht="34" customHeight="1" x14ac:dyDescent="0.55000000000000004"/>
    <row r="85" ht="34" customHeight="1" x14ac:dyDescent="0.55000000000000004"/>
    <row r="86" ht="34" customHeight="1" x14ac:dyDescent="0.55000000000000004"/>
    <row r="87" ht="34" customHeight="1" x14ac:dyDescent="0.55000000000000004"/>
    <row r="88" ht="34" customHeight="1" x14ac:dyDescent="0.55000000000000004"/>
    <row r="89" ht="34" customHeight="1" x14ac:dyDescent="0.55000000000000004"/>
    <row r="90" ht="34" customHeight="1" x14ac:dyDescent="0.55000000000000004"/>
    <row r="91" ht="34" customHeight="1" x14ac:dyDescent="0.55000000000000004"/>
    <row r="92" ht="34" customHeight="1" x14ac:dyDescent="0.55000000000000004"/>
    <row r="93" ht="34" customHeight="1" x14ac:dyDescent="0.55000000000000004"/>
    <row r="94" ht="34" customHeight="1" x14ac:dyDescent="0.55000000000000004"/>
    <row r="95" ht="34" customHeight="1" x14ac:dyDescent="0.55000000000000004"/>
    <row r="96" ht="34" customHeight="1" x14ac:dyDescent="0.55000000000000004"/>
    <row r="97" ht="34" customHeight="1" x14ac:dyDescent="0.55000000000000004"/>
    <row r="98" ht="34" customHeight="1" x14ac:dyDescent="0.55000000000000004"/>
    <row r="99" ht="34" customHeight="1" x14ac:dyDescent="0.55000000000000004"/>
    <row r="100" ht="34" customHeight="1" x14ac:dyDescent="0.55000000000000004"/>
    <row r="101" ht="34" customHeight="1" x14ac:dyDescent="0.55000000000000004"/>
    <row r="102" ht="34" customHeight="1" x14ac:dyDescent="0.55000000000000004"/>
    <row r="103" ht="34" customHeight="1" x14ac:dyDescent="0.55000000000000004"/>
    <row r="104" ht="34" customHeight="1" x14ac:dyDescent="0.55000000000000004"/>
    <row r="105" ht="34" customHeight="1" x14ac:dyDescent="0.55000000000000004"/>
    <row r="106" ht="34" customHeight="1" x14ac:dyDescent="0.55000000000000004"/>
    <row r="107" ht="34" customHeight="1" x14ac:dyDescent="0.55000000000000004"/>
    <row r="108" ht="34" customHeight="1" x14ac:dyDescent="0.55000000000000004"/>
    <row r="109" ht="34" customHeight="1" x14ac:dyDescent="0.55000000000000004"/>
    <row r="110" ht="34" customHeight="1" x14ac:dyDescent="0.55000000000000004"/>
    <row r="111" ht="34" customHeight="1" x14ac:dyDescent="0.55000000000000004"/>
    <row r="112" ht="34" customHeight="1" x14ac:dyDescent="0.55000000000000004"/>
    <row r="113" ht="34" customHeight="1" x14ac:dyDescent="0.55000000000000004"/>
    <row r="114" ht="34" customHeight="1" x14ac:dyDescent="0.55000000000000004"/>
    <row r="115" ht="34" customHeight="1" x14ac:dyDescent="0.55000000000000004"/>
    <row r="116" ht="34" customHeight="1" x14ac:dyDescent="0.55000000000000004"/>
    <row r="117" ht="34" customHeight="1" x14ac:dyDescent="0.55000000000000004"/>
    <row r="118" ht="34" customHeight="1" x14ac:dyDescent="0.55000000000000004"/>
    <row r="119" ht="34" customHeight="1" x14ac:dyDescent="0.55000000000000004"/>
    <row r="120" ht="34" customHeight="1" x14ac:dyDescent="0.55000000000000004"/>
    <row r="121" ht="34" customHeight="1" x14ac:dyDescent="0.55000000000000004"/>
    <row r="122" ht="34" customHeight="1" x14ac:dyDescent="0.55000000000000004"/>
    <row r="123" ht="34" customHeight="1" x14ac:dyDescent="0.55000000000000004"/>
    <row r="124" ht="34" customHeight="1" x14ac:dyDescent="0.55000000000000004"/>
    <row r="125" ht="34" customHeight="1" x14ac:dyDescent="0.55000000000000004"/>
    <row r="126" ht="34" customHeight="1" x14ac:dyDescent="0.55000000000000004"/>
    <row r="127" ht="34" customHeight="1" x14ac:dyDescent="0.55000000000000004"/>
    <row r="128" ht="34" customHeight="1" x14ac:dyDescent="0.55000000000000004"/>
    <row r="129" ht="34" customHeight="1" x14ac:dyDescent="0.55000000000000004"/>
    <row r="130" ht="34" customHeight="1" x14ac:dyDescent="0.55000000000000004"/>
    <row r="131" ht="34" customHeight="1" x14ac:dyDescent="0.55000000000000004"/>
    <row r="132" ht="34" customHeight="1" x14ac:dyDescent="0.55000000000000004"/>
    <row r="133" ht="34" customHeight="1" x14ac:dyDescent="0.55000000000000004"/>
    <row r="134" ht="34" customHeight="1" x14ac:dyDescent="0.55000000000000004"/>
    <row r="135" ht="34" customHeight="1" x14ac:dyDescent="0.55000000000000004"/>
    <row r="136" ht="34" customHeight="1" x14ac:dyDescent="0.55000000000000004"/>
    <row r="137" ht="34" customHeight="1" x14ac:dyDescent="0.55000000000000004"/>
    <row r="138" ht="34" customHeight="1" x14ac:dyDescent="0.55000000000000004"/>
    <row r="139" ht="34" customHeight="1" x14ac:dyDescent="0.55000000000000004"/>
    <row r="140" ht="34" customHeight="1" x14ac:dyDescent="0.55000000000000004"/>
    <row r="141" ht="34" customHeight="1" x14ac:dyDescent="0.55000000000000004"/>
    <row r="142" ht="34" customHeight="1" x14ac:dyDescent="0.55000000000000004"/>
    <row r="143" ht="34" customHeight="1" x14ac:dyDescent="0.55000000000000004"/>
    <row r="144" ht="34" customHeight="1" x14ac:dyDescent="0.55000000000000004"/>
    <row r="145" ht="34" customHeight="1" x14ac:dyDescent="0.55000000000000004"/>
    <row r="146" ht="34" customHeight="1" x14ac:dyDescent="0.55000000000000004"/>
    <row r="147" ht="34" customHeight="1" x14ac:dyDescent="0.55000000000000004"/>
    <row r="148" ht="34" customHeight="1" x14ac:dyDescent="0.55000000000000004"/>
    <row r="149" ht="34" customHeight="1" x14ac:dyDescent="0.55000000000000004"/>
    <row r="150" ht="34" customHeight="1" x14ac:dyDescent="0.55000000000000004"/>
    <row r="151" ht="34" customHeight="1" x14ac:dyDescent="0.55000000000000004"/>
    <row r="152" ht="34" customHeight="1" x14ac:dyDescent="0.55000000000000004"/>
    <row r="153" ht="34" customHeight="1" x14ac:dyDescent="0.55000000000000004"/>
    <row r="154" ht="34" customHeight="1" x14ac:dyDescent="0.55000000000000004"/>
    <row r="155" ht="34" customHeight="1" x14ac:dyDescent="0.55000000000000004"/>
    <row r="156" ht="34" customHeight="1" x14ac:dyDescent="0.55000000000000004"/>
    <row r="157" ht="34" customHeight="1" x14ac:dyDescent="0.55000000000000004"/>
    <row r="158" ht="34" customHeight="1" x14ac:dyDescent="0.55000000000000004"/>
    <row r="159" ht="34" customHeight="1" x14ac:dyDescent="0.55000000000000004"/>
    <row r="160" ht="34" customHeight="1" x14ac:dyDescent="0.55000000000000004"/>
    <row r="161" ht="34" customHeight="1" x14ac:dyDescent="0.55000000000000004"/>
    <row r="162" ht="34" customHeight="1" x14ac:dyDescent="0.55000000000000004"/>
    <row r="163" ht="34" customHeight="1" x14ac:dyDescent="0.55000000000000004"/>
    <row r="164" ht="34" customHeight="1" x14ac:dyDescent="0.55000000000000004"/>
    <row r="165" ht="34" customHeight="1" x14ac:dyDescent="0.55000000000000004"/>
    <row r="166" ht="34" customHeight="1" x14ac:dyDescent="0.55000000000000004"/>
    <row r="167" ht="34" customHeight="1" x14ac:dyDescent="0.55000000000000004"/>
    <row r="168" ht="34" customHeight="1" x14ac:dyDescent="0.55000000000000004"/>
    <row r="169" ht="34" customHeight="1" x14ac:dyDescent="0.55000000000000004"/>
    <row r="170" ht="34" customHeight="1" x14ac:dyDescent="0.55000000000000004"/>
    <row r="171" ht="34" customHeight="1" x14ac:dyDescent="0.55000000000000004"/>
    <row r="172" ht="34" customHeight="1" x14ac:dyDescent="0.55000000000000004"/>
    <row r="173" ht="34" customHeight="1" x14ac:dyDescent="0.55000000000000004"/>
    <row r="174" ht="34" customHeight="1" x14ac:dyDescent="0.55000000000000004"/>
    <row r="175" ht="34" customHeight="1" x14ac:dyDescent="0.55000000000000004"/>
    <row r="176" ht="34" customHeight="1" x14ac:dyDescent="0.55000000000000004"/>
    <row r="177" ht="34" customHeight="1" x14ac:dyDescent="0.55000000000000004"/>
    <row r="178" ht="34" customHeight="1" x14ac:dyDescent="0.55000000000000004"/>
    <row r="179" ht="34" customHeight="1" x14ac:dyDescent="0.55000000000000004"/>
    <row r="180" ht="34" customHeight="1" x14ac:dyDescent="0.55000000000000004"/>
    <row r="181" ht="34" customHeight="1" x14ac:dyDescent="0.55000000000000004"/>
    <row r="182" ht="34" customHeight="1" x14ac:dyDescent="0.55000000000000004"/>
    <row r="183" ht="34" customHeight="1" x14ac:dyDescent="0.55000000000000004"/>
    <row r="184" ht="34" customHeight="1" x14ac:dyDescent="0.55000000000000004"/>
    <row r="185" ht="34" customHeight="1" x14ac:dyDescent="0.55000000000000004"/>
    <row r="186" ht="34" customHeight="1" x14ac:dyDescent="0.55000000000000004"/>
    <row r="187" ht="34" customHeight="1" x14ac:dyDescent="0.55000000000000004"/>
    <row r="188" ht="34" customHeight="1" x14ac:dyDescent="0.55000000000000004"/>
    <row r="189" ht="34" customHeight="1" x14ac:dyDescent="0.55000000000000004"/>
    <row r="190" ht="34" customHeight="1" x14ac:dyDescent="0.55000000000000004"/>
    <row r="191" ht="34" customHeight="1" x14ac:dyDescent="0.55000000000000004"/>
    <row r="192" ht="34" customHeight="1" x14ac:dyDescent="0.55000000000000004"/>
    <row r="193" ht="34" customHeight="1" x14ac:dyDescent="0.55000000000000004"/>
    <row r="194" ht="34" customHeight="1" x14ac:dyDescent="0.55000000000000004"/>
    <row r="195" ht="34" customHeight="1" x14ac:dyDescent="0.55000000000000004"/>
    <row r="196" ht="34" customHeight="1" x14ac:dyDescent="0.55000000000000004"/>
    <row r="197" ht="34" customHeight="1" x14ac:dyDescent="0.55000000000000004"/>
    <row r="198" ht="34" customHeight="1" x14ac:dyDescent="0.55000000000000004"/>
    <row r="199" ht="34" customHeight="1" x14ac:dyDescent="0.55000000000000004"/>
    <row r="200" ht="34" customHeight="1" x14ac:dyDescent="0.55000000000000004"/>
    <row r="201" ht="34" customHeight="1" x14ac:dyDescent="0.55000000000000004"/>
    <row r="202" ht="34" customHeight="1" x14ac:dyDescent="0.55000000000000004"/>
    <row r="203" ht="34" customHeight="1" x14ac:dyDescent="0.55000000000000004"/>
    <row r="204" ht="34" customHeight="1" x14ac:dyDescent="0.55000000000000004"/>
    <row r="205" ht="34" customHeight="1" x14ac:dyDescent="0.55000000000000004"/>
    <row r="206" ht="34" customHeight="1" x14ac:dyDescent="0.55000000000000004"/>
    <row r="207" ht="34" customHeight="1" x14ac:dyDescent="0.55000000000000004"/>
    <row r="208" ht="34" customHeight="1" x14ac:dyDescent="0.55000000000000004"/>
    <row r="209" ht="34" customHeight="1" x14ac:dyDescent="0.55000000000000004"/>
    <row r="210" ht="34" customHeight="1" x14ac:dyDescent="0.55000000000000004"/>
    <row r="211" ht="34" customHeight="1" x14ac:dyDescent="0.55000000000000004"/>
    <row r="212" ht="34" customHeight="1" x14ac:dyDescent="0.55000000000000004"/>
    <row r="213" ht="34" customHeight="1" x14ac:dyDescent="0.55000000000000004"/>
    <row r="214" ht="34" customHeight="1" x14ac:dyDescent="0.55000000000000004"/>
    <row r="215" ht="34" customHeight="1" x14ac:dyDescent="0.55000000000000004"/>
    <row r="216" ht="34" customHeight="1" x14ac:dyDescent="0.55000000000000004"/>
    <row r="217" ht="34" customHeight="1" x14ac:dyDescent="0.55000000000000004"/>
    <row r="218" ht="34" customHeight="1" x14ac:dyDescent="0.55000000000000004"/>
    <row r="219" ht="34" customHeight="1" x14ac:dyDescent="0.55000000000000004"/>
    <row r="220" ht="34" customHeight="1" x14ac:dyDescent="0.55000000000000004"/>
    <row r="221" ht="34" customHeight="1" x14ac:dyDescent="0.55000000000000004"/>
    <row r="222" ht="34" customHeight="1" x14ac:dyDescent="0.55000000000000004"/>
    <row r="223" ht="34" customHeight="1" x14ac:dyDescent="0.55000000000000004"/>
    <row r="224" ht="34" customHeight="1" x14ac:dyDescent="0.55000000000000004"/>
    <row r="225" ht="34" customHeight="1" x14ac:dyDescent="0.55000000000000004"/>
    <row r="226" ht="34" customHeight="1" x14ac:dyDescent="0.55000000000000004"/>
    <row r="227" ht="34" customHeight="1" x14ac:dyDescent="0.55000000000000004"/>
    <row r="228" ht="34" customHeight="1" x14ac:dyDescent="0.55000000000000004"/>
    <row r="229" ht="34" customHeight="1" x14ac:dyDescent="0.55000000000000004"/>
    <row r="230" ht="34" customHeight="1" x14ac:dyDescent="0.55000000000000004"/>
    <row r="231" ht="34" customHeight="1" x14ac:dyDescent="0.55000000000000004"/>
    <row r="232" ht="34" customHeight="1" x14ac:dyDescent="0.55000000000000004"/>
    <row r="233" ht="34" customHeight="1" x14ac:dyDescent="0.55000000000000004"/>
    <row r="234" ht="34" customHeight="1" x14ac:dyDescent="0.55000000000000004"/>
    <row r="235" ht="34" customHeight="1" x14ac:dyDescent="0.55000000000000004"/>
    <row r="236" ht="34" customHeight="1" x14ac:dyDescent="0.55000000000000004"/>
    <row r="237" ht="34" customHeight="1" x14ac:dyDescent="0.55000000000000004"/>
    <row r="238" ht="34" customHeight="1" x14ac:dyDescent="0.55000000000000004"/>
    <row r="239" ht="34" customHeight="1" x14ac:dyDescent="0.55000000000000004"/>
    <row r="240" ht="34" customHeight="1" x14ac:dyDescent="0.55000000000000004"/>
    <row r="241" ht="34" customHeight="1" x14ac:dyDescent="0.55000000000000004"/>
    <row r="242" ht="34" customHeight="1" x14ac:dyDescent="0.55000000000000004"/>
    <row r="243" ht="34" customHeight="1" x14ac:dyDescent="0.55000000000000004"/>
    <row r="244" ht="34" customHeight="1" x14ac:dyDescent="0.55000000000000004"/>
    <row r="245" ht="34" customHeight="1" x14ac:dyDescent="0.55000000000000004"/>
    <row r="246" ht="34" customHeight="1" x14ac:dyDescent="0.55000000000000004"/>
    <row r="247" ht="34" customHeight="1" x14ac:dyDescent="0.55000000000000004"/>
    <row r="248" ht="34" customHeight="1" x14ac:dyDescent="0.55000000000000004"/>
    <row r="249" ht="34" customHeight="1" x14ac:dyDescent="0.55000000000000004"/>
    <row r="250" ht="34" customHeight="1" x14ac:dyDescent="0.55000000000000004"/>
    <row r="251" ht="34" customHeight="1" x14ac:dyDescent="0.55000000000000004"/>
    <row r="252" ht="34" customHeight="1" x14ac:dyDescent="0.55000000000000004"/>
    <row r="253" ht="34" customHeight="1" x14ac:dyDescent="0.55000000000000004"/>
    <row r="254" ht="34" customHeight="1" x14ac:dyDescent="0.55000000000000004"/>
    <row r="255" ht="34" customHeight="1" x14ac:dyDescent="0.55000000000000004"/>
    <row r="256" ht="34" customHeight="1" x14ac:dyDescent="0.55000000000000004"/>
    <row r="257" ht="34" customHeight="1" x14ac:dyDescent="0.55000000000000004"/>
    <row r="258" ht="34" customHeight="1" x14ac:dyDescent="0.55000000000000004"/>
    <row r="259" ht="34" customHeight="1" x14ac:dyDescent="0.55000000000000004"/>
    <row r="260" ht="34" customHeight="1" x14ac:dyDescent="0.55000000000000004"/>
    <row r="261" ht="34" customHeight="1" x14ac:dyDescent="0.55000000000000004"/>
    <row r="262" ht="34" customHeight="1" x14ac:dyDescent="0.55000000000000004"/>
    <row r="263" ht="28" customHeight="1" x14ac:dyDescent="0.55000000000000004"/>
    <row r="264" ht="28" customHeight="1" x14ac:dyDescent="0.55000000000000004"/>
    <row r="265" ht="28" customHeight="1" x14ac:dyDescent="0.55000000000000004"/>
  </sheetData>
  <sheetProtection algorithmName="SHA-512" hashValue="fbjO3Bckph1EisTLO33qdRwxD3NBZyPhw7cSywydjHAGKIh8ztOGObJlVfZ31mlaoP2f9KdBQqYei7DBFwv8oA==" saltValue="61F8TUsYI6+PTvb6gM6cpQ==" spinCount="100000" sheet="1" objects="1" scenarios="1" formatCells="0" formatColumns="0" formatRows="0" insertColumns="0" insertRows="0" insertHyperlinks="0" deleteColumns="0" deleteRows="0" selectLockedCells="1" sort="0" autoFilter="0" pivotTables="0"/>
  <phoneticPr fontId="3"/>
  <pageMargins left="0.7" right="0.7" top="0.75" bottom="0.75" header="0.3" footer="0.3"/>
  <pageSetup paperSize="9" orientation="portrait" r:id="rId1"/>
  <ignoredErrors>
    <ignoredError sqref="E10:AQ10 E40:AQ40 E39:N39 AN39 E18:AQ18 E17:Z17 AD17:AL17 AB17 E22:AQ22 E21:N21 AH21:AL21 E20:AQ20 E26:AQ26 E30:AQ30 E28:G28 H28:AQ28 E14:AQ16 E13:AD13 AF13:AQ13 E25:J25 AD25:AF25 E27:N27 AD27:AF27 E29:N29 AD29:AF29 E32:AQ32 E31:N31 AD31:AF31 E34:AQ34 E33:N33 AD33:AF33 E36:AQ36 F35:N35 AD35:AF35 AN17 L25:N25 E24:AQ24 E23:N23 P23:AF23 P25:T25 P27:R27 P29:R29 P31:R31 P33:R33 P35:R35 E38:AQ38 E37:N37 P37:AF37 AH39:AJ39 AH37:AJ37 AH35:AJ35 AH33:AJ33 AH31:AJ31 AH23:AJ23 AH25:AJ25 AH27:AJ27 AH29:AJ29 E12:AQ12 F11:AP11 E19:AN19 AN21 AP21:AQ21 AN23:AP23 AN29 AN33 AN37 E42:AQ42 E41:AJ41 AN41 E44:AQ44 E43:Z43 E48:AQ48 E47:X47 Z47 AB43 E46:AQ46 E45:Z45 AB45 AD47 AN47 AP17 AP19 AL25 AN25:AQ25 AL27 AN27 AP29 AL31 AN31 AN35 AL39 AP41 AL43 AN43 AB47 AJ43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D45F-CF20-476D-91A4-7708FBC7EEB9}">
  <dimension ref="B2:D7"/>
  <sheetViews>
    <sheetView workbookViewId="0">
      <selection activeCell="B8" sqref="B8"/>
    </sheetView>
  </sheetViews>
  <sheetFormatPr defaultColWidth="8.83203125" defaultRowHeight="14" x14ac:dyDescent="0.3"/>
  <cols>
    <col min="1" max="1" width="4.6640625" style="26" customWidth="1"/>
    <col min="2" max="2" width="10.6640625" style="26" customWidth="1"/>
    <col min="3" max="3" width="12.6640625" style="26" customWidth="1"/>
    <col min="4" max="4" width="80.6640625" style="26" customWidth="1"/>
    <col min="5" max="16384" width="8.83203125" style="26"/>
  </cols>
  <sheetData>
    <row r="2" spans="2:4" x14ac:dyDescent="0.3">
      <c r="B2" s="27" t="s">
        <v>757</v>
      </c>
    </row>
    <row r="4" spans="2:4" x14ac:dyDescent="0.3">
      <c r="B4" s="28" t="s">
        <v>758</v>
      </c>
      <c r="C4" s="28" t="s">
        <v>759</v>
      </c>
      <c r="D4" s="28" t="s">
        <v>760</v>
      </c>
    </row>
    <row r="5" spans="2:4" x14ac:dyDescent="0.3">
      <c r="B5" s="29" t="s">
        <v>761</v>
      </c>
      <c r="C5" s="30" t="s">
        <v>1831</v>
      </c>
      <c r="D5" s="31" t="s">
        <v>762</v>
      </c>
    </row>
    <row r="6" spans="2:4" x14ac:dyDescent="0.3">
      <c r="B6" s="32"/>
      <c r="C6" s="30"/>
      <c r="D6" s="33"/>
    </row>
    <row r="7" spans="2:4" x14ac:dyDescent="0.3">
      <c r="B7" s="32"/>
      <c r="C7" s="30"/>
      <c r="D7" s="33"/>
    </row>
  </sheetData>
  <sheetProtection algorithmName="SHA-512" hashValue="R/xbUcH2tlwzJf17//6qsVkHZ00YHhub9cVqrfKp7bpSvToShKZa+XbXFKLGsljlAeKAwtwjOVDJCO7FW/Wp7g==" saltValue="9a03Xsi/F9tsYGc6Nkl8TQ==" spinCount="100000" sheet="1" objects="1" scenarios="1"/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PF327</vt:lpstr>
      <vt:lpstr>PCH327</vt:lpstr>
      <vt:lpstr>PA327</vt:lpstr>
      <vt:lpstr>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2023-11-14T06:58:29Z</dcterms:modified>
</cp:coreProperties>
</file>