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3.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omments4.xml" ContentType="application/vnd.openxmlformats-officedocument.spreadsheetml.comments+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omments5.xml" ContentType="application/vnd.openxmlformats-officedocument.spreadsheetml.comments+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2"/>
  <workbookPr filterPrivacy="1"/>
  <xr:revisionPtr revIDLastSave="0" documentId="13_ncr:1_{01061D31-3B8A-42EF-8A12-B095D9ABDB2C}" xr6:coauthVersionLast="36" xr6:coauthVersionMax="36" xr10:uidLastSave="{00000000-0000-0000-0000-000000000000}"/>
  <bookViews>
    <workbookView xWindow="0" yWindow="0" windowWidth="19200" windowHeight="6860" tabRatio="836" firstSheet="2" activeTab="14" xr2:uid="{00000000-000D-0000-FFFF-FFFF00000000}"/>
  </bookViews>
  <sheets>
    <sheet name="PF176" sheetId="5" r:id="rId1"/>
    <sheet name="PCH176" sheetId="16" r:id="rId2"/>
    <sheet name="PA176" sheetId="6" r:id="rId3"/>
    <sheet name="PF144" sheetId="7" r:id="rId4"/>
    <sheet name="PCH144" sheetId="23" r:id="rId5"/>
    <sheet name="PA144" sheetId="8" r:id="rId6"/>
    <sheet name="PF100" sheetId="2" r:id="rId7"/>
    <sheet name="PCH100" sheetId="24" r:id="rId8"/>
    <sheet name="PA100" sheetId="3" r:id="rId9"/>
    <sheet name="PF80" sheetId="10" r:id="rId10"/>
    <sheet name="PCH80" sheetId="25" r:id="rId11"/>
    <sheet name="PA80" sheetId="11" r:id="rId12"/>
    <sheet name="PF64" sheetId="12" r:id="rId13"/>
    <sheet name="PCH64" sheetId="26" r:id="rId14"/>
    <sheet name="PA64" sheetId="13" r:id="rId15"/>
    <sheet name="History" sheetId="27" r:id="rId1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79" i="26" l="1"/>
  <c r="F79" i="26"/>
  <c r="E79" i="26"/>
  <c r="D79" i="26"/>
  <c r="G78" i="26"/>
  <c r="F78" i="26"/>
  <c r="E78" i="26"/>
  <c r="D78" i="26"/>
  <c r="O73" i="26"/>
  <c r="N73" i="26"/>
  <c r="M73" i="26"/>
  <c r="L73" i="26"/>
  <c r="K73" i="26"/>
  <c r="J73" i="26"/>
  <c r="I73" i="26"/>
  <c r="H73" i="26"/>
  <c r="G73" i="26"/>
  <c r="F73" i="26"/>
  <c r="E73" i="26"/>
  <c r="D73" i="26"/>
  <c r="O72" i="26"/>
  <c r="N72" i="26"/>
  <c r="M72" i="26"/>
  <c r="L72" i="26"/>
  <c r="K72" i="26"/>
  <c r="J72" i="26"/>
  <c r="I72" i="26"/>
  <c r="H72" i="26"/>
  <c r="G72" i="26"/>
  <c r="F72" i="26"/>
  <c r="E72" i="26"/>
  <c r="D72" i="26"/>
  <c r="BN67" i="26"/>
  <c r="BM67" i="26"/>
  <c r="BL67" i="26"/>
  <c r="BK67" i="26"/>
  <c r="BJ67" i="26"/>
  <c r="BI67" i="26"/>
  <c r="BH67" i="26"/>
  <c r="BG67" i="26"/>
  <c r="BF67" i="26"/>
  <c r="BE67" i="26"/>
  <c r="BD67" i="26"/>
  <c r="BC67" i="26"/>
  <c r="BB67" i="26"/>
  <c r="BA67" i="26"/>
  <c r="AZ67" i="26"/>
  <c r="AY67" i="26"/>
  <c r="AX67" i="26"/>
  <c r="AW67" i="26"/>
  <c r="AV67" i="26"/>
  <c r="AU67" i="26"/>
  <c r="AT67" i="26"/>
  <c r="AS67" i="26"/>
  <c r="AR67" i="26"/>
  <c r="AQ67" i="26"/>
  <c r="AP67" i="26"/>
  <c r="AO67" i="26"/>
  <c r="AN67" i="26"/>
  <c r="AM67" i="26"/>
  <c r="AL67" i="26"/>
  <c r="AK67" i="26"/>
  <c r="AJ67" i="26"/>
  <c r="AI67" i="26"/>
  <c r="AH67" i="26"/>
  <c r="AG67" i="26"/>
  <c r="AF67" i="26"/>
  <c r="AE67" i="26"/>
  <c r="AD67" i="26"/>
  <c r="AC67" i="26"/>
  <c r="AB67" i="26"/>
  <c r="AA67" i="26"/>
  <c r="Z67" i="26"/>
  <c r="Y67" i="26"/>
  <c r="X67" i="26"/>
  <c r="W67" i="26"/>
  <c r="V67" i="26"/>
  <c r="U67" i="26"/>
  <c r="T67" i="26"/>
  <c r="S67" i="26"/>
  <c r="R67" i="26"/>
  <c r="Q67" i="26"/>
  <c r="P67" i="26"/>
  <c r="O67" i="26"/>
  <c r="N67" i="26"/>
  <c r="M67" i="26"/>
  <c r="L67" i="26"/>
  <c r="K67" i="26"/>
  <c r="J67" i="26"/>
  <c r="I67" i="26"/>
  <c r="H67" i="26"/>
  <c r="G67" i="26"/>
  <c r="F67" i="26"/>
  <c r="E67" i="26"/>
  <c r="D67" i="26"/>
  <c r="BN66" i="26"/>
  <c r="BM66" i="26"/>
  <c r="BL66" i="26"/>
  <c r="BK66" i="26"/>
  <c r="BJ66" i="26"/>
  <c r="BI66" i="26"/>
  <c r="BH66" i="26"/>
  <c r="BG66" i="26"/>
  <c r="BF66" i="26"/>
  <c r="BE66" i="26"/>
  <c r="BD66" i="26"/>
  <c r="BC66" i="26"/>
  <c r="BB66" i="26"/>
  <c r="BA66" i="26"/>
  <c r="AZ66" i="26"/>
  <c r="AY66" i="26"/>
  <c r="AX66" i="26"/>
  <c r="AW66" i="26"/>
  <c r="AV66" i="26"/>
  <c r="AU66" i="26"/>
  <c r="AT66" i="26"/>
  <c r="AS66" i="26"/>
  <c r="AR66" i="26"/>
  <c r="AQ66" i="26"/>
  <c r="AP66" i="26"/>
  <c r="AO66" i="26"/>
  <c r="AN66" i="26"/>
  <c r="AM66" i="26"/>
  <c r="AL66" i="26"/>
  <c r="AK66" i="26"/>
  <c r="AJ66" i="26"/>
  <c r="AI66" i="26"/>
  <c r="AH66" i="26"/>
  <c r="AG66" i="26"/>
  <c r="AF66" i="26"/>
  <c r="AE66" i="26"/>
  <c r="AD66" i="26"/>
  <c r="AC66" i="26"/>
  <c r="AB66" i="26"/>
  <c r="AA66" i="26"/>
  <c r="Z66" i="26"/>
  <c r="Y66" i="26"/>
  <c r="X66" i="26"/>
  <c r="W66" i="26"/>
  <c r="V66" i="26"/>
  <c r="U66" i="26"/>
  <c r="T66" i="26"/>
  <c r="S66" i="26"/>
  <c r="R66" i="26"/>
  <c r="Q66" i="26"/>
  <c r="P66" i="26"/>
  <c r="O66" i="26"/>
  <c r="N66" i="26"/>
  <c r="M66" i="26"/>
  <c r="L66" i="26"/>
  <c r="K66" i="26"/>
  <c r="J66" i="26"/>
  <c r="I66" i="26"/>
  <c r="H66" i="26"/>
  <c r="G66" i="26"/>
  <c r="F66" i="26"/>
  <c r="E66" i="26"/>
  <c r="D66" i="26"/>
  <c r="G77" i="26"/>
  <c r="F77" i="26"/>
  <c r="E77" i="26"/>
  <c r="D77" i="26"/>
  <c r="G76" i="26"/>
  <c r="F76" i="26"/>
  <c r="E76" i="26"/>
  <c r="D76" i="26"/>
  <c r="O71" i="26"/>
  <c r="N71" i="26"/>
  <c r="M71" i="26"/>
  <c r="L71" i="26"/>
  <c r="K71" i="26"/>
  <c r="J71" i="26"/>
  <c r="I71" i="26"/>
  <c r="H71" i="26"/>
  <c r="G71" i="26"/>
  <c r="F71" i="26"/>
  <c r="E71" i="26"/>
  <c r="D71" i="26"/>
  <c r="O70" i="26"/>
  <c r="N70" i="26"/>
  <c r="M70" i="26"/>
  <c r="L70" i="26"/>
  <c r="K70" i="26"/>
  <c r="J70" i="26"/>
  <c r="I70" i="26"/>
  <c r="H70" i="26"/>
  <c r="G70" i="26"/>
  <c r="F70" i="26"/>
  <c r="E70" i="26"/>
  <c r="D70" i="26"/>
  <c r="BN65" i="26"/>
  <c r="BM65" i="26"/>
  <c r="BL65" i="26"/>
  <c r="BK65" i="26"/>
  <c r="BJ65" i="26"/>
  <c r="BI65" i="26"/>
  <c r="BH65" i="26"/>
  <c r="BG65" i="26"/>
  <c r="BF65" i="26"/>
  <c r="BE65" i="26"/>
  <c r="BD65" i="26"/>
  <c r="BC65" i="26"/>
  <c r="BB65" i="26"/>
  <c r="BA65" i="26"/>
  <c r="AZ65" i="26"/>
  <c r="AY65" i="26"/>
  <c r="AX65" i="26"/>
  <c r="AW65" i="26"/>
  <c r="AV65" i="26"/>
  <c r="AU65" i="26"/>
  <c r="AT65" i="26"/>
  <c r="AS65" i="26"/>
  <c r="AR65" i="26"/>
  <c r="AQ65" i="26"/>
  <c r="AP65" i="26"/>
  <c r="AO65" i="26"/>
  <c r="AN65" i="26"/>
  <c r="AM65" i="26"/>
  <c r="AL65" i="26"/>
  <c r="AK65" i="26"/>
  <c r="AJ65" i="26"/>
  <c r="AI65" i="26"/>
  <c r="AH65" i="26"/>
  <c r="AG65" i="26"/>
  <c r="AF65" i="26"/>
  <c r="AE65" i="26"/>
  <c r="AD65" i="26"/>
  <c r="AC65" i="26"/>
  <c r="AB65" i="26"/>
  <c r="AA65" i="26"/>
  <c r="Z65" i="26"/>
  <c r="Y65" i="26"/>
  <c r="X65" i="26"/>
  <c r="W65" i="26"/>
  <c r="V65" i="26"/>
  <c r="U65" i="26"/>
  <c r="T65" i="26"/>
  <c r="S65" i="26"/>
  <c r="R65" i="26"/>
  <c r="Q65" i="26"/>
  <c r="P65" i="26"/>
  <c r="O65" i="26"/>
  <c r="N65" i="26"/>
  <c r="M65" i="26"/>
  <c r="L65" i="26"/>
  <c r="K65" i="26"/>
  <c r="J65" i="26"/>
  <c r="I65" i="26"/>
  <c r="H65" i="26"/>
  <c r="G65" i="26"/>
  <c r="F65" i="26"/>
  <c r="E65" i="26"/>
  <c r="D65" i="26"/>
  <c r="BN64" i="26"/>
  <c r="BM64" i="26"/>
  <c r="BL64" i="26"/>
  <c r="BK64" i="26"/>
  <c r="BJ64" i="26"/>
  <c r="BI64" i="26"/>
  <c r="BH64" i="26"/>
  <c r="BG64" i="26"/>
  <c r="BF64" i="26"/>
  <c r="BE64" i="26"/>
  <c r="BD64" i="26"/>
  <c r="BC64" i="26"/>
  <c r="BB64" i="26"/>
  <c r="BA64" i="26"/>
  <c r="AZ64" i="26"/>
  <c r="AY64" i="26"/>
  <c r="AX64" i="26"/>
  <c r="AW64" i="26"/>
  <c r="AV64" i="26"/>
  <c r="AU64" i="26"/>
  <c r="AT64" i="26"/>
  <c r="AS64" i="26"/>
  <c r="AR64" i="26"/>
  <c r="AQ64" i="26"/>
  <c r="AP64" i="26"/>
  <c r="AO64" i="26"/>
  <c r="AN64" i="26"/>
  <c r="AM64" i="26"/>
  <c r="AL64" i="26"/>
  <c r="AK64" i="26"/>
  <c r="AJ64" i="26"/>
  <c r="AI64" i="26"/>
  <c r="AH64" i="26"/>
  <c r="AG64" i="26"/>
  <c r="AF64" i="26"/>
  <c r="AE64" i="26"/>
  <c r="AD64" i="26"/>
  <c r="AC64" i="26"/>
  <c r="AB64" i="26"/>
  <c r="AA64" i="26"/>
  <c r="Z64" i="26"/>
  <c r="Y64" i="26"/>
  <c r="X64" i="26"/>
  <c r="W64" i="26"/>
  <c r="V64" i="26"/>
  <c r="U64" i="26"/>
  <c r="T64" i="26"/>
  <c r="S64" i="26"/>
  <c r="R64" i="26"/>
  <c r="Q64" i="26"/>
  <c r="P64" i="26"/>
  <c r="O64" i="26"/>
  <c r="N64" i="26"/>
  <c r="M64" i="26"/>
  <c r="L64" i="26"/>
  <c r="K64" i="26"/>
  <c r="J64" i="26"/>
  <c r="I64" i="26"/>
  <c r="H64" i="26"/>
  <c r="G64" i="26"/>
  <c r="F64" i="26"/>
  <c r="E64" i="26"/>
  <c r="D64" i="26"/>
  <c r="I69" i="25"/>
  <c r="G78" i="25"/>
  <c r="F78" i="25"/>
  <c r="E78" i="25"/>
  <c r="D78" i="25"/>
  <c r="G77" i="25"/>
  <c r="F77" i="25"/>
  <c r="E77" i="25"/>
  <c r="D77" i="25"/>
  <c r="O72" i="25"/>
  <c r="N72" i="25"/>
  <c r="M72" i="25"/>
  <c r="L72" i="25"/>
  <c r="K72" i="25"/>
  <c r="J72" i="25"/>
  <c r="I72" i="25"/>
  <c r="H72" i="25"/>
  <c r="G72" i="25"/>
  <c r="F72" i="25"/>
  <c r="E72" i="25"/>
  <c r="D72" i="25"/>
  <c r="O71" i="25"/>
  <c r="N71" i="25"/>
  <c r="M71" i="25"/>
  <c r="L71" i="25"/>
  <c r="K71" i="25"/>
  <c r="J71" i="25"/>
  <c r="I71" i="25"/>
  <c r="H71" i="25"/>
  <c r="G71" i="25"/>
  <c r="F71" i="25"/>
  <c r="E71" i="25"/>
  <c r="D71" i="25"/>
  <c r="BN66" i="25"/>
  <c r="BM66" i="25"/>
  <c r="BL66" i="25"/>
  <c r="BK66" i="25"/>
  <c r="BJ66" i="25"/>
  <c r="BI66" i="25"/>
  <c r="BH66" i="25"/>
  <c r="BG66" i="25"/>
  <c r="BF66" i="25"/>
  <c r="BE66" i="25"/>
  <c r="BD66" i="25"/>
  <c r="BC66" i="25"/>
  <c r="BB66" i="25"/>
  <c r="BA66" i="25"/>
  <c r="AZ66" i="25"/>
  <c r="AY66" i="25"/>
  <c r="AX66" i="25"/>
  <c r="AW66" i="25"/>
  <c r="AV66" i="25"/>
  <c r="AU66" i="25"/>
  <c r="AT66" i="25"/>
  <c r="AS66" i="25"/>
  <c r="AR66" i="25"/>
  <c r="AQ66" i="25"/>
  <c r="AP66" i="25"/>
  <c r="AO66" i="25"/>
  <c r="AN66" i="25"/>
  <c r="AM66" i="25"/>
  <c r="AL66" i="25"/>
  <c r="AK66" i="25"/>
  <c r="AJ66" i="25"/>
  <c r="AI66" i="25"/>
  <c r="AH66" i="25"/>
  <c r="AG66" i="25"/>
  <c r="AF66" i="25"/>
  <c r="AE66" i="25"/>
  <c r="AD66" i="25"/>
  <c r="AC66" i="25"/>
  <c r="AB66" i="25"/>
  <c r="AA66" i="25"/>
  <c r="Z66" i="25"/>
  <c r="Y66" i="25"/>
  <c r="X66" i="25"/>
  <c r="W66" i="25"/>
  <c r="V66" i="25"/>
  <c r="U66" i="25"/>
  <c r="T66" i="25"/>
  <c r="S66" i="25"/>
  <c r="R66" i="25"/>
  <c r="Q66" i="25"/>
  <c r="P66" i="25"/>
  <c r="O66" i="25"/>
  <c r="N66" i="25"/>
  <c r="M66" i="25"/>
  <c r="L66" i="25"/>
  <c r="K66" i="25"/>
  <c r="J66" i="25"/>
  <c r="I66" i="25"/>
  <c r="H66" i="25"/>
  <c r="G66" i="25"/>
  <c r="F66" i="25"/>
  <c r="E66" i="25"/>
  <c r="D66" i="25"/>
  <c r="BN65" i="25"/>
  <c r="BM65" i="25"/>
  <c r="BL65" i="25"/>
  <c r="BK65" i="25"/>
  <c r="BJ65" i="25"/>
  <c r="BI65" i="25"/>
  <c r="BH65" i="25"/>
  <c r="BG65" i="25"/>
  <c r="BF65" i="25"/>
  <c r="BE65" i="25"/>
  <c r="BD65" i="25"/>
  <c r="BC65" i="25"/>
  <c r="BB65" i="25"/>
  <c r="BA65" i="25"/>
  <c r="AZ65" i="25"/>
  <c r="AY65" i="25"/>
  <c r="AX65" i="25"/>
  <c r="AW65" i="25"/>
  <c r="AV65" i="25"/>
  <c r="AU65" i="25"/>
  <c r="AT65" i="25"/>
  <c r="AS65" i="25"/>
  <c r="AR65" i="25"/>
  <c r="AQ65" i="25"/>
  <c r="AP65" i="25"/>
  <c r="AO65" i="25"/>
  <c r="AN65" i="25"/>
  <c r="AM65" i="25"/>
  <c r="AL65" i="25"/>
  <c r="AK65" i="25"/>
  <c r="AJ65" i="25"/>
  <c r="AI65" i="25"/>
  <c r="AH65" i="25"/>
  <c r="AG65" i="25"/>
  <c r="AF65" i="25"/>
  <c r="AE65" i="25"/>
  <c r="AD65" i="25"/>
  <c r="AC65" i="25"/>
  <c r="AB65" i="25"/>
  <c r="AA65" i="25"/>
  <c r="Z65" i="25"/>
  <c r="Y65" i="25"/>
  <c r="X65" i="25"/>
  <c r="W65" i="25"/>
  <c r="V65" i="25"/>
  <c r="U65" i="25"/>
  <c r="T65" i="25"/>
  <c r="S65" i="25"/>
  <c r="R65" i="25"/>
  <c r="Q65" i="25"/>
  <c r="P65" i="25"/>
  <c r="O65" i="25"/>
  <c r="N65" i="25"/>
  <c r="M65" i="25"/>
  <c r="L65" i="25"/>
  <c r="K65" i="25"/>
  <c r="J65" i="25"/>
  <c r="I65" i="25"/>
  <c r="H65" i="25"/>
  <c r="G65" i="25"/>
  <c r="F65" i="25"/>
  <c r="E65" i="25"/>
  <c r="D65" i="25"/>
  <c r="G76" i="25"/>
  <c r="F76" i="25"/>
  <c r="E76" i="25"/>
  <c r="D76" i="25"/>
  <c r="G75" i="25"/>
  <c r="F75" i="25"/>
  <c r="E75" i="25"/>
  <c r="D75" i="25"/>
  <c r="O70" i="25"/>
  <c r="N70" i="25"/>
  <c r="M70" i="25"/>
  <c r="L70" i="25"/>
  <c r="K70" i="25"/>
  <c r="J70" i="25"/>
  <c r="I70" i="25"/>
  <c r="H70" i="25"/>
  <c r="G70" i="25"/>
  <c r="F70" i="25"/>
  <c r="E70" i="25"/>
  <c r="D70" i="25"/>
  <c r="O69" i="25"/>
  <c r="N69" i="25"/>
  <c r="M69" i="25"/>
  <c r="L69" i="25"/>
  <c r="K69" i="25"/>
  <c r="J69" i="25"/>
  <c r="H69" i="25"/>
  <c r="G69" i="25"/>
  <c r="F69" i="25"/>
  <c r="E69" i="25"/>
  <c r="D69" i="25"/>
  <c r="BN64" i="25"/>
  <c r="BM64" i="25"/>
  <c r="BL64" i="25"/>
  <c r="BK64" i="25"/>
  <c r="BJ64" i="25"/>
  <c r="BI64" i="25"/>
  <c r="BH64" i="25"/>
  <c r="BG64" i="25"/>
  <c r="BF64" i="25"/>
  <c r="BE64" i="25"/>
  <c r="BD64" i="25"/>
  <c r="BC64" i="25"/>
  <c r="BB64" i="25"/>
  <c r="BA64" i="25"/>
  <c r="AZ64" i="25"/>
  <c r="AY64" i="25"/>
  <c r="AX64" i="25"/>
  <c r="AW64" i="25"/>
  <c r="AV64" i="25"/>
  <c r="AU64" i="25"/>
  <c r="AT64" i="25"/>
  <c r="AS64" i="25"/>
  <c r="AR64" i="25"/>
  <c r="AQ64" i="25"/>
  <c r="AP64" i="25"/>
  <c r="AO64" i="25"/>
  <c r="AN64" i="25"/>
  <c r="AM64" i="25"/>
  <c r="AL64" i="25"/>
  <c r="AK64" i="25"/>
  <c r="AJ64" i="25"/>
  <c r="AI64" i="25"/>
  <c r="AH64" i="25"/>
  <c r="AG64" i="25"/>
  <c r="AF64" i="25"/>
  <c r="AE64" i="25"/>
  <c r="AD64" i="25"/>
  <c r="AC64" i="25"/>
  <c r="AB64" i="25"/>
  <c r="AA64" i="25"/>
  <c r="Z64" i="25"/>
  <c r="Y64" i="25"/>
  <c r="X64" i="25"/>
  <c r="W64" i="25"/>
  <c r="V64" i="25"/>
  <c r="U64" i="25"/>
  <c r="T64" i="25"/>
  <c r="S64" i="25"/>
  <c r="R64" i="25"/>
  <c r="Q64" i="25"/>
  <c r="P64" i="25"/>
  <c r="O64" i="25"/>
  <c r="N64" i="25"/>
  <c r="M64" i="25"/>
  <c r="L64" i="25"/>
  <c r="K64" i="25"/>
  <c r="J64" i="25"/>
  <c r="I64" i="25"/>
  <c r="H64" i="25"/>
  <c r="G64" i="25"/>
  <c r="F64" i="25"/>
  <c r="E64" i="25"/>
  <c r="D64" i="25"/>
  <c r="BN63" i="25"/>
  <c r="BM63" i="25"/>
  <c r="BL63" i="25"/>
  <c r="BK63" i="25"/>
  <c r="BJ63" i="25"/>
  <c r="BI63" i="25"/>
  <c r="BH63" i="25"/>
  <c r="BG63" i="25"/>
  <c r="BF63" i="25"/>
  <c r="BE63" i="25"/>
  <c r="BD63" i="25"/>
  <c r="BC63" i="25"/>
  <c r="BB63" i="25"/>
  <c r="BA63" i="25"/>
  <c r="AZ63" i="25"/>
  <c r="AY63" i="25"/>
  <c r="AX63" i="25"/>
  <c r="AW63" i="25"/>
  <c r="AV63" i="25"/>
  <c r="AU63" i="25"/>
  <c r="AT63" i="25"/>
  <c r="AS63" i="25"/>
  <c r="AR63" i="25"/>
  <c r="AQ63" i="25"/>
  <c r="AP63" i="25"/>
  <c r="AO63" i="25"/>
  <c r="AN63" i="25"/>
  <c r="AM63" i="25"/>
  <c r="AL63" i="25"/>
  <c r="AK63" i="25"/>
  <c r="AJ63" i="25"/>
  <c r="AI63" i="25"/>
  <c r="AH63" i="25"/>
  <c r="AG63" i="25"/>
  <c r="AF63" i="25"/>
  <c r="AE63" i="25"/>
  <c r="AD63" i="25"/>
  <c r="AC63" i="25"/>
  <c r="AB63" i="25"/>
  <c r="AA63" i="25"/>
  <c r="Z63" i="25"/>
  <c r="Y63" i="25"/>
  <c r="X63" i="25"/>
  <c r="W63" i="25"/>
  <c r="V63" i="25"/>
  <c r="U63" i="25"/>
  <c r="T63" i="25"/>
  <c r="S63" i="25"/>
  <c r="R63" i="25"/>
  <c r="Q63" i="25"/>
  <c r="P63" i="25"/>
  <c r="O63" i="25"/>
  <c r="N63" i="25"/>
  <c r="M63" i="25"/>
  <c r="L63" i="25"/>
  <c r="K63" i="25"/>
  <c r="J63" i="25"/>
  <c r="I63" i="25"/>
  <c r="H63" i="25"/>
  <c r="G63" i="25"/>
  <c r="F63" i="25"/>
  <c r="E63" i="25"/>
  <c r="D63" i="25"/>
  <c r="O72" i="24"/>
  <c r="N72" i="24"/>
  <c r="M72" i="24"/>
  <c r="L72" i="24"/>
  <c r="K72" i="24"/>
  <c r="J72" i="24"/>
  <c r="I72" i="24"/>
  <c r="H72" i="24"/>
  <c r="G72" i="24"/>
  <c r="F72" i="24"/>
  <c r="E72" i="24"/>
  <c r="O71" i="24"/>
  <c r="N71" i="24"/>
  <c r="M71" i="24"/>
  <c r="L71" i="24"/>
  <c r="K71" i="24"/>
  <c r="J71" i="24"/>
  <c r="I71" i="24"/>
  <c r="H71" i="24"/>
  <c r="G71" i="24"/>
  <c r="F71" i="24"/>
  <c r="E71" i="24"/>
  <c r="BN66" i="24"/>
  <c r="BM66" i="24"/>
  <c r="BL66" i="24"/>
  <c r="BK66" i="24"/>
  <c r="BJ66" i="24"/>
  <c r="BI66" i="24"/>
  <c r="BH66" i="24"/>
  <c r="BG66" i="24"/>
  <c r="BF66" i="24"/>
  <c r="BE66" i="24"/>
  <c r="BD66" i="24"/>
  <c r="BC66" i="24"/>
  <c r="BB66" i="24"/>
  <c r="BA66" i="24"/>
  <c r="AZ66" i="24"/>
  <c r="AY66" i="24"/>
  <c r="AX66" i="24"/>
  <c r="AW66" i="24"/>
  <c r="AV66" i="24"/>
  <c r="AU66" i="24"/>
  <c r="AT66" i="24"/>
  <c r="AS66" i="24"/>
  <c r="AR66" i="24"/>
  <c r="AQ66" i="24"/>
  <c r="AP66" i="24"/>
  <c r="AO66" i="24"/>
  <c r="AN66" i="24"/>
  <c r="AM66" i="24"/>
  <c r="AL66" i="24"/>
  <c r="AK66" i="24"/>
  <c r="AJ66" i="24"/>
  <c r="AI66" i="24"/>
  <c r="AH66" i="24"/>
  <c r="AG66" i="24"/>
  <c r="AF66" i="24"/>
  <c r="AE66" i="24"/>
  <c r="AD66" i="24"/>
  <c r="AC66" i="24"/>
  <c r="AB66" i="24"/>
  <c r="AA66" i="24"/>
  <c r="Z66" i="24"/>
  <c r="Y66" i="24"/>
  <c r="X66" i="24"/>
  <c r="W66" i="24"/>
  <c r="V66" i="24"/>
  <c r="U66" i="24"/>
  <c r="T66" i="24"/>
  <c r="S66" i="24"/>
  <c r="R66" i="24"/>
  <c r="Q66" i="24"/>
  <c r="P66" i="24"/>
  <c r="O66" i="24"/>
  <c r="N66" i="24"/>
  <c r="M66" i="24"/>
  <c r="L66" i="24"/>
  <c r="K66" i="24"/>
  <c r="J66" i="24"/>
  <c r="I66" i="24"/>
  <c r="H66" i="24"/>
  <c r="G66" i="24"/>
  <c r="F66" i="24"/>
  <c r="E66" i="24"/>
  <c r="BN65" i="24"/>
  <c r="BM65" i="24"/>
  <c r="BL65" i="24"/>
  <c r="BK65" i="24"/>
  <c r="BJ65" i="24"/>
  <c r="BI65" i="24"/>
  <c r="BH65" i="24"/>
  <c r="BG65" i="24"/>
  <c r="BF65" i="24"/>
  <c r="BE65" i="24"/>
  <c r="BD65" i="24"/>
  <c r="BC65" i="24"/>
  <c r="BB65" i="24"/>
  <c r="BA65" i="24"/>
  <c r="AZ65" i="24"/>
  <c r="AY65" i="24"/>
  <c r="AX65" i="24"/>
  <c r="AW65" i="24"/>
  <c r="AV65" i="24"/>
  <c r="AU65" i="24"/>
  <c r="AT65" i="24"/>
  <c r="AS65" i="24"/>
  <c r="AR65" i="24"/>
  <c r="AQ65" i="24"/>
  <c r="AP65" i="24"/>
  <c r="AO65" i="24"/>
  <c r="AN65" i="24"/>
  <c r="AM65" i="24"/>
  <c r="AL65" i="24"/>
  <c r="AK65" i="24"/>
  <c r="AJ65" i="24"/>
  <c r="AI65" i="24"/>
  <c r="AH65" i="24"/>
  <c r="AG65" i="24"/>
  <c r="AF65" i="24"/>
  <c r="AE65" i="24"/>
  <c r="AD65" i="24"/>
  <c r="AC65" i="24"/>
  <c r="AB65" i="24"/>
  <c r="AA65" i="24"/>
  <c r="Z65" i="24"/>
  <c r="Y65" i="24"/>
  <c r="X65" i="24"/>
  <c r="W65" i="24"/>
  <c r="V65" i="24"/>
  <c r="U65" i="24"/>
  <c r="T65" i="24"/>
  <c r="S65" i="24"/>
  <c r="R65" i="24"/>
  <c r="Q65" i="24"/>
  <c r="P65" i="24"/>
  <c r="O65" i="24"/>
  <c r="N65" i="24"/>
  <c r="M65" i="24"/>
  <c r="L65" i="24"/>
  <c r="K65" i="24"/>
  <c r="J65" i="24"/>
  <c r="I65" i="24"/>
  <c r="H65" i="24"/>
  <c r="G65" i="24"/>
  <c r="F65" i="24"/>
  <c r="E65" i="24"/>
  <c r="O70" i="24"/>
  <c r="N70" i="24"/>
  <c r="M70" i="24"/>
  <c r="L70" i="24"/>
  <c r="K70" i="24"/>
  <c r="J70" i="24"/>
  <c r="I70" i="24"/>
  <c r="H70" i="24"/>
  <c r="G70" i="24"/>
  <c r="F70" i="24"/>
  <c r="E70" i="24"/>
  <c r="O69" i="24"/>
  <c r="N69" i="24"/>
  <c r="M69" i="24"/>
  <c r="L69" i="24"/>
  <c r="K69" i="24"/>
  <c r="J69" i="24"/>
  <c r="I69" i="24"/>
  <c r="H69" i="24"/>
  <c r="G69" i="24"/>
  <c r="F69" i="24"/>
  <c r="E69" i="24"/>
  <c r="BN64" i="24"/>
  <c r="BM64" i="24"/>
  <c r="BL64" i="24"/>
  <c r="BK64" i="24"/>
  <c r="BJ64" i="24"/>
  <c r="BI64" i="24"/>
  <c r="BH64" i="24"/>
  <c r="BG64" i="24"/>
  <c r="BF64" i="24"/>
  <c r="BE64" i="24"/>
  <c r="BD64" i="24"/>
  <c r="BC64" i="24"/>
  <c r="BB64" i="24"/>
  <c r="BA64" i="24"/>
  <c r="AZ64" i="24"/>
  <c r="AY64" i="24"/>
  <c r="AX64" i="24"/>
  <c r="AW64" i="24"/>
  <c r="AV64" i="24"/>
  <c r="AU64" i="24"/>
  <c r="AT64" i="24"/>
  <c r="AS64" i="24"/>
  <c r="AR64" i="24"/>
  <c r="AQ64" i="24"/>
  <c r="AP64" i="24"/>
  <c r="AO64" i="24"/>
  <c r="AN64" i="24"/>
  <c r="AM64" i="24"/>
  <c r="AL64" i="24"/>
  <c r="AK64" i="24"/>
  <c r="AJ64" i="24"/>
  <c r="AI64" i="24"/>
  <c r="AH64" i="24"/>
  <c r="AG64" i="24"/>
  <c r="AF64" i="24"/>
  <c r="AE64" i="24"/>
  <c r="AD64" i="24"/>
  <c r="AC64" i="24"/>
  <c r="AB64" i="24"/>
  <c r="AA64" i="24"/>
  <c r="Z64" i="24"/>
  <c r="Y64" i="24"/>
  <c r="X64" i="24"/>
  <c r="W64" i="24"/>
  <c r="V64" i="24"/>
  <c r="U64" i="24"/>
  <c r="T64" i="24"/>
  <c r="S64" i="24"/>
  <c r="R64" i="24"/>
  <c r="Q64" i="24"/>
  <c r="P64" i="24"/>
  <c r="O64" i="24"/>
  <c r="N64" i="24"/>
  <c r="M64" i="24"/>
  <c r="L64" i="24"/>
  <c r="K64" i="24"/>
  <c r="J64" i="24"/>
  <c r="I64" i="24"/>
  <c r="H64" i="24"/>
  <c r="G64" i="24"/>
  <c r="F64" i="24"/>
  <c r="E64" i="24"/>
  <c r="BN63" i="24"/>
  <c r="BM63" i="24"/>
  <c r="BL63" i="24"/>
  <c r="BK63" i="24"/>
  <c r="BJ63" i="24"/>
  <c r="BI63" i="24"/>
  <c r="BH63" i="24"/>
  <c r="BG63" i="24"/>
  <c r="BF63" i="24"/>
  <c r="BE63" i="24"/>
  <c r="BD63" i="24"/>
  <c r="BC63" i="24"/>
  <c r="BB63" i="24"/>
  <c r="BA63" i="24"/>
  <c r="AZ63" i="24"/>
  <c r="AY63" i="24"/>
  <c r="AX63" i="24"/>
  <c r="AW63" i="24"/>
  <c r="AV63" i="24"/>
  <c r="AU63" i="24"/>
  <c r="AT63" i="24"/>
  <c r="AS63" i="24"/>
  <c r="AR63" i="24"/>
  <c r="AQ63" i="24"/>
  <c r="AP63" i="24"/>
  <c r="AO63" i="24"/>
  <c r="AN63" i="24"/>
  <c r="AM63" i="24"/>
  <c r="AL63" i="24"/>
  <c r="AK63" i="24"/>
  <c r="AJ63" i="24"/>
  <c r="AI63" i="24"/>
  <c r="AH63" i="24"/>
  <c r="AG63" i="24"/>
  <c r="AF63" i="24"/>
  <c r="AE63" i="24"/>
  <c r="AD63" i="24"/>
  <c r="AC63" i="24"/>
  <c r="AB63" i="24"/>
  <c r="AA63" i="24"/>
  <c r="Z63" i="24"/>
  <c r="Y63" i="24"/>
  <c r="X63" i="24"/>
  <c r="W63" i="24"/>
  <c r="V63" i="24"/>
  <c r="U63" i="24"/>
  <c r="T63" i="24"/>
  <c r="S63" i="24"/>
  <c r="R63" i="24"/>
  <c r="Q63" i="24"/>
  <c r="P63" i="24"/>
  <c r="O63" i="24"/>
  <c r="N63" i="24"/>
  <c r="M63" i="24"/>
  <c r="L63" i="24"/>
  <c r="K63" i="24"/>
  <c r="J63" i="24"/>
  <c r="I63" i="24"/>
  <c r="H63" i="24"/>
  <c r="G63" i="24"/>
  <c r="F63" i="24"/>
  <c r="E63" i="24"/>
  <c r="G78" i="24"/>
  <c r="G77" i="24"/>
  <c r="G76" i="24"/>
  <c r="G75" i="24"/>
  <c r="F78" i="24"/>
  <c r="F77" i="24"/>
  <c r="F76" i="24"/>
  <c r="F75" i="24"/>
  <c r="E78" i="24"/>
  <c r="E77" i="24"/>
  <c r="E76" i="24"/>
  <c r="E75" i="24"/>
  <c r="D78" i="24"/>
  <c r="D77" i="24"/>
  <c r="D76" i="24"/>
  <c r="D75" i="24"/>
  <c r="D72" i="24"/>
  <c r="D71" i="24"/>
  <c r="D70" i="24"/>
  <c r="D69" i="24"/>
  <c r="D66" i="24"/>
  <c r="D65" i="24"/>
  <c r="D64" i="24"/>
  <c r="D63" i="24"/>
  <c r="F75" i="16" l="1"/>
  <c r="F76" i="16"/>
  <c r="G76" i="16"/>
  <c r="F78" i="16"/>
  <c r="G76" i="23"/>
  <c r="F76" i="23"/>
  <c r="F75" i="23"/>
  <c r="F78" i="23"/>
  <c r="D75" i="23"/>
  <c r="E76" i="23"/>
  <c r="D76" i="23"/>
  <c r="G75" i="23"/>
  <c r="E75" i="23"/>
  <c r="O70" i="23"/>
  <c r="N70" i="23"/>
  <c r="M70" i="23"/>
  <c r="L70" i="23"/>
  <c r="K70" i="23"/>
  <c r="J70" i="23"/>
  <c r="I70" i="23"/>
  <c r="H70" i="23"/>
  <c r="G70" i="23"/>
  <c r="F70" i="23"/>
  <c r="E70" i="23"/>
  <c r="D70" i="23"/>
  <c r="O69" i="23"/>
  <c r="N69" i="23"/>
  <c r="M69" i="23"/>
  <c r="L69" i="23"/>
  <c r="K69" i="23"/>
  <c r="J69" i="23"/>
  <c r="I69" i="23"/>
  <c r="H69" i="23"/>
  <c r="G69" i="23"/>
  <c r="F69" i="23"/>
  <c r="E69" i="23"/>
  <c r="D69" i="23"/>
  <c r="G78" i="23"/>
  <c r="E78" i="23"/>
  <c r="D78" i="23"/>
  <c r="G77" i="23"/>
  <c r="F77" i="23"/>
  <c r="E77" i="23"/>
  <c r="D77" i="23"/>
  <c r="O72" i="23"/>
  <c r="N72" i="23"/>
  <c r="M72" i="23"/>
  <c r="L72" i="23"/>
  <c r="K72" i="23"/>
  <c r="J72" i="23"/>
  <c r="I72" i="23"/>
  <c r="H72" i="23"/>
  <c r="G72" i="23"/>
  <c r="F72" i="23"/>
  <c r="E72" i="23"/>
  <c r="D72" i="23"/>
  <c r="O71" i="23"/>
  <c r="N71" i="23"/>
  <c r="M71" i="23"/>
  <c r="L71" i="23"/>
  <c r="K71" i="23"/>
  <c r="J71" i="23"/>
  <c r="I71" i="23"/>
  <c r="H71" i="23"/>
  <c r="G71" i="23"/>
  <c r="F71" i="23"/>
  <c r="E71" i="23"/>
  <c r="D71" i="23"/>
  <c r="BN66" i="23"/>
  <c r="BM66" i="23"/>
  <c r="BL66" i="23"/>
  <c r="BK66" i="23"/>
  <c r="BJ66" i="23"/>
  <c r="BI66" i="23"/>
  <c r="BH66" i="23"/>
  <c r="BG66" i="23"/>
  <c r="BF66" i="23"/>
  <c r="BE66" i="23"/>
  <c r="BD66" i="23"/>
  <c r="BC66" i="23"/>
  <c r="BB66" i="23"/>
  <c r="BA66" i="23"/>
  <c r="AZ66" i="23"/>
  <c r="AY66" i="23"/>
  <c r="AX66" i="23"/>
  <c r="AW66" i="23"/>
  <c r="AV66" i="23"/>
  <c r="AU66" i="23"/>
  <c r="AT66" i="23"/>
  <c r="AS66" i="23"/>
  <c r="AR66" i="23"/>
  <c r="AQ66" i="23"/>
  <c r="AP66" i="23"/>
  <c r="AO66" i="23"/>
  <c r="AN66" i="23"/>
  <c r="AM66" i="23"/>
  <c r="AL66" i="23"/>
  <c r="AK66" i="23"/>
  <c r="AJ66" i="23"/>
  <c r="AI66" i="23"/>
  <c r="AH66" i="23"/>
  <c r="AG66" i="23"/>
  <c r="AF66" i="23"/>
  <c r="AE66" i="23"/>
  <c r="AD66" i="23"/>
  <c r="AC66" i="23"/>
  <c r="AB66" i="23"/>
  <c r="AA66" i="23"/>
  <c r="Z66" i="23"/>
  <c r="Y66" i="23"/>
  <c r="X66" i="23"/>
  <c r="W66" i="23"/>
  <c r="V66" i="23"/>
  <c r="U66" i="23"/>
  <c r="T66" i="23"/>
  <c r="S66" i="23"/>
  <c r="R66" i="23"/>
  <c r="Q66" i="23"/>
  <c r="P66" i="23"/>
  <c r="O66" i="23"/>
  <c r="N66" i="23"/>
  <c r="M66" i="23"/>
  <c r="L66" i="23"/>
  <c r="K66" i="23"/>
  <c r="J66" i="23"/>
  <c r="I66" i="23"/>
  <c r="H66" i="23"/>
  <c r="G66" i="23"/>
  <c r="F66" i="23"/>
  <c r="E66" i="23"/>
  <c r="D66" i="23"/>
  <c r="BN65" i="23"/>
  <c r="BM65" i="23"/>
  <c r="BL65" i="23"/>
  <c r="BK65" i="23"/>
  <c r="BJ65" i="23"/>
  <c r="BI65" i="23"/>
  <c r="BH65" i="23"/>
  <c r="BG65" i="23"/>
  <c r="BF65" i="23"/>
  <c r="BE65" i="23"/>
  <c r="BD65" i="23"/>
  <c r="BC65" i="23"/>
  <c r="BB65" i="23"/>
  <c r="BA65" i="23"/>
  <c r="AZ65" i="23"/>
  <c r="AY65" i="23"/>
  <c r="AX65" i="23"/>
  <c r="AW65" i="23"/>
  <c r="AV65" i="23"/>
  <c r="AU65" i="23"/>
  <c r="AT65" i="23"/>
  <c r="AS65" i="23"/>
  <c r="AR65" i="23"/>
  <c r="AQ65" i="23"/>
  <c r="AP65" i="23"/>
  <c r="AO65" i="23"/>
  <c r="AN65" i="23"/>
  <c r="AM65" i="23"/>
  <c r="AL65" i="23"/>
  <c r="AK65" i="23"/>
  <c r="AJ65" i="23"/>
  <c r="AI65" i="23"/>
  <c r="AH65" i="23"/>
  <c r="AG65" i="23"/>
  <c r="AF65" i="23"/>
  <c r="AE65" i="23"/>
  <c r="AD65" i="23"/>
  <c r="AC65" i="23"/>
  <c r="AB65" i="23"/>
  <c r="AA65" i="23"/>
  <c r="Z65" i="23"/>
  <c r="Y65" i="23"/>
  <c r="X65" i="23"/>
  <c r="W65" i="23"/>
  <c r="V65" i="23"/>
  <c r="U65" i="23"/>
  <c r="T65" i="23"/>
  <c r="S65" i="23"/>
  <c r="R65" i="23"/>
  <c r="Q65" i="23"/>
  <c r="P65" i="23"/>
  <c r="O65" i="23"/>
  <c r="N65" i="23"/>
  <c r="M65" i="23"/>
  <c r="L65" i="23"/>
  <c r="K65" i="23"/>
  <c r="J65" i="23"/>
  <c r="I65" i="23"/>
  <c r="H65" i="23"/>
  <c r="G65" i="23"/>
  <c r="F65" i="23"/>
  <c r="E65" i="23"/>
  <c r="D65" i="23"/>
  <c r="BN64" i="23"/>
  <c r="BM64" i="23"/>
  <c r="BL64" i="23"/>
  <c r="BK64" i="23"/>
  <c r="BJ64" i="23"/>
  <c r="BI64" i="23"/>
  <c r="BH64" i="23"/>
  <c r="BG64" i="23"/>
  <c r="BF64" i="23"/>
  <c r="BE64" i="23"/>
  <c r="BD64" i="23"/>
  <c r="BC64" i="23"/>
  <c r="BB64" i="23"/>
  <c r="BA64" i="23"/>
  <c r="AZ64" i="23"/>
  <c r="AY64" i="23"/>
  <c r="AX64" i="23"/>
  <c r="AW64" i="23"/>
  <c r="AV64" i="23"/>
  <c r="AU64" i="23"/>
  <c r="AT64" i="23"/>
  <c r="AS64" i="23"/>
  <c r="AR64" i="23"/>
  <c r="AQ64" i="23"/>
  <c r="AP64" i="23"/>
  <c r="AO64" i="23"/>
  <c r="AN64" i="23"/>
  <c r="AM64" i="23"/>
  <c r="AL64" i="23"/>
  <c r="AK64" i="23"/>
  <c r="AJ64" i="23"/>
  <c r="AI64" i="23"/>
  <c r="AH64" i="23"/>
  <c r="AG64" i="23"/>
  <c r="AF64" i="23"/>
  <c r="AE64" i="23"/>
  <c r="AD64" i="23"/>
  <c r="AC64" i="23"/>
  <c r="AB64" i="23"/>
  <c r="AA64" i="23"/>
  <c r="Z64" i="23"/>
  <c r="Y64" i="23"/>
  <c r="X64" i="23"/>
  <c r="W64" i="23"/>
  <c r="V64" i="23"/>
  <c r="U64" i="23"/>
  <c r="T64" i="23"/>
  <c r="S64" i="23"/>
  <c r="R64" i="23"/>
  <c r="Q64" i="23"/>
  <c r="P64" i="23"/>
  <c r="O64" i="23"/>
  <c r="N64" i="23"/>
  <c r="M64" i="23"/>
  <c r="L64" i="23"/>
  <c r="K64" i="23"/>
  <c r="J64" i="23"/>
  <c r="I64" i="23"/>
  <c r="H64" i="23"/>
  <c r="G64" i="23"/>
  <c r="F64" i="23"/>
  <c r="E64" i="23"/>
  <c r="D64" i="23"/>
  <c r="BM63" i="23"/>
  <c r="BL63" i="23"/>
  <c r="BK63" i="23"/>
  <c r="BJ63" i="23"/>
  <c r="BI63" i="23"/>
  <c r="BH63" i="23"/>
  <c r="BG63" i="23"/>
  <c r="BF63" i="23"/>
  <c r="BE63" i="23"/>
  <c r="BD63" i="23"/>
  <c r="BC63" i="23"/>
  <c r="BB63" i="23"/>
  <c r="BA63" i="23"/>
  <c r="AZ63" i="23"/>
  <c r="AY63" i="23"/>
  <c r="AX63" i="23"/>
  <c r="AW63" i="23"/>
  <c r="AV63" i="23"/>
  <c r="AU63" i="23"/>
  <c r="AT63" i="23"/>
  <c r="AS63" i="23"/>
  <c r="AR63" i="23"/>
  <c r="AQ63" i="23"/>
  <c r="AP63" i="23"/>
  <c r="AO63" i="23"/>
  <c r="AN63" i="23"/>
  <c r="AM63" i="23"/>
  <c r="AL63" i="23"/>
  <c r="AK63" i="23"/>
  <c r="AJ63" i="23"/>
  <c r="AI63" i="23"/>
  <c r="AH63" i="23"/>
  <c r="AG63" i="23"/>
  <c r="AF63" i="23"/>
  <c r="AE63" i="23"/>
  <c r="AD63" i="23"/>
  <c r="AC63" i="23"/>
  <c r="AB63" i="23"/>
  <c r="AA63" i="23"/>
  <c r="Z63" i="23"/>
  <c r="Y63" i="23"/>
  <c r="X63" i="23"/>
  <c r="W63" i="23"/>
  <c r="V63" i="23"/>
  <c r="U63" i="23"/>
  <c r="T63" i="23"/>
  <c r="S63" i="23"/>
  <c r="R63" i="23"/>
  <c r="Q63" i="23"/>
  <c r="P63" i="23"/>
  <c r="O63" i="23"/>
  <c r="N63" i="23"/>
  <c r="M63" i="23"/>
  <c r="L63" i="23"/>
  <c r="K63" i="23"/>
  <c r="J63" i="23"/>
  <c r="I63" i="23"/>
  <c r="H63" i="23"/>
  <c r="G63" i="23"/>
  <c r="F63" i="23"/>
  <c r="E63" i="23"/>
  <c r="D63" i="23"/>
  <c r="G78" i="16"/>
  <c r="G77" i="16"/>
  <c r="G75" i="16"/>
  <c r="F77" i="16"/>
  <c r="E78" i="16"/>
  <c r="E77" i="16"/>
  <c r="E76" i="16"/>
  <c r="E75" i="16"/>
  <c r="D75" i="16"/>
  <c r="D78" i="16"/>
  <c r="D77" i="16"/>
  <c r="D76" i="16"/>
  <c r="O72" i="16"/>
  <c r="O71" i="16"/>
  <c r="O70" i="16"/>
  <c r="O69" i="16"/>
  <c r="N72" i="16"/>
  <c r="N71" i="16"/>
  <c r="N70" i="16"/>
  <c r="N69" i="16"/>
  <c r="M72" i="16"/>
  <c r="M71" i="16"/>
  <c r="M70" i="16"/>
  <c r="M69" i="16"/>
  <c r="L72" i="16"/>
  <c r="L71" i="16"/>
  <c r="L70" i="16"/>
  <c r="L69" i="16"/>
  <c r="K72" i="16"/>
  <c r="K71" i="16"/>
  <c r="K70" i="16"/>
  <c r="K69" i="16"/>
  <c r="J72" i="16"/>
  <c r="J71" i="16"/>
  <c r="J70" i="16"/>
  <c r="J69" i="16"/>
  <c r="I72" i="16"/>
  <c r="I71" i="16"/>
  <c r="I70" i="16"/>
  <c r="I69" i="16"/>
  <c r="H72" i="16"/>
  <c r="H71" i="16"/>
  <c r="H70" i="16"/>
  <c r="H69" i="16"/>
  <c r="G72" i="16"/>
  <c r="G71" i="16"/>
  <c r="G70" i="16"/>
  <c r="G69" i="16"/>
  <c r="F72" i="16"/>
  <c r="F71" i="16"/>
  <c r="F70" i="16"/>
  <c r="F69" i="16"/>
  <c r="E72" i="16"/>
  <c r="E71" i="16"/>
  <c r="E70" i="16"/>
  <c r="E69" i="16"/>
  <c r="D72" i="16"/>
  <c r="D71" i="16"/>
  <c r="D70" i="16"/>
  <c r="D69" i="16"/>
  <c r="AF66" i="16"/>
  <c r="AF65" i="16"/>
  <c r="AF63" i="16"/>
  <c r="AF64" i="16"/>
  <c r="BN66" i="16"/>
  <c r="BN65" i="16"/>
  <c r="BN64" i="16"/>
  <c r="BN63" i="16"/>
  <c r="BM66" i="16"/>
  <c r="BM65" i="16"/>
  <c r="BM64" i="16"/>
  <c r="BM63" i="16"/>
  <c r="BL66" i="16"/>
  <c r="BL65" i="16"/>
  <c r="BL64" i="16"/>
  <c r="BL63" i="16"/>
  <c r="BK66" i="16"/>
  <c r="BK65" i="16"/>
  <c r="BK64" i="16"/>
  <c r="BK63" i="16"/>
  <c r="BJ66" i="16"/>
  <c r="BJ65" i="16"/>
  <c r="BJ64" i="16"/>
  <c r="BJ63" i="16"/>
  <c r="BI66" i="16"/>
  <c r="BI65" i="16"/>
  <c r="BI64" i="16"/>
  <c r="BI63" i="16"/>
  <c r="BH66" i="16"/>
  <c r="BH65" i="16"/>
  <c r="BH64" i="16"/>
  <c r="BH63" i="16"/>
  <c r="BG66" i="16"/>
  <c r="BG65" i="16"/>
  <c r="BG64" i="16"/>
  <c r="BG63" i="16"/>
  <c r="BF66" i="16"/>
  <c r="BF65" i="16"/>
  <c r="BF64" i="16"/>
  <c r="BF63" i="16"/>
  <c r="BE66" i="16"/>
  <c r="BE65" i="16"/>
  <c r="BE64" i="16"/>
  <c r="BE63" i="16"/>
  <c r="BD66" i="16"/>
  <c r="BD65" i="16"/>
  <c r="BD64" i="16"/>
  <c r="BD63" i="16"/>
  <c r="BC66" i="16"/>
  <c r="BC65" i="16"/>
  <c r="BC64" i="16"/>
  <c r="BC63" i="16"/>
  <c r="BB66" i="16"/>
  <c r="BB65" i="16"/>
  <c r="BB64" i="16"/>
  <c r="BB63" i="16"/>
  <c r="BA66" i="16"/>
  <c r="BA65" i="16"/>
  <c r="BA64" i="16"/>
  <c r="BA63" i="16"/>
  <c r="AZ66" i="16"/>
  <c r="AZ65" i="16"/>
  <c r="AZ64" i="16"/>
  <c r="AZ63" i="16"/>
  <c r="AY66" i="16"/>
  <c r="AY65" i="16"/>
  <c r="AY64" i="16"/>
  <c r="AY63" i="16"/>
  <c r="AX66" i="16"/>
  <c r="AX65" i="16"/>
  <c r="AX64" i="16"/>
  <c r="AX63" i="16"/>
  <c r="AW66" i="16"/>
  <c r="AW65" i="16"/>
  <c r="AW64" i="16"/>
  <c r="AW63" i="16"/>
  <c r="AV66" i="16"/>
  <c r="AV65" i="16"/>
  <c r="AV64" i="16"/>
  <c r="AV63" i="16"/>
  <c r="AU66" i="16"/>
  <c r="AU65" i="16"/>
  <c r="AU64" i="16"/>
  <c r="AU63" i="16"/>
  <c r="AT66" i="16"/>
  <c r="AT65" i="16"/>
  <c r="AT64" i="16"/>
  <c r="AT63" i="16"/>
  <c r="AS66" i="16"/>
  <c r="AS65" i="16"/>
  <c r="AS64" i="16"/>
  <c r="AS63" i="16"/>
  <c r="AR66" i="16"/>
  <c r="AR65" i="16"/>
  <c r="AR64" i="16"/>
  <c r="AR63" i="16"/>
  <c r="AQ66" i="16"/>
  <c r="AQ65" i="16"/>
  <c r="AQ64" i="16"/>
  <c r="AQ63" i="16"/>
  <c r="AP66" i="16"/>
  <c r="AP65" i="16"/>
  <c r="AP64" i="16"/>
  <c r="AP63" i="16"/>
  <c r="AO66" i="16"/>
  <c r="AO65" i="16"/>
  <c r="AO64" i="16"/>
  <c r="AO63" i="16"/>
  <c r="AN66" i="16"/>
  <c r="AN65" i="16"/>
  <c r="AN64" i="16"/>
  <c r="AN63" i="16"/>
  <c r="AM66" i="16"/>
  <c r="AM65" i="16"/>
  <c r="AM64" i="16"/>
  <c r="AM63" i="16"/>
  <c r="AL66" i="16"/>
  <c r="AL65" i="16"/>
  <c r="AL64" i="16"/>
  <c r="AL63" i="16"/>
  <c r="AK63" i="16"/>
  <c r="AK66" i="16"/>
  <c r="AK65" i="16"/>
  <c r="AK64" i="16"/>
  <c r="AJ66" i="16"/>
  <c r="AJ65" i="16"/>
  <c r="AJ64" i="16"/>
  <c r="AJ63" i="16"/>
  <c r="AI66" i="16"/>
  <c r="AI65" i="16"/>
  <c r="AI64" i="16"/>
  <c r="AI63" i="16"/>
  <c r="AH66" i="16"/>
  <c r="AH65" i="16"/>
  <c r="AH64" i="16"/>
  <c r="AH63" i="16"/>
  <c r="AG65" i="16"/>
  <c r="AG64" i="16"/>
  <c r="AG63" i="16"/>
  <c r="AG66" i="16"/>
  <c r="AE66" i="16"/>
  <c r="AE65" i="16"/>
  <c r="AE64" i="16"/>
  <c r="AE63" i="16"/>
  <c r="AD66" i="16"/>
  <c r="AD65" i="16"/>
  <c r="AD64" i="16"/>
  <c r="AD63" i="16"/>
  <c r="AC66" i="16"/>
  <c r="AC65" i="16"/>
  <c r="AC64" i="16"/>
  <c r="AC63" i="16"/>
  <c r="AB66" i="16"/>
  <c r="AB65" i="16"/>
  <c r="AB64" i="16"/>
  <c r="AB63" i="16"/>
  <c r="AA66" i="16"/>
  <c r="AA65" i="16"/>
  <c r="AA64" i="16"/>
  <c r="AA63" i="16"/>
  <c r="Z66" i="16"/>
  <c r="Z65" i="16"/>
  <c r="Z64" i="16"/>
  <c r="Z63" i="16"/>
  <c r="Y66" i="16"/>
  <c r="Y65" i="16"/>
  <c r="Y64" i="16"/>
  <c r="Y63" i="16"/>
  <c r="X66" i="16"/>
  <c r="X65" i="16"/>
  <c r="X64" i="16"/>
  <c r="X63" i="16"/>
  <c r="W66" i="16"/>
  <c r="W65" i="16"/>
  <c r="W64" i="16"/>
  <c r="W63" i="16"/>
  <c r="V66" i="16"/>
  <c r="V65" i="16"/>
  <c r="V64" i="16"/>
  <c r="V63" i="16"/>
  <c r="U66" i="16"/>
  <c r="U65" i="16"/>
  <c r="U64" i="16"/>
  <c r="U63" i="16"/>
  <c r="T66" i="16"/>
  <c r="T65" i="16"/>
  <c r="T64" i="16"/>
  <c r="T63" i="16"/>
  <c r="S66" i="16"/>
  <c r="S65" i="16"/>
  <c r="S64" i="16"/>
  <c r="S63" i="16"/>
  <c r="R66" i="16"/>
  <c r="R65" i="16"/>
  <c r="R64" i="16"/>
  <c r="R63" i="16"/>
  <c r="Q66" i="16"/>
  <c r="Q65" i="16"/>
  <c r="Q64" i="16"/>
  <c r="Q63" i="16"/>
  <c r="P66" i="16"/>
  <c r="P65" i="16"/>
  <c r="P64" i="16"/>
  <c r="P63" i="16"/>
  <c r="O66" i="16" l="1"/>
  <c r="O65" i="16"/>
  <c r="O64" i="16"/>
  <c r="O63" i="16"/>
  <c r="N66" i="16"/>
  <c r="N65" i="16"/>
  <c r="N64" i="16"/>
  <c r="N63" i="16"/>
  <c r="M66" i="16"/>
  <c r="M65" i="16"/>
  <c r="M64" i="16"/>
  <c r="M63" i="16"/>
  <c r="L66" i="16" l="1"/>
  <c r="L65" i="16"/>
  <c r="L64" i="16"/>
  <c r="L63" i="16"/>
  <c r="K66" i="16"/>
  <c r="K65" i="16"/>
  <c r="K64" i="16"/>
  <c r="K63" i="16"/>
  <c r="J66" i="16"/>
  <c r="J65" i="16"/>
  <c r="J64" i="16"/>
  <c r="J63" i="16"/>
  <c r="I66" i="16"/>
  <c r="I65" i="16"/>
  <c r="I64" i="16"/>
  <c r="I63" i="16"/>
  <c r="H66" i="16"/>
  <c r="H65" i="16"/>
  <c r="H64" i="16"/>
  <c r="H63" i="16"/>
  <c r="G66" i="16"/>
  <c r="G65" i="16"/>
  <c r="G64" i="16"/>
  <c r="G63" i="16"/>
  <c r="F66" i="16"/>
  <c r="F65" i="16"/>
  <c r="F64" i="16"/>
  <c r="F63" i="16"/>
  <c r="E66" i="16"/>
  <c r="E65" i="16"/>
  <c r="E64" i="16"/>
  <c r="E63" i="16"/>
  <c r="D66" i="16"/>
  <c r="D65" i="16"/>
  <c r="D64" i="16"/>
  <c r="D63" i="16"/>
  <c r="BN63" i="23" l="1"/>
  <c r="F115" i="26" l="1"/>
  <c r="E115" i="26"/>
  <c r="D115" i="26"/>
  <c r="F114" i="26"/>
  <c r="E114" i="26"/>
  <c r="D114" i="26"/>
  <c r="F113" i="26"/>
  <c r="E113" i="26"/>
  <c r="D113" i="26"/>
  <c r="F112" i="26"/>
  <c r="E112" i="26"/>
  <c r="D112" i="26"/>
  <c r="F111" i="26"/>
  <c r="E111" i="26"/>
  <c r="D111" i="26"/>
  <c r="F110" i="26"/>
  <c r="E110" i="26"/>
  <c r="D110" i="26"/>
  <c r="F109" i="26"/>
  <c r="E109" i="26"/>
  <c r="D109" i="26"/>
  <c r="F108" i="26"/>
  <c r="E108" i="26"/>
  <c r="D108" i="26"/>
  <c r="F107" i="26"/>
  <c r="E107" i="26"/>
  <c r="D107" i="26"/>
  <c r="F106" i="26"/>
  <c r="E106" i="26"/>
  <c r="D106" i="26"/>
  <c r="F105" i="26"/>
  <c r="E105" i="26"/>
  <c r="D105" i="26"/>
  <c r="F104" i="26"/>
  <c r="E104" i="26"/>
  <c r="D104" i="26"/>
  <c r="F103" i="26"/>
  <c r="E103" i="26"/>
  <c r="D103" i="26"/>
  <c r="F102" i="26"/>
  <c r="E102" i="26"/>
  <c r="D102" i="26"/>
  <c r="F101" i="26"/>
  <c r="E101" i="26"/>
  <c r="D101" i="26"/>
  <c r="F100" i="26"/>
  <c r="E100" i="26"/>
  <c r="D100" i="26"/>
  <c r="F99" i="26"/>
  <c r="E99" i="26"/>
  <c r="D99" i="26"/>
  <c r="F98" i="26"/>
  <c r="E98" i="26"/>
  <c r="D98" i="26"/>
  <c r="F97" i="26"/>
  <c r="E97" i="26"/>
  <c r="D97" i="26"/>
  <c r="F96" i="26"/>
  <c r="E96" i="26"/>
  <c r="D96" i="26"/>
  <c r="F95" i="26"/>
  <c r="E95" i="26"/>
  <c r="D95" i="26"/>
  <c r="F94" i="26"/>
  <c r="E94" i="26"/>
  <c r="D94" i="26"/>
  <c r="F93" i="26"/>
  <c r="E93" i="26"/>
  <c r="D93" i="26"/>
  <c r="F92" i="26"/>
  <c r="E92" i="26"/>
  <c r="D92" i="26"/>
  <c r="F91" i="26"/>
  <c r="E91" i="26"/>
  <c r="D91" i="26"/>
  <c r="F90" i="26"/>
  <c r="E90" i="26"/>
  <c r="D90" i="26"/>
  <c r="F89" i="26"/>
  <c r="E89" i="26"/>
  <c r="D89" i="26"/>
  <c r="F88" i="26"/>
  <c r="E88" i="26"/>
  <c r="D88" i="26"/>
  <c r="F87" i="26"/>
  <c r="E87" i="26"/>
  <c r="D87" i="26"/>
  <c r="F86" i="26"/>
  <c r="E86" i="26"/>
  <c r="D86" i="26"/>
  <c r="F85" i="26"/>
  <c r="E85" i="26"/>
  <c r="D85" i="26"/>
  <c r="F84" i="26"/>
  <c r="E84" i="26"/>
  <c r="D84" i="26"/>
  <c r="F83" i="26"/>
  <c r="E83" i="26"/>
  <c r="D83" i="26"/>
  <c r="K50" i="26"/>
  <c r="J50" i="26"/>
  <c r="I50" i="26"/>
  <c r="H50" i="26"/>
  <c r="G50" i="26"/>
  <c r="F50" i="26"/>
  <c r="E50" i="26"/>
  <c r="D50" i="26"/>
  <c r="K49" i="26"/>
  <c r="J49" i="26"/>
  <c r="I49" i="26"/>
  <c r="H49" i="26"/>
  <c r="G49" i="26"/>
  <c r="F49" i="26"/>
  <c r="E49" i="26"/>
  <c r="D49" i="26"/>
  <c r="K48" i="26"/>
  <c r="J48" i="26"/>
  <c r="I48" i="26"/>
  <c r="H48" i="26"/>
  <c r="G48" i="26"/>
  <c r="F48" i="26"/>
  <c r="E48" i="26"/>
  <c r="D48" i="26"/>
  <c r="K47" i="26"/>
  <c r="K59" i="26" s="1"/>
  <c r="J47" i="26"/>
  <c r="J59" i="26" s="1"/>
  <c r="I47" i="26"/>
  <c r="I59" i="26" s="1"/>
  <c r="H47" i="26"/>
  <c r="G47" i="26"/>
  <c r="G59" i="26" s="1"/>
  <c r="F47" i="26"/>
  <c r="F59" i="26" s="1"/>
  <c r="E47" i="26"/>
  <c r="E59" i="26" s="1"/>
  <c r="D47" i="26"/>
  <c r="D59" i="26" s="1"/>
  <c r="K46" i="26"/>
  <c r="K58" i="26" s="1"/>
  <c r="J46" i="26"/>
  <c r="J58" i="26" s="1"/>
  <c r="I46" i="26"/>
  <c r="I58" i="26" s="1"/>
  <c r="H46" i="26"/>
  <c r="G46" i="26"/>
  <c r="F46" i="26"/>
  <c r="F58" i="26" s="1"/>
  <c r="E46" i="26"/>
  <c r="E58" i="26" s="1"/>
  <c r="D46" i="26"/>
  <c r="D58" i="26" s="1"/>
  <c r="K45" i="26"/>
  <c r="K57" i="26" s="1"/>
  <c r="J45" i="26"/>
  <c r="J57" i="26" s="1"/>
  <c r="I45" i="26"/>
  <c r="I57" i="26" s="1"/>
  <c r="H45" i="26"/>
  <c r="H57" i="26" s="1"/>
  <c r="G45" i="26"/>
  <c r="F45" i="26"/>
  <c r="F57" i="26" s="1"/>
  <c r="E45" i="26"/>
  <c r="E57" i="26" s="1"/>
  <c r="D45" i="26"/>
  <c r="D57" i="26" s="1"/>
  <c r="K44" i="26"/>
  <c r="J44" i="26"/>
  <c r="I44" i="26"/>
  <c r="H44" i="26"/>
  <c r="G44" i="26"/>
  <c r="F44" i="26"/>
  <c r="E44" i="26"/>
  <c r="D44" i="26"/>
  <c r="K43" i="26"/>
  <c r="J43" i="26"/>
  <c r="I43" i="26"/>
  <c r="H43" i="26"/>
  <c r="G43" i="26"/>
  <c r="F43" i="26"/>
  <c r="E43" i="26"/>
  <c r="D43" i="26"/>
  <c r="K42" i="26"/>
  <c r="J42" i="26"/>
  <c r="I42" i="26"/>
  <c r="H42" i="26"/>
  <c r="G42" i="26"/>
  <c r="F42" i="26"/>
  <c r="E42" i="26"/>
  <c r="D42" i="26"/>
  <c r="K41" i="26"/>
  <c r="J41" i="26"/>
  <c r="I41" i="26"/>
  <c r="H41" i="26"/>
  <c r="G41" i="26"/>
  <c r="F41" i="26"/>
  <c r="E41" i="26"/>
  <c r="D41" i="26"/>
  <c r="K40" i="26"/>
  <c r="J40" i="26"/>
  <c r="I40" i="26"/>
  <c r="H40" i="26"/>
  <c r="G40" i="26"/>
  <c r="F40" i="26"/>
  <c r="E40" i="26"/>
  <c r="D40" i="26"/>
  <c r="K39" i="26"/>
  <c r="J39" i="26"/>
  <c r="I39" i="26"/>
  <c r="H39" i="26"/>
  <c r="G39" i="26"/>
  <c r="F39" i="26"/>
  <c r="E39" i="26"/>
  <c r="D39" i="26"/>
  <c r="K38" i="26"/>
  <c r="J38" i="26"/>
  <c r="J56" i="26" s="1"/>
  <c r="I38" i="26"/>
  <c r="H38" i="26"/>
  <c r="G38" i="26"/>
  <c r="G56" i="26" s="1"/>
  <c r="F38" i="26"/>
  <c r="F56" i="26" s="1"/>
  <c r="E38" i="26"/>
  <c r="D38" i="26"/>
  <c r="D56" i="26" s="1"/>
  <c r="K37" i="26"/>
  <c r="J37" i="26"/>
  <c r="J55" i="26" s="1"/>
  <c r="I37" i="26"/>
  <c r="H37" i="26"/>
  <c r="G37" i="26"/>
  <c r="G55" i="26" s="1"/>
  <c r="F37" i="26"/>
  <c r="E37" i="26"/>
  <c r="D37" i="26"/>
  <c r="K36" i="26"/>
  <c r="J36" i="26"/>
  <c r="I36" i="26"/>
  <c r="H36" i="26"/>
  <c r="G36" i="26"/>
  <c r="F36" i="26"/>
  <c r="E36" i="26"/>
  <c r="D36" i="26"/>
  <c r="K35" i="26"/>
  <c r="J35" i="26"/>
  <c r="I35" i="26"/>
  <c r="H35" i="26"/>
  <c r="G35" i="26"/>
  <c r="F35" i="26"/>
  <c r="E35" i="26"/>
  <c r="D35" i="26"/>
  <c r="K34" i="26"/>
  <c r="J34" i="26"/>
  <c r="I34" i="26"/>
  <c r="H34" i="26"/>
  <c r="G34" i="26"/>
  <c r="F34" i="26"/>
  <c r="E34" i="26"/>
  <c r="D34" i="26"/>
  <c r="K33" i="26"/>
  <c r="J33" i="26"/>
  <c r="I33" i="26"/>
  <c r="H33" i="26"/>
  <c r="G33" i="26"/>
  <c r="F33" i="26"/>
  <c r="E33" i="26"/>
  <c r="D33" i="26"/>
  <c r="K32" i="26"/>
  <c r="J32" i="26"/>
  <c r="I32" i="26"/>
  <c r="H32" i="26"/>
  <c r="G32" i="26"/>
  <c r="F32" i="26"/>
  <c r="E32" i="26"/>
  <c r="D32" i="26"/>
  <c r="K31" i="26"/>
  <c r="J31" i="26"/>
  <c r="I31" i="26"/>
  <c r="H31" i="26"/>
  <c r="G31" i="26"/>
  <c r="F31" i="26"/>
  <c r="E31" i="26"/>
  <c r="D31" i="26"/>
  <c r="K30" i="26"/>
  <c r="J30" i="26"/>
  <c r="I30" i="26"/>
  <c r="H30" i="26"/>
  <c r="G30" i="26"/>
  <c r="F30" i="26"/>
  <c r="E30" i="26"/>
  <c r="D30" i="26"/>
  <c r="K29" i="26"/>
  <c r="J29" i="26"/>
  <c r="I29" i="26"/>
  <c r="H29" i="26"/>
  <c r="G29" i="26"/>
  <c r="F29" i="26"/>
  <c r="E29" i="26"/>
  <c r="D29" i="26"/>
  <c r="K28" i="26"/>
  <c r="J28" i="26"/>
  <c r="I28" i="26"/>
  <c r="H28" i="26"/>
  <c r="G28" i="26"/>
  <c r="F28" i="26"/>
  <c r="E28" i="26"/>
  <c r="D28" i="26"/>
  <c r="K27" i="26"/>
  <c r="J27" i="26"/>
  <c r="I27" i="26"/>
  <c r="H27" i="26"/>
  <c r="G27" i="26"/>
  <c r="F27" i="26"/>
  <c r="E27" i="26"/>
  <c r="D27" i="26"/>
  <c r="K26" i="26"/>
  <c r="J26" i="26"/>
  <c r="I26" i="26"/>
  <c r="H26" i="26"/>
  <c r="G26" i="26"/>
  <c r="F26" i="26"/>
  <c r="E26" i="26"/>
  <c r="D26" i="26"/>
  <c r="K25" i="26"/>
  <c r="J25" i="26"/>
  <c r="I25" i="26"/>
  <c r="H25" i="26"/>
  <c r="G25" i="26"/>
  <c r="F25" i="26"/>
  <c r="E25" i="26"/>
  <c r="D25" i="26"/>
  <c r="K24" i="26"/>
  <c r="J24" i="26"/>
  <c r="I24" i="26"/>
  <c r="H24" i="26"/>
  <c r="G24" i="26"/>
  <c r="F24" i="26"/>
  <c r="E24" i="26"/>
  <c r="D24" i="26"/>
  <c r="K23" i="26"/>
  <c r="J23" i="26"/>
  <c r="I23" i="26"/>
  <c r="H23" i="26"/>
  <c r="G23" i="26"/>
  <c r="F23" i="26"/>
  <c r="E23" i="26"/>
  <c r="D23" i="26"/>
  <c r="K19" i="26"/>
  <c r="J19" i="26"/>
  <c r="I19" i="26"/>
  <c r="H19" i="26"/>
  <c r="G19" i="26"/>
  <c r="F19" i="26"/>
  <c r="E19" i="26"/>
  <c r="D19" i="26"/>
  <c r="K18" i="26"/>
  <c r="J18" i="26"/>
  <c r="I18" i="26"/>
  <c r="H18" i="26"/>
  <c r="G18" i="26"/>
  <c r="F18" i="26"/>
  <c r="E18" i="26"/>
  <c r="D18" i="26"/>
  <c r="K17" i="26"/>
  <c r="J17" i="26"/>
  <c r="I17" i="26"/>
  <c r="H17" i="26"/>
  <c r="G17" i="26"/>
  <c r="F17" i="26"/>
  <c r="E17" i="26"/>
  <c r="D17" i="26"/>
  <c r="F13" i="26"/>
  <c r="E13" i="26"/>
  <c r="D13" i="26"/>
  <c r="F12" i="26"/>
  <c r="E12" i="26"/>
  <c r="D12" i="26"/>
  <c r="F9" i="26"/>
  <c r="E9" i="26"/>
  <c r="D9" i="26"/>
  <c r="F8" i="26"/>
  <c r="E8" i="26"/>
  <c r="D8" i="26"/>
  <c r="F113" i="25"/>
  <c r="E113" i="25"/>
  <c r="D113" i="25"/>
  <c r="F112" i="25"/>
  <c r="E112" i="25"/>
  <c r="D112" i="25"/>
  <c r="F111" i="25"/>
  <c r="E111" i="25"/>
  <c r="D111" i="25"/>
  <c r="F110" i="25"/>
  <c r="E110" i="25"/>
  <c r="D110" i="25"/>
  <c r="F109" i="25"/>
  <c r="E109" i="25"/>
  <c r="D109" i="25"/>
  <c r="F108" i="25"/>
  <c r="E108" i="25"/>
  <c r="D108" i="25"/>
  <c r="F107" i="25"/>
  <c r="E107" i="25"/>
  <c r="D107" i="25"/>
  <c r="F106" i="25"/>
  <c r="E106" i="25"/>
  <c r="D106" i="25"/>
  <c r="F105" i="25"/>
  <c r="E105" i="25"/>
  <c r="D105" i="25"/>
  <c r="F104" i="25"/>
  <c r="E104" i="25"/>
  <c r="D104" i="25"/>
  <c r="F103" i="25"/>
  <c r="E103" i="25"/>
  <c r="D103" i="25"/>
  <c r="F102" i="25"/>
  <c r="E102" i="25"/>
  <c r="D102" i="25"/>
  <c r="F101" i="25"/>
  <c r="E101" i="25"/>
  <c r="D101" i="25"/>
  <c r="F100" i="25"/>
  <c r="E100" i="25"/>
  <c r="D100" i="25"/>
  <c r="F99" i="25"/>
  <c r="E99" i="25"/>
  <c r="D99" i="25"/>
  <c r="F98" i="25"/>
  <c r="E98" i="25"/>
  <c r="D98" i="25"/>
  <c r="F97" i="25"/>
  <c r="E97" i="25"/>
  <c r="D97" i="25"/>
  <c r="F96" i="25"/>
  <c r="E96" i="25"/>
  <c r="D96" i="25"/>
  <c r="F95" i="25"/>
  <c r="E95" i="25"/>
  <c r="D95" i="25"/>
  <c r="F94" i="25"/>
  <c r="E94" i="25"/>
  <c r="D94" i="25"/>
  <c r="F93" i="25"/>
  <c r="E93" i="25"/>
  <c r="D93" i="25"/>
  <c r="F92" i="25"/>
  <c r="E92" i="25"/>
  <c r="D92" i="25"/>
  <c r="F91" i="25"/>
  <c r="E91" i="25"/>
  <c r="D91" i="25"/>
  <c r="F90" i="25"/>
  <c r="E90" i="25"/>
  <c r="D90" i="25"/>
  <c r="F89" i="25"/>
  <c r="E89" i="25"/>
  <c r="D89" i="25"/>
  <c r="F88" i="25"/>
  <c r="E88" i="25"/>
  <c r="D88" i="25"/>
  <c r="F87" i="25"/>
  <c r="E87" i="25"/>
  <c r="D87" i="25"/>
  <c r="F86" i="25"/>
  <c r="E86" i="25"/>
  <c r="D86" i="25"/>
  <c r="F85" i="25"/>
  <c r="E85" i="25"/>
  <c r="D85" i="25"/>
  <c r="F84" i="25"/>
  <c r="E84" i="25"/>
  <c r="D84" i="25"/>
  <c r="F83" i="25"/>
  <c r="E83" i="25"/>
  <c r="D83" i="25"/>
  <c r="F82" i="25"/>
  <c r="E82" i="25"/>
  <c r="D82" i="25"/>
  <c r="F81" i="25"/>
  <c r="E81" i="25"/>
  <c r="D81" i="25"/>
  <c r="K50" i="25"/>
  <c r="J50" i="25"/>
  <c r="I50" i="25"/>
  <c r="H50" i="25"/>
  <c r="G50" i="25"/>
  <c r="F50" i="25"/>
  <c r="E50" i="25"/>
  <c r="D50" i="25"/>
  <c r="K49" i="25"/>
  <c r="J49" i="25"/>
  <c r="I49" i="25"/>
  <c r="H49" i="25"/>
  <c r="G49" i="25"/>
  <c r="F49" i="25"/>
  <c r="E49" i="25"/>
  <c r="D49" i="25"/>
  <c r="K48" i="25"/>
  <c r="J48" i="25"/>
  <c r="I48" i="25"/>
  <c r="H48" i="25"/>
  <c r="G48" i="25"/>
  <c r="F48" i="25"/>
  <c r="E48" i="25"/>
  <c r="D48" i="25"/>
  <c r="K47" i="25"/>
  <c r="K59" i="25" s="1"/>
  <c r="J47" i="25"/>
  <c r="J59" i="25" s="1"/>
  <c r="I47" i="25"/>
  <c r="I59" i="25" s="1"/>
  <c r="H47" i="25"/>
  <c r="H59" i="25" s="1"/>
  <c r="G47" i="25"/>
  <c r="G59" i="25" s="1"/>
  <c r="F47" i="25"/>
  <c r="F59" i="25" s="1"/>
  <c r="E47" i="25"/>
  <c r="E59" i="25" s="1"/>
  <c r="D47" i="25"/>
  <c r="D59" i="25" s="1"/>
  <c r="K46" i="25"/>
  <c r="K58" i="25" s="1"/>
  <c r="J46" i="25"/>
  <c r="I46" i="25"/>
  <c r="I58" i="25" s="1"/>
  <c r="H46" i="25"/>
  <c r="H58" i="25" s="1"/>
  <c r="G46" i="25"/>
  <c r="G58" i="25" s="1"/>
  <c r="F46" i="25"/>
  <c r="E46" i="25"/>
  <c r="E58" i="25" s="1"/>
  <c r="D46" i="25"/>
  <c r="D58" i="25" s="1"/>
  <c r="K45" i="25"/>
  <c r="K57" i="25" s="1"/>
  <c r="J45" i="25"/>
  <c r="I45" i="25"/>
  <c r="I57" i="25" s="1"/>
  <c r="H45" i="25"/>
  <c r="G45" i="25"/>
  <c r="F45" i="25"/>
  <c r="F57" i="25" s="1"/>
  <c r="E45" i="25"/>
  <c r="E57" i="25" s="1"/>
  <c r="D45" i="25"/>
  <c r="D57" i="25" s="1"/>
  <c r="K44" i="25"/>
  <c r="J44" i="25"/>
  <c r="I44" i="25"/>
  <c r="H44" i="25"/>
  <c r="G44" i="25"/>
  <c r="F44" i="25"/>
  <c r="E44" i="25"/>
  <c r="D44" i="25"/>
  <c r="K43" i="25"/>
  <c r="J43" i="25"/>
  <c r="I43" i="25"/>
  <c r="H43" i="25"/>
  <c r="G43" i="25"/>
  <c r="F43" i="25"/>
  <c r="E43" i="25"/>
  <c r="D43" i="25"/>
  <c r="K42" i="25"/>
  <c r="J42" i="25"/>
  <c r="I42" i="25"/>
  <c r="H42" i="25"/>
  <c r="G42" i="25"/>
  <c r="F42" i="25"/>
  <c r="E42" i="25"/>
  <c r="D42" i="25"/>
  <c r="K41" i="25"/>
  <c r="J41" i="25"/>
  <c r="I41" i="25"/>
  <c r="H41" i="25"/>
  <c r="G41" i="25"/>
  <c r="F41" i="25"/>
  <c r="E41" i="25"/>
  <c r="D41" i="25"/>
  <c r="K40" i="25"/>
  <c r="J40" i="25"/>
  <c r="I40" i="25"/>
  <c r="H40" i="25"/>
  <c r="G40" i="25"/>
  <c r="F40" i="25"/>
  <c r="E40" i="25"/>
  <c r="D40" i="25"/>
  <c r="K39" i="25"/>
  <c r="J39" i="25"/>
  <c r="I39" i="25"/>
  <c r="H39" i="25"/>
  <c r="G39" i="25"/>
  <c r="F39" i="25"/>
  <c r="E39" i="25"/>
  <c r="D39" i="25"/>
  <c r="K38" i="25"/>
  <c r="J38" i="25"/>
  <c r="J56" i="25" s="1"/>
  <c r="I38" i="25"/>
  <c r="I56" i="25" s="1"/>
  <c r="H38" i="25"/>
  <c r="G38" i="25"/>
  <c r="F38" i="25"/>
  <c r="E38" i="25"/>
  <c r="E56" i="25" s="1"/>
  <c r="D38" i="25"/>
  <c r="D56" i="25" s="1"/>
  <c r="K37" i="25"/>
  <c r="J37" i="25"/>
  <c r="I37" i="25"/>
  <c r="I55" i="25" s="1"/>
  <c r="H37" i="25"/>
  <c r="H55" i="25" s="1"/>
  <c r="G37" i="25"/>
  <c r="F37" i="25"/>
  <c r="E37" i="25"/>
  <c r="D37" i="25"/>
  <c r="D55" i="25" s="1"/>
  <c r="K36" i="25"/>
  <c r="J36" i="25"/>
  <c r="I36" i="25"/>
  <c r="H36" i="25"/>
  <c r="G36" i="25"/>
  <c r="F36" i="25"/>
  <c r="E36" i="25"/>
  <c r="D36" i="25"/>
  <c r="K35" i="25"/>
  <c r="J35" i="25"/>
  <c r="I35" i="25"/>
  <c r="H35" i="25"/>
  <c r="G35" i="25"/>
  <c r="F35" i="25"/>
  <c r="E35" i="25"/>
  <c r="D35" i="25"/>
  <c r="K34" i="25"/>
  <c r="J34" i="25"/>
  <c r="I34" i="25"/>
  <c r="H34" i="25"/>
  <c r="G34" i="25"/>
  <c r="F34" i="25"/>
  <c r="E34" i="25"/>
  <c r="D34" i="25"/>
  <c r="K33" i="25"/>
  <c r="J33" i="25"/>
  <c r="I33" i="25"/>
  <c r="H33" i="25"/>
  <c r="G33" i="25"/>
  <c r="F33" i="25"/>
  <c r="E33" i="25"/>
  <c r="D33" i="25"/>
  <c r="K32" i="25"/>
  <c r="J32" i="25"/>
  <c r="I32" i="25"/>
  <c r="H32" i="25"/>
  <c r="G32" i="25"/>
  <c r="F32" i="25"/>
  <c r="E32" i="25"/>
  <c r="D32" i="25"/>
  <c r="K31" i="25"/>
  <c r="J31" i="25"/>
  <c r="I31" i="25"/>
  <c r="H31" i="25"/>
  <c r="G31" i="25"/>
  <c r="F31" i="25"/>
  <c r="E31" i="25"/>
  <c r="D31" i="25"/>
  <c r="K30" i="25"/>
  <c r="J30" i="25"/>
  <c r="I30" i="25"/>
  <c r="H30" i="25"/>
  <c r="G30" i="25"/>
  <c r="F30" i="25"/>
  <c r="E30" i="25"/>
  <c r="D30" i="25"/>
  <c r="K29" i="25"/>
  <c r="J29" i="25"/>
  <c r="I29" i="25"/>
  <c r="H29" i="25"/>
  <c r="G29" i="25"/>
  <c r="F29" i="25"/>
  <c r="E29" i="25"/>
  <c r="D29" i="25"/>
  <c r="K28" i="25"/>
  <c r="J28" i="25"/>
  <c r="I28" i="25"/>
  <c r="H28" i="25"/>
  <c r="G28" i="25"/>
  <c r="F28" i="25"/>
  <c r="E28" i="25"/>
  <c r="D28" i="25"/>
  <c r="K27" i="25"/>
  <c r="J27" i="25"/>
  <c r="I27" i="25"/>
  <c r="H27" i="25"/>
  <c r="G27" i="25"/>
  <c r="F27" i="25"/>
  <c r="E27" i="25"/>
  <c r="D27" i="25"/>
  <c r="K26" i="25"/>
  <c r="J26" i="25"/>
  <c r="I26" i="25"/>
  <c r="H26" i="25"/>
  <c r="G26" i="25"/>
  <c r="F26" i="25"/>
  <c r="E26" i="25"/>
  <c r="D26" i="25"/>
  <c r="K25" i="25"/>
  <c r="J25" i="25"/>
  <c r="I25" i="25"/>
  <c r="H25" i="25"/>
  <c r="G25" i="25"/>
  <c r="F25" i="25"/>
  <c r="E25" i="25"/>
  <c r="D25" i="25"/>
  <c r="K24" i="25"/>
  <c r="J24" i="25"/>
  <c r="I24" i="25"/>
  <c r="H24" i="25"/>
  <c r="G24" i="25"/>
  <c r="F24" i="25"/>
  <c r="E24" i="25"/>
  <c r="D24" i="25"/>
  <c r="K23" i="25"/>
  <c r="J23" i="25"/>
  <c r="I23" i="25"/>
  <c r="H23" i="25"/>
  <c r="G23" i="25"/>
  <c r="G53" i="25" s="1"/>
  <c r="F23" i="25"/>
  <c r="E23" i="25"/>
  <c r="D23" i="25"/>
  <c r="K19" i="25"/>
  <c r="J19" i="25"/>
  <c r="I19" i="25"/>
  <c r="H19" i="25"/>
  <c r="G19" i="25"/>
  <c r="F19" i="25"/>
  <c r="E19" i="25"/>
  <c r="D19" i="25"/>
  <c r="K18" i="25"/>
  <c r="J18" i="25"/>
  <c r="I18" i="25"/>
  <c r="H18" i="25"/>
  <c r="G18" i="25"/>
  <c r="F18" i="25"/>
  <c r="E18" i="25"/>
  <c r="D18" i="25"/>
  <c r="K17" i="25"/>
  <c r="J17" i="25"/>
  <c r="I17" i="25"/>
  <c r="H17" i="25"/>
  <c r="G17" i="25"/>
  <c r="F17" i="25"/>
  <c r="E17" i="25"/>
  <c r="D17" i="25"/>
  <c r="F13" i="25"/>
  <c r="E13" i="25"/>
  <c r="D13" i="25"/>
  <c r="F12" i="25"/>
  <c r="E12" i="25"/>
  <c r="D12" i="25"/>
  <c r="F9" i="25"/>
  <c r="E9" i="25"/>
  <c r="D9" i="25"/>
  <c r="F8" i="25"/>
  <c r="E8" i="25"/>
  <c r="D8" i="25"/>
  <c r="K36" i="24"/>
  <c r="J36" i="24"/>
  <c r="I36" i="24"/>
  <c r="H36" i="24"/>
  <c r="G36" i="24"/>
  <c r="F36" i="24"/>
  <c r="E36" i="24"/>
  <c r="D36" i="24"/>
  <c r="K34" i="24"/>
  <c r="J34" i="24"/>
  <c r="I34" i="24"/>
  <c r="H34" i="24"/>
  <c r="G34" i="24"/>
  <c r="F34" i="24"/>
  <c r="E34" i="24"/>
  <c r="D34" i="24"/>
  <c r="K24" i="24"/>
  <c r="J24" i="24"/>
  <c r="I24" i="24"/>
  <c r="H24" i="24"/>
  <c r="G24" i="24"/>
  <c r="F24" i="24"/>
  <c r="E24" i="24"/>
  <c r="D24" i="24"/>
  <c r="F113" i="24"/>
  <c r="E113" i="24"/>
  <c r="D113" i="24"/>
  <c r="F112" i="24"/>
  <c r="E112" i="24"/>
  <c r="D112" i="24"/>
  <c r="F111" i="24"/>
  <c r="E111" i="24"/>
  <c r="D111" i="24"/>
  <c r="F110" i="24"/>
  <c r="E110" i="24"/>
  <c r="D110" i="24"/>
  <c r="F109" i="24"/>
  <c r="E109" i="24"/>
  <c r="D109" i="24"/>
  <c r="F108" i="24"/>
  <c r="E108" i="24"/>
  <c r="D108" i="24"/>
  <c r="F107" i="24"/>
  <c r="E107" i="24"/>
  <c r="D107" i="24"/>
  <c r="F106" i="24"/>
  <c r="E106" i="24"/>
  <c r="D106" i="24"/>
  <c r="F105" i="24"/>
  <c r="E105" i="24"/>
  <c r="D105" i="24"/>
  <c r="F104" i="24"/>
  <c r="E104" i="24"/>
  <c r="D104" i="24"/>
  <c r="F103" i="24"/>
  <c r="E103" i="24"/>
  <c r="D103" i="24"/>
  <c r="F102" i="24"/>
  <c r="E102" i="24"/>
  <c r="D102" i="24"/>
  <c r="F101" i="24"/>
  <c r="E101" i="24"/>
  <c r="D101" i="24"/>
  <c r="F100" i="24"/>
  <c r="E100" i="24"/>
  <c r="D100" i="24"/>
  <c r="F99" i="24"/>
  <c r="E99" i="24"/>
  <c r="D99" i="24"/>
  <c r="F98" i="24"/>
  <c r="E98" i="24"/>
  <c r="D98" i="24"/>
  <c r="F97" i="24"/>
  <c r="E97" i="24"/>
  <c r="D97" i="24"/>
  <c r="F96" i="24"/>
  <c r="E96" i="24"/>
  <c r="D96" i="24"/>
  <c r="F95" i="24"/>
  <c r="E95" i="24"/>
  <c r="D95" i="24"/>
  <c r="F94" i="24"/>
  <c r="E94" i="24"/>
  <c r="D94" i="24"/>
  <c r="F93" i="24"/>
  <c r="E93" i="24"/>
  <c r="D93" i="24"/>
  <c r="F92" i="24"/>
  <c r="E92" i="24"/>
  <c r="D92" i="24"/>
  <c r="F91" i="24"/>
  <c r="E91" i="24"/>
  <c r="D91" i="24"/>
  <c r="F90" i="24"/>
  <c r="E90" i="24"/>
  <c r="D90" i="24"/>
  <c r="F89" i="24"/>
  <c r="E89" i="24"/>
  <c r="D89" i="24"/>
  <c r="F88" i="24"/>
  <c r="E88" i="24"/>
  <c r="D88" i="24"/>
  <c r="F87" i="24"/>
  <c r="E87" i="24"/>
  <c r="D87" i="24"/>
  <c r="F86" i="24"/>
  <c r="E86" i="24"/>
  <c r="D86" i="24"/>
  <c r="F85" i="24"/>
  <c r="E85" i="24"/>
  <c r="D85" i="24"/>
  <c r="F84" i="24"/>
  <c r="E84" i="24"/>
  <c r="D84" i="24"/>
  <c r="F83" i="24"/>
  <c r="E83" i="24"/>
  <c r="D83" i="24"/>
  <c r="F82" i="24"/>
  <c r="E82" i="24"/>
  <c r="D82" i="24"/>
  <c r="F81" i="24"/>
  <c r="E81" i="24"/>
  <c r="D81" i="24"/>
  <c r="K50" i="24"/>
  <c r="J50" i="24"/>
  <c r="I50" i="24"/>
  <c r="H50" i="24"/>
  <c r="G50" i="24"/>
  <c r="F50" i="24"/>
  <c r="E50" i="24"/>
  <c r="D50" i="24"/>
  <c r="K49" i="24"/>
  <c r="J49" i="24"/>
  <c r="I49" i="24"/>
  <c r="H49" i="24"/>
  <c r="G49" i="24"/>
  <c r="F49" i="24"/>
  <c r="E49" i="24"/>
  <c r="D49" i="24"/>
  <c r="K48" i="24"/>
  <c r="J48" i="24"/>
  <c r="I48" i="24"/>
  <c r="H48" i="24"/>
  <c r="G48" i="24"/>
  <c r="F48" i="24"/>
  <c r="E48" i="24"/>
  <c r="D48" i="24"/>
  <c r="K47" i="24"/>
  <c r="J47" i="24"/>
  <c r="J59" i="24" s="1"/>
  <c r="I47" i="24"/>
  <c r="I59" i="24" s="1"/>
  <c r="H47" i="24"/>
  <c r="H59" i="24" s="1"/>
  <c r="G47" i="24"/>
  <c r="G59" i="24" s="1"/>
  <c r="F47" i="24"/>
  <c r="E47" i="24"/>
  <c r="E59" i="24" s="1"/>
  <c r="D47" i="24"/>
  <c r="D59" i="24" s="1"/>
  <c r="K46" i="24"/>
  <c r="J46" i="24"/>
  <c r="J58" i="24" s="1"/>
  <c r="I46" i="24"/>
  <c r="I58" i="24" s="1"/>
  <c r="H46" i="24"/>
  <c r="G46" i="24"/>
  <c r="F46" i="24"/>
  <c r="E46" i="24"/>
  <c r="E58" i="24" s="1"/>
  <c r="D46" i="24"/>
  <c r="K45" i="24"/>
  <c r="J45" i="24"/>
  <c r="J57" i="24" s="1"/>
  <c r="I45" i="24"/>
  <c r="I57" i="24" s="1"/>
  <c r="H45" i="24"/>
  <c r="H57" i="24" s="1"/>
  <c r="G45" i="24"/>
  <c r="G57" i="24" s="1"/>
  <c r="F45" i="24"/>
  <c r="E45" i="24"/>
  <c r="E57" i="24" s="1"/>
  <c r="D45" i="24"/>
  <c r="K44" i="24"/>
  <c r="J44" i="24"/>
  <c r="I44" i="24"/>
  <c r="H44" i="24"/>
  <c r="G44" i="24"/>
  <c r="F44" i="24"/>
  <c r="E44" i="24"/>
  <c r="D44" i="24"/>
  <c r="K43" i="24"/>
  <c r="J43" i="24"/>
  <c r="I43" i="24"/>
  <c r="H43" i="24"/>
  <c r="G43" i="24"/>
  <c r="F43" i="24"/>
  <c r="E43" i="24"/>
  <c r="D43" i="24"/>
  <c r="K42" i="24"/>
  <c r="J42" i="24"/>
  <c r="I42" i="24"/>
  <c r="H42" i="24"/>
  <c r="G42" i="24"/>
  <c r="F42" i="24"/>
  <c r="E42" i="24"/>
  <c r="D42" i="24"/>
  <c r="K41" i="24"/>
  <c r="J41" i="24"/>
  <c r="I41" i="24"/>
  <c r="H41" i="24"/>
  <c r="G41" i="24"/>
  <c r="F41" i="24"/>
  <c r="E41" i="24"/>
  <c r="D41" i="24"/>
  <c r="K40" i="24"/>
  <c r="J40" i="24"/>
  <c r="I40" i="24"/>
  <c r="H40" i="24"/>
  <c r="G40" i="24"/>
  <c r="F40" i="24"/>
  <c r="E40" i="24"/>
  <c r="D40" i="24"/>
  <c r="K39" i="24"/>
  <c r="J39" i="24"/>
  <c r="I39" i="24"/>
  <c r="H39" i="24"/>
  <c r="G39" i="24"/>
  <c r="F39" i="24"/>
  <c r="E39" i="24"/>
  <c r="D39" i="24"/>
  <c r="K38" i="24"/>
  <c r="J38" i="24"/>
  <c r="I38" i="24"/>
  <c r="H38" i="24"/>
  <c r="H56" i="24" s="1"/>
  <c r="G38" i="24"/>
  <c r="F38" i="24"/>
  <c r="E38" i="24"/>
  <c r="D38" i="24"/>
  <c r="K37" i="24"/>
  <c r="K55" i="24" s="1"/>
  <c r="J37" i="24"/>
  <c r="J55" i="24" s="1"/>
  <c r="I37" i="24"/>
  <c r="I55" i="24" s="1"/>
  <c r="H37" i="24"/>
  <c r="H55" i="24" s="1"/>
  <c r="G37" i="24"/>
  <c r="F37" i="24"/>
  <c r="E37" i="24"/>
  <c r="D37" i="24"/>
  <c r="D55" i="24" s="1"/>
  <c r="K35" i="24"/>
  <c r="J35" i="24"/>
  <c r="I35" i="24"/>
  <c r="H35" i="24"/>
  <c r="G35" i="24"/>
  <c r="F35" i="24"/>
  <c r="E35" i="24"/>
  <c r="D35" i="24"/>
  <c r="K33" i="24"/>
  <c r="J33" i="24"/>
  <c r="I33" i="24"/>
  <c r="H33" i="24"/>
  <c r="G33" i="24"/>
  <c r="F33" i="24"/>
  <c r="E33" i="24"/>
  <c r="D33" i="24"/>
  <c r="K32" i="24"/>
  <c r="J32" i="24"/>
  <c r="I32" i="24"/>
  <c r="H32" i="24"/>
  <c r="G32" i="24"/>
  <c r="F32" i="24"/>
  <c r="E32" i="24"/>
  <c r="D32" i="24"/>
  <c r="K31" i="24"/>
  <c r="J31" i="24"/>
  <c r="I31" i="24"/>
  <c r="H31" i="24"/>
  <c r="G31" i="24"/>
  <c r="F31" i="24"/>
  <c r="E31" i="24"/>
  <c r="D31" i="24"/>
  <c r="K30" i="24"/>
  <c r="J30" i="24"/>
  <c r="I30" i="24"/>
  <c r="H30" i="24"/>
  <c r="G30" i="24"/>
  <c r="F30" i="24"/>
  <c r="E30" i="24"/>
  <c r="D30" i="24"/>
  <c r="K29" i="24"/>
  <c r="J29" i="24"/>
  <c r="I29" i="24"/>
  <c r="H29" i="24"/>
  <c r="G29" i="24"/>
  <c r="F29" i="24"/>
  <c r="E29" i="24"/>
  <c r="D29" i="24"/>
  <c r="K28" i="24"/>
  <c r="J28" i="24"/>
  <c r="I28" i="24"/>
  <c r="H28" i="24"/>
  <c r="G28" i="24"/>
  <c r="F28" i="24"/>
  <c r="E28" i="24"/>
  <c r="D28" i="24"/>
  <c r="K27" i="24"/>
  <c r="J27" i="24"/>
  <c r="I27" i="24"/>
  <c r="H27" i="24"/>
  <c r="G27" i="24"/>
  <c r="F27" i="24"/>
  <c r="E27" i="24"/>
  <c r="D27" i="24"/>
  <c r="K26" i="24"/>
  <c r="J26" i="24"/>
  <c r="I26" i="24"/>
  <c r="H26" i="24"/>
  <c r="G26" i="24"/>
  <c r="F26" i="24"/>
  <c r="E26" i="24"/>
  <c r="D26" i="24"/>
  <c r="K25" i="24"/>
  <c r="J25" i="24"/>
  <c r="I25" i="24"/>
  <c r="H25" i="24"/>
  <c r="G25" i="24"/>
  <c r="F25" i="24"/>
  <c r="E25" i="24"/>
  <c r="D25" i="24"/>
  <c r="K23" i="24"/>
  <c r="J23" i="24"/>
  <c r="I23" i="24"/>
  <c r="H23" i="24"/>
  <c r="G23" i="24"/>
  <c r="F23" i="24"/>
  <c r="E23" i="24"/>
  <c r="D23" i="24"/>
  <c r="K19" i="24"/>
  <c r="J19" i="24"/>
  <c r="I19" i="24"/>
  <c r="H19" i="24"/>
  <c r="G19" i="24"/>
  <c r="F19" i="24"/>
  <c r="E19" i="24"/>
  <c r="D19" i="24"/>
  <c r="K18" i="24"/>
  <c r="J18" i="24"/>
  <c r="I18" i="24"/>
  <c r="H18" i="24"/>
  <c r="G18" i="24"/>
  <c r="F18" i="24"/>
  <c r="E18" i="24"/>
  <c r="D18" i="24"/>
  <c r="K17" i="24"/>
  <c r="J17" i="24"/>
  <c r="I17" i="24"/>
  <c r="H17" i="24"/>
  <c r="G17" i="24"/>
  <c r="F17" i="24"/>
  <c r="E17" i="24"/>
  <c r="D17" i="24"/>
  <c r="F13" i="24"/>
  <c r="E13" i="24"/>
  <c r="D13" i="24"/>
  <c r="F12" i="24"/>
  <c r="E12" i="24"/>
  <c r="D12" i="24"/>
  <c r="F9" i="24"/>
  <c r="E9" i="24"/>
  <c r="D9" i="24"/>
  <c r="F8" i="24"/>
  <c r="E8" i="24"/>
  <c r="D8" i="24"/>
  <c r="K36" i="23"/>
  <c r="J36" i="23"/>
  <c r="I36" i="23"/>
  <c r="H36" i="23"/>
  <c r="G36" i="23"/>
  <c r="F36" i="23"/>
  <c r="E36" i="23"/>
  <c r="D36" i="23"/>
  <c r="K34" i="23"/>
  <c r="J34" i="23"/>
  <c r="I34" i="23"/>
  <c r="H34" i="23"/>
  <c r="G34" i="23"/>
  <c r="F34" i="23"/>
  <c r="E34" i="23"/>
  <c r="D34" i="23"/>
  <c r="K24" i="23"/>
  <c r="J24" i="23"/>
  <c r="I24" i="23"/>
  <c r="H24" i="23"/>
  <c r="G24" i="23"/>
  <c r="F24" i="23"/>
  <c r="E24" i="23"/>
  <c r="D24" i="23"/>
  <c r="K36" i="16"/>
  <c r="J36" i="16"/>
  <c r="I36" i="16"/>
  <c r="H36" i="16"/>
  <c r="G36" i="16"/>
  <c r="F36" i="16"/>
  <c r="E36" i="16"/>
  <c r="D36" i="16"/>
  <c r="K34" i="16"/>
  <c r="J34" i="16"/>
  <c r="I34" i="16"/>
  <c r="H34" i="16"/>
  <c r="G34" i="16"/>
  <c r="F34" i="16"/>
  <c r="E34" i="16"/>
  <c r="D34" i="16"/>
  <c r="K24" i="16"/>
  <c r="J24" i="16"/>
  <c r="I24" i="16"/>
  <c r="H24" i="16"/>
  <c r="G24" i="16"/>
  <c r="F24" i="16"/>
  <c r="E24" i="16"/>
  <c r="D24" i="16"/>
  <c r="F113" i="23"/>
  <c r="E113" i="23"/>
  <c r="D113" i="23"/>
  <c r="F112" i="23"/>
  <c r="E112" i="23"/>
  <c r="D112" i="23"/>
  <c r="F111" i="23"/>
  <c r="E111" i="23"/>
  <c r="D111" i="23"/>
  <c r="F110" i="23"/>
  <c r="E110" i="23"/>
  <c r="D110" i="23"/>
  <c r="F109" i="23"/>
  <c r="E109" i="23"/>
  <c r="D109" i="23"/>
  <c r="F108" i="23"/>
  <c r="E108" i="23"/>
  <c r="D108" i="23"/>
  <c r="F107" i="23"/>
  <c r="E107" i="23"/>
  <c r="D107" i="23"/>
  <c r="F106" i="23"/>
  <c r="E106" i="23"/>
  <c r="D106" i="23"/>
  <c r="F105" i="23"/>
  <c r="E105" i="23"/>
  <c r="D105" i="23"/>
  <c r="F104" i="23"/>
  <c r="E104" i="23"/>
  <c r="D104" i="23"/>
  <c r="F103" i="23"/>
  <c r="E103" i="23"/>
  <c r="D103" i="23"/>
  <c r="F102" i="23"/>
  <c r="E102" i="23"/>
  <c r="D102" i="23"/>
  <c r="F101" i="23"/>
  <c r="E101" i="23"/>
  <c r="D101" i="23"/>
  <c r="F100" i="23"/>
  <c r="E100" i="23"/>
  <c r="D100" i="23"/>
  <c r="F99" i="23"/>
  <c r="E99" i="23"/>
  <c r="D99" i="23"/>
  <c r="F98" i="23"/>
  <c r="E98" i="23"/>
  <c r="D98" i="23"/>
  <c r="F97" i="23"/>
  <c r="E97" i="23"/>
  <c r="D97" i="23"/>
  <c r="F96" i="23"/>
  <c r="E96" i="23"/>
  <c r="D96" i="23"/>
  <c r="F95" i="23"/>
  <c r="E95" i="23"/>
  <c r="D95" i="23"/>
  <c r="F94" i="23"/>
  <c r="E94" i="23"/>
  <c r="D94" i="23"/>
  <c r="F93" i="23"/>
  <c r="E93" i="23"/>
  <c r="D93" i="23"/>
  <c r="F92" i="23"/>
  <c r="E92" i="23"/>
  <c r="D92" i="23"/>
  <c r="F91" i="23"/>
  <c r="E91" i="23"/>
  <c r="D91" i="23"/>
  <c r="F90" i="23"/>
  <c r="E90" i="23"/>
  <c r="D90" i="23"/>
  <c r="F89" i="23"/>
  <c r="E89" i="23"/>
  <c r="D89" i="23"/>
  <c r="F88" i="23"/>
  <c r="E88" i="23"/>
  <c r="D88" i="23"/>
  <c r="F87" i="23"/>
  <c r="E87" i="23"/>
  <c r="D87" i="23"/>
  <c r="F86" i="23"/>
  <c r="E86" i="23"/>
  <c r="D86" i="23"/>
  <c r="F85" i="23"/>
  <c r="E85" i="23"/>
  <c r="D85" i="23"/>
  <c r="F84" i="23"/>
  <c r="E84" i="23"/>
  <c r="D84" i="23"/>
  <c r="F83" i="23"/>
  <c r="E83" i="23"/>
  <c r="D83" i="23"/>
  <c r="F82" i="23"/>
  <c r="E82" i="23"/>
  <c r="D82" i="23"/>
  <c r="F81" i="23"/>
  <c r="E81" i="23"/>
  <c r="D81" i="23"/>
  <c r="K50" i="23"/>
  <c r="J50" i="23"/>
  <c r="I50" i="23"/>
  <c r="H50" i="23"/>
  <c r="G50" i="23"/>
  <c r="F50" i="23"/>
  <c r="E50" i="23"/>
  <c r="D50" i="23"/>
  <c r="K49" i="23"/>
  <c r="J49" i="23"/>
  <c r="I49" i="23"/>
  <c r="H49" i="23"/>
  <c r="G49" i="23"/>
  <c r="F49" i="23"/>
  <c r="E49" i="23"/>
  <c r="D49" i="23"/>
  <c r="K48" i="23"/>
  <c r="J48" i="23"/>
  <c r="I48" i="23"/>
  <c r="H48" i="23"/>
  <c r="G48" i="23"/>
  <c r="F48" i="23"/>
  <c r="E48" i="23"/>
  <c r="D48" i="23"/>
  <c r="K47" i="23"/>
  <c r="K59" i="23" s="1"/>
  <c r="J47" i="23"/>
  <c r="J59" i="23" s="1"/>
  <c r="I47" i="23"/>
  <c r="I59" i="23" s="1"/>
  <c r="H47" i="23"/>
  <c r="G47" i="23"/>
  <c r="G59" i="23" s="1"/>
  <c r="F47" i="23"/>
  <c r="F59" i="23" s="1"/>
  <c r="E47" i="23"/>
  <c r="E59" i="23" s="1"/>
  <c r="D47" i="23"/>
  <c r="K46" i="23"/>
  <c r="K58" i="23" s="1"/>
  <c r="J46" i="23"/>
  <c r="J58" i="23" s="1"/>
  <c r="I46" i="23"/>
  <c r="I58" i="23" s="1"/>
  <c r="H46" i="23"/>
  <c r="H58" i="23" s="1"/>
  <c r="G46" i="23"/>
  <c r="G58" i="23" s="1"/>
  <c r="F46" i="23"/>
  <c r="F58" i="23" s="1"/>
  <c r="E46" i="23"/>
  <c r="E58" i="23" s="1"/>
  <c r="D46" i="23"/>
  <c r="K45" i="23"/>
  <c r="K57" i="23" s="1"/>
  <c r="J45" i="23"/>
  <c r="I45" i="23"/>
  <c r="I57" i="23" s="1"/>
  <c r="H45" i="23"/>
  <c r="H57" i="23" s="1"/>
  <c r="G45" i="23"/>
  <c r="G57" i="23" s="1"/>
  <c r="F45" i="23"/>
  <c r="F57" i="23" s="1"/>
  <c r="E45" i="23"/>
  <c r="D45" i="23"/>
  <c r="K44" i="23"/>
  <c r="J44" i="23"/>
  <c r="I44" i="23"/>
  <c r="H44" i="23"/>
  <c r="G44" i="23"/>
  <c r="F44" i="23"/>
  <c r="E44" i="23"/>
  <c r="D44" i="23"/>
  <c r="K43" i="23"/>
  <c r="J43" i="23"/>
  <c r="I43" i="23"/>
  <c r="H43" i="23"/>
  <c r="G43" i="23"/>
  <c r="F43" i="23"/>
  <c r="E43" i="23"/>
  <c r="D43" i="23"/>
  <c r="K42" i="23"/>
  <c r="J42" i="23"/>
  <c r="I42" i="23"/>
  <c r="H42" i="23"/>
  <c r="G42" i="23"/>
  <c r="F42" i="23"/>
  <c r="E42" i="23"/>
  <c r="D42" i="23"/>
  <c r="K41" i="23"/>
  <c r="J41" i="23"/>
  <c r="I41" i="23"/>
  <c r="H41" i="23"/>
  <c r="G41" i="23"/>
  <c r="F41" i="23"/>
  <c r="E41" i="23"/>
  <c r="D41" i="23"/>
  <c r="K40" i="23"/>
  <c r="J40" i="23"/>
  <c r="I40" i="23"/>
  <c r="H40" i="23"/>
  <c r="G40" i="23"/>
  <c r="F40" i="23"/>
  <c r="E40" i="23"/>
  <c r="D40" i="23"/>
  <c r="K39" i="23"/>
  <c r="J39" i="23"/>
  <c r="I39" i="23"/>
  <c r="H39" i="23"/>
  <c r="G39" i="23"/>
  <c r="F39" i="23"/>
  <c r="E39" i="23"/>
  <c r="D39" i="23"/>
  <c r="K38" i="23"/>
  <c r="J38" i="23"/>
  <c r="I38" i="23"/>
  <c r="H38" i="23"/>
  <c r="H56" i="23" s="1"/>
  <c r="G38" i="23"/>
  <c r="F38" i="23"/>
  <c r="E38" i="23"/>
  <c r="E56" i="23" s="1"/>
  <c r="D38" i="23"/>
  <c r="D56" i="23" s="1"/>
  <c r="K37" i="23"/>
  <c r="K55" i="23" s="1"/>
  <c r="J37" i="23"/>
  <c r="J55" i="23" s="1"/>
  <c r="I37" i="23"/>
  <c r="H37" i="23"/>
  <c r="H55" i="23" s="1"/>
  <c r="G37" i="23"/>
  <c r="G55" i="23" s="1"/>
  <c r="F37" i="23"/>
  <c r="E37" i="23"/>
  <c r="E55" i="23" s="1"/>
  <c r="D37" i="23"/>
  <c r="D55" i="23" s="1"/>
  <c r="K35" i="23"/>
  <c r="J35" i="23"/>
  <c r="I35" i="23"/>
  <c r="H35" i="23"/>
  <c r="G35" i="23"/>
  <c r="F35" i="23"/>
  <c r="E35" i="23"/>
  <c r="D35" i="23"/>
  <c r="K33" i="23"/>
  <c r="J33" i="23"/>
  <c r="I33" i="23"/>
  <c r="H33" i="23"/>
  <c r="G33" i="23"/>
  <c r="F33" i="23"/>
  <c r="E33" i="23"/>
  <c r="D33" i="23"/>
  <c r="K32" i="23"/>
  <c r="J32" i="23"/>
  <c r="I32" i="23"/>
  <c r="H32" i="23"/>
  <c r="G32" i="23"/>
  <c r="F32" i="23"/>
  <c r="E32" i="23"/>
  <c r="D32" i="23"/>
  <c r="K31" i="23"/>
  <c r="J31" i="23"/>
  <c r="I31" i="23"/>
  <c r="H31" i="23"/>
  <c r="G31" i="23"/>
  <c r="F31" i="23"/>
  <c r="E31" i="23"/>
  <c r="D31" i="23"/>
  <c r="K30" i="23"/>
  <c r="J30" i="23"/>
  <c r="I30" i="23"/>
  <c r="H30" i="23"/>
  <c r="G30" i="23"/>
  <c r="F30" i="23"/>
  <c r="E30" i="23"/>
  <c r="D30" i="23"/>
  <c r="K29" i="23"/>
  <c r="J29" i="23"/>
  <c r="I29" i="23"/>
  <c r="H29" i="23"/>
  <c r="G29" i="23"/>
  <c r="F29" i="23"/>
  <c r="E29" i="23"/>
  <c r="D29" i="23"/>
  <c r="K28" i="23"/>
  <c r="J28" i="23"/>
  <c r="I28" i="23"/>
  <c r="H28" i="23"/>
  <c r="G28" i="23"/>
  <c r="F28" i="23"/>
  <c r="E28" i="23"/>
  <c r="D28" i="23"/>
  <c r="K27" i="23"/>
  <c r="J27" i="23"/>
  <c r="I27" i="23"/>
  <c r="H27" i="23"/>
  <c r="G27" i="23"/>
  <c r="F27" i="23"/>
  <c r="E27" i="23"/>
  <c r="D27" i="23"/>
  <c r="K26" i="23"/>
  <c r="J26" i="23"/>
  <c r="I26" i="23"/>
  <c r="H26" i="23"/>
  <c r="G26" i="23"/>
  <c r="F26" i="23"/>
  <c r="E26" i="23"/>
  <c r="D26" i="23"/>
  <c r="K25" i="23"/>
  <c r="J25" i="23"/>
  <c r="I25" i="23"/>
  <c r="H25" i="23"/>
  <c r="G25" i="23"/>
  <c r="F25" i="23"/>
  <c r="E25" i="23"/>
  <c r="D25" i="23"/>
  <c r="K23" i="23"/>
  <c r="J23" i="23"/>
  <c r="I23" i="23"/>
  <c r="H23" i="23"/>
  <c r="G23" i="23"/>
  <c r="F23" i="23"/>
  <c r="E23" i="23"/>
  <c r="D23" i="23"/>
  <c r="K19" i="23"/>
  <c r="J19" i="23"/>
  <c r="I19" i="23"/>
  <c r="H19" i="23"/>
  <c r="G19" i="23"/>
  <c r="F19" i="23"/>
  <c r="E19" i="23"/>
  <c r="D19" i="23"/>
  <c r="K18" i="23"/>
  <c r="J18" i="23"/>
  <c r="I18" i="23"/>
  <c r="H18" i="23"/>
  <c r="G18" i="23"/>
  <c r="F18" i="23"/>
  <c r="E18" i="23"/>
  <c r="D18" i="23"/>
  <c r="K17" i="23"/>
  <c r="J17" i="23"/>
  <c r="I17" i="23"/>
  <c r="H17" i="23"/>
  <c r="G17" i="23"/>
  <c r="F17" i="23"/>
  <c r="E17" i="23"/>
  <c r="D17" i="23"/>
  <c r="F13" i="23"/>
  <c r="E13" i="23"/>
  <c r="D13" i="23"/>
  <c r="F12" i="23"/>
  <c r="E12" i="23"/>
  <c r="D12" i="23"/>
  <c r="F9" i="23"/>
  <c r="E9" i="23"/>
  <c r="D9" i="23"/>
  <c r="F8" i="23"/>
  <c r="E8" i="23"/>
  <c r="D8" i="23"/>
  <c r="K35" i="16"/>
  <c r="J35" i="16"/>
  <c r="I35" i="16"/>
  <c r="H35" i="16"/>
  <c r="G35" i="16"/>
  <c r="F35" i="16"/>
  <c r="E35" i="16"/>
  <c r="D35" i="16"/>
  <c r="K33" i="16"/>
  <c r="J33" i="16"/>
  <c r="I33" i="16"/>
  <c r="H33" i="16"/>
  <c r="G33" i="16"/>
  <c r="F33" i="16"/>
  <c r="E33" i="16"/>
  <c r="D33" i="16"/>
  <c r="K32" i="16"/>
  <c r="J32" i="16"/>
  <c r="I32" i="16"/>
  <c r="H32" i="16"/>
  <c r="G32" i="16"/>
  <c r="F32" i="16"/>
  <c r="E32" i="16"/>
  <c r="D32" i="16"/>
  <c r="K31" i="16"/>
  <c r="J31" i="16"/>
  <c r="I31" i="16"/>
  <c r="H31" i="16"/>
  <c r="G31" i="16"/>
  <c r="F31" i="16"/>
  <c r="E31" i="16"/>
  <c r="D31" i="16"/>
  <c r="K30" i="16"/>
  <c r="J30" i="16"/>
  <c r="I30" i="16"/>
  <c r="H30" i="16"/>
  <c r="G30" i="16"/>
  <c r="F30" i="16"/>
  <c r="E30" i="16"/>
  <c r="D30" i="16"/>
  <c r="K29" i="16"/>
  <c r="J29" i="16"/>
  <c r="I29" i="16"/>
  <c r="H29" i="16"/>
  <c r="G29" i="16"/>
  <c r="F29" i="16"/>
  <c r="E29" i="16"/>
  <c r="D29" i="16"/>
  <c r="K28" i="16"/>
  <c r="J28" i="16"/>
  <c r="I28" i="16"/>
  <c r="H28" i="16"/>
  <c r="G28" i="16"/>
  <c r="F28" i="16"/>
  <c r="E28" i="16"/>
  <c r="D28" i="16"/>
  <c r="K27" i="16"/>
  <c r="J27" i="16"/>
  <c r="I27" i="16"/>
  <c r="H27" i="16"/>
  <c r="G27" i="16"/>
  <c r="F27" i="16"/>
  <c r="E27" i="16"/>
  <c r="D27" i="16"/>
  <c r="K26" i="16"/>
  <c r="J26" i="16"/>
  <c r="I26" i="16"/>
  <c r="H26" i="16"/>
  <c r="G26" i="16"/>
  <c r="F26" i="16"/>
  <c r="E26" i="16"/>
  <c r="D26" i="16"/>
  <c r="K25" i="16"/>
  <c r="J25" i="16"/>
  <c r="I25" i="16"/>
  <c r="H25" i="16"/>
  <c r="G25" i="16"/>
  <c r="F25" i="16"/>
  <c r="E25" i="16"/>
  <c r="D25" i="16"/>
  <c r="K23" i="16"/>
  <c r="J23" i="16"/>
  <c r="I23" i="16"/>
  <c r="H23" i="16"/>
  <c r="G23" i="16"/>
  <c r="F23" i="16"/>
  <c r="E23" i="16"/>
  <c r="D23" i="16"/>
  <c r="K50" i="16"/>
  <c r="J50" i="16"/>
  <c r="I50" i="16"/>
  <c r="H50" i="16"/>
  <c r="G50" i="16"/>
  <c r="F50" i="16"/>
  <c r="E50" i="16"/>
  <c r="K47" i="16"/>
  <c r="J47" i="16"/>
  <c r="I47" i="16"/>
  <c r="H47" i="16"/>
  <c r="G47" i="16"/>
  <c r="F47" i="16"/>
  <c r="E47" i="16"/>
  <c r="D47" i="16"/>
  <c r="K46" i="16"/>
  <c r="J46" i="16"/>
  <c r="I46" i="16"/>
  <c r="H46" i="16"/>
  <c r="G46" i="16"/>
  <c r="F46" i="16"/>
  <c r="E46" i="16"/>
  <c r="D46" i="16"/>
  <c r="D50" i="16"/>
  <c r="K49" i="16"/>
  <c r="J49" i="16"/>
  <c r="I49" i="16"/>
  <c r="H49" i="16"/>
  <c r="G49" i="16"/>
  <c r="F49" i="16"/>
  <c r="E49" i="16"/>
  <c r="D49" i="16"/>
  <c r="K48" i="16"/>
  <c r="J48" i="16"/>
  <c r="I48" i="16"/>
  <c r="H48" i="16"/>
  <c r="G48" i="16"/>
  <c r="F48" i="16"/>
  <c r="E48" i="16"/>
  <c r="D48" i="16"/>
  <c r="K45" i="16"/>
  <c r="J45" i="16"/>
  <c r="I45" i="16"/>
  <c r="H45" i="16"/>
  <c r="G45" i="16"/>
  <c r="F45" i="16"/>
  <c r="E45" i="16"/>
  <c r="D45" i="16"/>
  <c r="G55" i="25" l="1"/>
  <c r="H58" i="24"/>
  <c r="H55" i="26"/>
  <c r="G57" i="26"/>
  <c r="J53" i="26"/>
  <c r="I56" i="26"/>
  <c r="I54" i="26"/>
  <c r="D54" i="26"/>
  <c r="E55" i="26"/>
  <c r="K54" i="26"/>
  <c r="K55" i="26"/>
  <c r="K56" i="26"/>
  <c r="J54" i="26"/>
  <c r="E53" i="26"/>
  <c r="D55" i="26"/>
  <c r="F55" i="26"/>
  <c r="F53" i="26"/>
  <c r="E56" i="26"/>
  <c r="G53" i="26"/>
  <c r="F54" i="26"/>
  <c r="J60" i="26"/>
  <c r="W68" i="12" s="1"/>
  <c r="I55" i="26"/>
  <c r="I53" i="26"/>
  <c r="E54" i="26"/>
  <c r="K53" i="26"/>
  <c r="H59" i="26"/>
  <c r="H58" i="26"/>
  <c r="H56" i="26"/>
  <c r="H54" i="26"/>
  <c r="G54" i="26"/>
  <c r="G58" i="26"/>
  <c r="D53" i="26"/>
  <c r="H53" i="26"/>
  <c r="E55" i="25"/>
  <c r="G57" i="25"/>
  <c r="E54" i="25"/>
  <c r="F55" i="25"/>
  <c r="H57" i="25"/>
  <c r="F58" i="25"/>
  <c r="F56" i="25"/>
  <c r="K55" i="25"/>
  <c r="I54" i="25"/>
  <c r="I53" i="25"/>
  <c r="K56" i="25"/>
  <c r="K53" i="25"/>
  <c r="K54" i="25"/>
  <c r="H53" i="25"/>
  <c r="G56" i="25"/>
  <c r="J55" i="25"/>
  <c r="H56" i="25"/>
  <c r="F54" i="25"/>
  <c r="D54" i="25"/>
  <c r="F53" i="25"/>
  <c r="H54" i="25"/>
  <c r="J58" i="25"/>
  <c r="J53" i="25"/>
  <c r="J57" i="25"/>
  <c r="G54" i="25"/>
  <c r="J54" i="25"/>
  <c r="D53" i="25"/>
  <c r="E53" i="25"/>
  <c r="I56" i="24"/>
  <c r="E55" i="24"/>
  <c r="F57" i="24"/>
  <c r="D57" i="24"/>
  <c r="F56" i="24"/>
  <c r="F59" i="24"/>
  <c r="F58" i="24"/>
  <c r="K56" i="24"/>
  <c r="D53" i="24"/>
  <c r="G58" i="24"/>
  <c r="J56" i="24"/>
  <c r="H53" i="24"/>
  <c r="F53" i="24"/>
  <c r="G55" i="24"/>
  <c r="G53" i="24"/>
  <c r="D56" i="24"/>
  <c r="K57" i="24"/>
  <c r="K58" i="24"/>
  <c r="J53" i="24"/>
  <c r="K59" i="24"/>
  <c r="E53" i="24"/>
  <c r="K53" i="24"/>
  <c r="D58" i="24"/>
  <c r="G56" i="24"/>
  <c r="I53" i="24"/>
  <c r="F55" i="24"/>
  <c r="E56" i="24"/>
  <c r="G54" i="24"/>
  <c r="H54" i="24"/>
  <c r="I54" i="24"/>
  <c r="J54" i="24"/>
  <c r="K54" i="24"/>
  <c r="D54" i="24"/>
  <c r="E54" i="24"/>
  <c r="F54" i="24"/>
  <c r="F56" i="23"/>
  <c r="J57" i="23"/>
  <c r="D58" i="23"/>
  <c r="H59" i="23"/>
  <c r="K56" i="23"/>
  <c r="F55" i="23"/>
  <c r="I55" i="23"/>
  <c r="G56" i="23"/>
  <c r="H53" i="23"/>
  <c r="I53" i="23"/>
  <c r="E57" i="23"/>
  <c r="K53" i="23"/>
  <c r="J56" i="23"/>
  <c r="G53" i="23"/>
  <c r="D59" i="23"/>
  <c r="D57" i="23"/>
  <c r="I56" i="23"/>
  <c r="E53" i="23"/>
  <c r="F53" i="23"/>
  <c r="J53" i="23"/>
  <c r="D53" i="23"/>
  <c r="D54" i="23"/>
  <c r="J54" i="23"/>
  <c r="K54" i="23"/>
  <c r="E54" i="23"/>
  <c r="F54" i="23"/>
  <c r="G54" i="23"/>
  <c r="H54" i="23"/>
  <c r="I54" i="23"/>
  <c r="G53" i="16"/>
  <c r="J57" i="16"/>
  <c r="E53" i="16"/>
  <c r="F57" i="16"/>
  <c r="D53" i="16"/>
  <c r="K57" i="16"/>
  <c r="D57" i="16"/>
  <c r="G57" i="16"/>
  <c r="H53" i="16"/>
  <c r="J53" i="16"/>
  <c r="F53" i="16"/>
  <c r="K53" i="16"/>
  <c r="H59" i="16"/>
  <c r="H57" i="16"/>
  <c r="F59" i="16"/>
  <c r="I53" i="16"/>
  <c r="J59" i="16"/>
  <c r="D58" i="16"/>
  <c r="D59" i="16"/>
  <c r="F58" i="16"/>
  <c r="D54" i="16"/>
  <c r="H58" i="16"/>
  <c r="J58" i="16"/>
  <c r="J54" i="16"/>
  <c r="E57" i="16"/>
  <c r="E58" i="16"/>
  <c r="E59" i="16"/>
  <c r="K54" i="16"/>
  <c r="G58" i="16"/>
  <c r="G59" i="16"/>
  <c r="E54" i="16"/>
  <c r="F54" i="16"/>
  <c r="I57" i="16"/>
  <c r="I58" i="16"/>
  <c r="I59" i="16"/>
  <c r="G54" i="16"/>
  <c r="H54" i="16"/>
  <c r="K58" i="16"/>
  <c r="K59" i="16"/>
  <c r="I54" i="16"/>
  <c r="K44" i="16"/>
  <c r="J44" i="16"/>
  <c r="I44" i="16"/>
  <c r="H44" i="16"/>
  <c r="G44" i="16"/>
  <c r="F44" i="16"/>
  <c r="E44" i="16"/>
  <c r="D44" i="16"/>
  <c r="K42" i="16"/>
  <c r="J42" i="16"/>
  <c r="I42" i="16"/>
  <c r="H42" i="16"/>
  <c r="G42" i="16"/>
  <c r="F42" i="16"/>
  <c r="E42" i="16"/>
  <c r="D42" i="16"/>
  <c r="K40" i="16"/>
  <c r="J40" i="16"/>
  <c r="I40" i="16"/>
  <c r="H40" i="16"/>
  <c r="G40" i="16"/>
  <c r="F40" i="16"/>
  <c r="E40" i="16"/>
  <c r="D40" i="16"/>
  <c r="K43" i="16"/>
  <c r="J43" i="16"/>
  <c r="I43" i="16"/>
  <c r="H43" i="16"/>
  <c r="G43" i="16"/>
  <c r="F43" i="16"/>
  <c r="E43" i="16"/>
  <c r="D43" i="16"/>
  <c r="K41" i="16"/>
  <c r="J41" i="16"/>
  <c r="I41" i="16"/>
  <c r="H41" i="16"/>
  <c r="G41" i="16"/>
  <c r="F41" i="16"/>
  <c r="E41" i="16"/>
  <c r="D41" i="16"/>
  <c r="K39" i="16"/>
  <c r="J39" i="16"/>
  <c r="I39" i="16"/>
  <c r="H39" i="16"/>
  <c r="G39" i="16"/>
  <c r="F39" i="16"/>
  <c r="E39" i="16"/>
  <c r="D39" i="16"/>
  <c r="K38" i="16"/>
  <c r="J38" i="16"/>
  <c r="I38" i="16"/>
  <c r="H38" i="16"/>
  <c r="G38" i="16"/>
  <c r="F38" i="16"/>
  <c r="E38" i="16"/>
  <c r="D38" i="16"/>
  <c r="K37" i="16"/>
  <c r="J37" i="16"/>
  <c r="I37" i="16"/>
  <c r="H37" i="16"/>
  <c r="G37" i="16"/>
  <c r="F37" i="16"/>
  <c r="E37" i="16"/>
  <c r="D37" i="16"/>
  <c r="G56" i="16" l="1"/>
  <c r="J56" i="16"/>
  <c r="K60" i="26"/>
  <c r="F60" i="26"/>
  <c r="D60" i="26"/>
  <c r="E60" i="26"/>
  <c r="I60" i="26"/>
  <c r="H60" i="26"/>
  <c r="G60" i="26"/>
  <c r="E60" i="25"/>
  <c r="W73" i="10" s="1"/>
  <c r="I60" i="25"/>
  <c r="G60" i="25"/>
  <c r="K60" i="25"/>
  <c r="H60" i="25"/>
  <c r="D60" i="25"/>
  <c r="W14" i="10" s="1"/>
  <c r="F60" i="25"/>
  <c r="J60" i="25"/>
  <c r="H60" i="24"/>
  <c r="I60" i="24"/>
  <c r="J60" i="24"/>
  <c r="K60" i="24"/>
  <c r="W18" i="2" s="1"/>
  <c r="D60" i="24"/>
  <c r="G60" i="24"/>
  <c r="E60" i="24"/>
  <c r="W90" i="2" s="1"/>
  <c r="F60" i="24"/>
  <c r="J55" i="16"/>
  <c r="G55" i="16"/>
  <c r="H60" i="23"/>
  <c r="W37" i="7" s="1"/>
  <c r="K60" i="23"/>
  <c r="G60" i="23"/>
  <c r="E60" i="23"/>
  <c r="D60" i="23"/>
  <c r="I60" i="23"/>
  <c r="F60" i="23"/>
  <c r="J60" i="23"/>
  <c r="D55" i="16"/>
  <c r="D56" i="16"/>
  <c r="E56" i="16"/>
  <c r="H56" i="16"/>
  <c r="I56" i="16"/>
  <c r="I55" i="16"/>
  <c r="F56" i="16"/>
  <c r="H55" i="16"/>
  <c r="F55" i="16"/>
  <c r="E55" i="16"/>
  <c r="K56" i="16"/>
  <c r="K55" i="16"/>
  <c r="F13" i="16"/>
  <c r="W41" i="7" l="1"/>
  <c r="D60" i="16"/>
  <c r="G60" i="16"/>
  <c r="W14" i="12"/>
  <c r="W11" i="10"/>
  <c r="W12" i="7"/>
  <c r="W16" i="7"/>
  <c r="W11" i="7"/>
  <c r="W15" i="7"/>
  <c r="W19" i="7"/>
  <c r="W18" i="7"/>
  <c r="W17" i="7"/>
  <c r="W14" i="7"/>
  <c r="W13" i="7"/>
  <c r="J60" i="16"/>
  <c r="W11" i="12"/>
  <c r="W12" i="12"/>
  <c r="W15" i="12"/>
  <c r="W70" i="12"/>
  <c r="W69" i="12"/>
  <c r="W71" i="12"/>
  <c r="W55" i="12"/>
  <c r="W54" i="12"/>
  <c r="W53" i="12"/>
  <c r="W52" i="12"/>
  <c r="W50" i="12"/>
  <c r="W59" i="12"/>
  <c r="W51" i="12"/>
  <c r="W49" i="12"/>
  <c r="W48" i="12"/>
  <c r="W47" i="12"/>
  <c r="W46" i="12"/>
  <c r="W45" i="12"/>
  <c r="W43" i="12"/>
  <c r="W44" i="12"/>
  <c r="W16" i="12"/>
  <c r="W29" i="12"/>
  <c r="W27" i="12"/>
  <c r="W28" i="12"/>
  <c r="W13" i="12"/>
  <c r="W10" i="12"/>
  <c r="W24" i="12"/>
  <c r="W23" i="12"/>
  <c r="W22" i="12"/>
  <c r="W21" i="12"/>
  <c r="W20" i="12"/>
  <c r="W19" i="12"/>
  <c r="W18" i="12"/>
  <c r="W18" i="10"/>
  <c r="W86" i="10"/>
  <c r="W84" i="10"/>
  <c r="W85" i="10"/>
  <c r="W82" i="10"/>
  <c r="W83" i="10"/>
  <c r="W72" i="10"/>
  <c r="W71" i="10"/>
  <c r="W67" i="10"/>
  <c r="W66" i="10"/>
  <c r="W65" i="10"/>
  <c r="W61" i="10"/>
  <c r="W64" i="10"/>
  <c r="W63" i="10"/>
  <c r="W62" i="10"/>
  <c r="W59" i="10"/>
  <c r="W60" i="10"/>
  <c r="W57" i="10"/>
  <c r="W56" i="10"/>
  <c r="W55" i="10"/>
  <c r="W54" i="10"/>
  <c r="W53" i="10"/>
  <c r="W52" i="10"/>
  <c r="W51" i="10"/>
  <c r="W19" i="10"/>
  <c r="W34" i="10"/>
  <c r="W33" i="10"/>
  <c r="W32" i="10"/>
  <c r="W31" i="10"/>
  <c r="W27" i="10"/>
  <c r="W26" i="10"/>
  <c r="W25" i="10"/>
  <c r="W23" i="10"/>
  <c r="W28" i="10"/>
  <c r="W24" i="10"/>
  <c r="W17" i="2"/>
  <c r="W11" i="2"/>
  <c r="W16" i="2"/>
  <c r="W15" i="2"/>
  <c r="W12" i="2"/>
  <c r="W16" i="10"/>
  <c r="W15" i="10"/>
  <c r="W12" i="10"/>
  <c r="W17" i="10"/>
  <c r="W13" i="10"/>
  <c r="W106" i="2"/>
  <c r="W105" i="2"/>
  <c r="W104" i="2"/>
  <c r="W103" i="2"/>
  <c r="W102" i="2"/>
  <c r="W101" i="2"/>
  <c r="W100" i="2"/>
  <c r="W89" i="2"/>
  <c r="W87" i="2"/>
  <c r="W86" i="2"/>
  <c r="W88" i="2"/>
  <c r="W82" i="2"/>
  <c r="W81" i="2"/>
  <c r="W80" i="2"/>
  <c r="W77" i="2"/>
  <c r="W79" i="2"/>
  <c r="W78" i="2"/>
  <c r="W76" i="2"/>
  <c r="W74" i="2"/>
  <c r="W75" i="2"/>
  <c r="W72" i="2"/>
  <c r="W71" i="2"/>
  <c r="W69" i="2"/>
  <c r="W70" i="2"/>
  <c r="W67" i="2"/>
  <c r="W66" i="2"/>
  <c r="W65" i="2"/>
  <c r="W64" i="2"/>
  <c r="W63" i="2"/>
  <c r="W62" i="2"/>
  <c r="W61" i="2"/>
  <c r="W23" i="2"/>
  <c r="W42" i="2"/>
  <c r="W41" i="2"/>
  <c r="W40" i="2"/>
  <c r="W39" i="2"/>
  <c r="W38" i="2"/>
  <c r="W43" i="2"/>
  <c r="W32" i="2"/>
  <c r="W31" i="2"/>
  <c r="W30" i="2"/>
  <c r="W29" i="2"/>
  <c r="W28" i="2"/>
  <c r="W27" i="2"/>
  <c r="W19" i="2"/>
  <c r="W20" i="2"/>
  <c r="W13" i="2"/>
  <c r="W14" i="2"/>
  <c r="W150" i="7"/>
  <c r="W149" i="7"/>
  <c r="W148" i="7"/>
  <c r="W147" i="7"/>
  <c r="W146" i="7"/>
  <c r="W144" i="7"/>
  <c r="W143" i="7"/>
  <c r="W142" i="7"/>
  <c r="W141" i="7"/>
  <c r="W140" i="7"/>
  <c r="W139" i="7"/>
  <c r="W128" i="7"/>
  <c r="W127" i="7"/>
  <c r="W124" i="7"/>
  <c r="W123" i="7"/>
  <c r="W122" i="7"/>
  <c r="W121" i="7"/>
  <c r="W120" i="7"/>
  <c r="W119" i="7"/>
  <c r="W115" i="7"/>
  <c r="W114" i="7"/>
  <c r="W113" i="7"/>
  <c r="W112" i="7"/>
  <c r="W111" i="7"/>
  <c r="W110" i="7"/>
  <c r="W109" i="7"/>
  <c r="W108" i="7"/>
  <c r="W107" i="7"/>
  <c r="W106" i="7"/>
  <c r="W105" i="7"/>
  <c r="W38" i="7"/>
  <c r="W40" i="7"/>
  <c r="W36" i="7"/>
  <c r="W96" i="7"/>
  <c r="W95" i="7"/>
  <c r="W94" i="7"/>
  <c r="W93" i="7"/>
  <c r="W92" i="7"/>
  <c r="W91" i="7"/>
  <c r="W89" i="7"/>
  <c r="W88" i="7"/>
  <c r="W87" i="7"/>
  <c r="W86" i="7"/>
  <c r="W85" i="7"/>
  <c r="W84" i="7"/>
  <c r="W83" i="7"/>
  <c r="W39" i="7"/>
  <c r="W67" i="7"/>
  <c r="W66" i="7"/>
  <c r="W65" i="7"/>
  <c r="W64" i="7"/>
  <c r="W63" i="7"/>
  <c r="W16" i="5"/>
  <c r="W42" i="7"/>
  <c r="W31" i="7"/>
  <c r="W30" i="7"/>
  <c r="W29" i="7"/>
  <c r="W54" i="7"/>
  <c r="W53" i="7"/>
  <c r="W52" i="7"/>
  <c r="W51" i="7"/>
  <c r="W50" i="7"/>
  <c r="W49" i="7"/>
  <c r="W26" i="7"/>
  <c r="W25" i="7"/>
  <c r="W24" i="7"/>
  <c r="W23" i="7"/>
  <c r="W22" i="7"/>
  <c r="W21" i="7"/>
  <c r="W20" i="7"/>
  <c r="E60" i="16"/>
  <c r="H60" i="16"/>
  <c r="I60" i="16"/>
  <c r="F60" i="16"/>
  <c r="K60" i="16"/>
  <c r="F113" i="16"/>
  <c r="E113" i="16"/>
  <c r="D113" i="16"/>
  <c r="F112" i="16"/>
  <c r="E112" i="16"/>
  <c r="D112" i="16"/>
  <c r="F111" i="16"/>
  <c r="E111" i="16"/>
  <c r="D111" i="16"/>
  <c r="F110" i="16"/>
  <c r="E110" i="16"/>
  <c r="D110" i="16"/>
  <c r="F109" i="16"/>
  <c r="E109" i="16"/>
  <c r="D109" i="16"/>
  <c r="F108" i="16"/>
  <c r="E108" i="16"/>
  <c r="D108" i="16"/>
  <c r="F107" i="16"/>
  <c r="E107" i="16"/>
  <c r="D107" i="16"/>
  <c r="F106" i="16"/>
  <c r="E106" i="16"/>
  <c r="D106" i="16"/>
  <c r="F105" i="16"/>
  <c r="E105" i="16"/>
  <c r="D105" i="16"/>
  <c r="F104" i="16"/>
  <c r="E104" i="16"/>
  <c r="D104" i="16"/>
  <c r="F103" i="16"/>
  <c r="E103" i="16"/>
  <c r="D103" i="16"/>
  <c r="F102" i="16"/>
  <c r="E102" i="16"/>
  <c r="D102" i="16"/>
  <c r="F101" i="16"/>
  <c r="E101" i="16"/>
  <c r="D101" i="16"/>
  <c r="F100" i="16"/>
  <c r="E100" i="16"/>
  <c r="D100" i="16"/>
  <c r="F99" i="16"/>
  <c r="E99" i="16"/>
  <c r="D99" i="16"/>
  <c r="F98" i="16"/>
  <c r="E98" i="16"/>
  <c r="D98" i="16"/>
  <c r="F97" i="16"/>
  <c r="E97" i="16"/>
  <c r="D97" i="16"/>
  <c r="F96" i="16"/>
  <c r="E96" i="16"/>
  <c r="D96" i="16"/>
  <c r="F95" i="16"/>
  <c r="E95" i="16"/>
  <c r="D95" i="16"/>
  <c r="F94" i="16"/>
  <c r="E94" i="16"/>
  <c r="D94" i="16"/>
  <c r="F93" i="16"/>
  <c r="E93" i="16"/>
  <c r="D93" i="16"/>
  <c r="F92" i="16"/>
  <c r="E92" i="16"/>
  <c r="D92" i="16"/>
  <c r="F91" i="16"/>
  <c r="E91" i="16"/>
  <c r="D91" i="16"/>
  <c r="F90" i="16"/>
  <c r="E90" i="16"/>
  <c r="D90" i="16"/>
  <c r="F89" i="16"/>
  <c r="E89" i="16"/>
  <c r="D89" i="16"/>
  <c r="F88" i="16"/>
  <c r="E88" i="16"/>
  <c r="D88" i="16"/>
  <c r="F87" i="16"/>
  <c r="E87" i="16"/>
  <c r="D87" i="16"/>
  <c r="F86" i="16"/>
  <c r="E86" i="16"/>
  <c r="D86" i="16"/>
  <c r="F85" i="16"/>
  <c r="E85" i="16"/>
  <c r="D85" i="16"/>
  <c r="F84" i="16"/>
  <c r="E84" i="16"/>
  <c r="D84" i="16"/>
  <c r="F83" i="16"/>
  <c r="E83" i="16"/>
  <c r="D83" i="16"/>
  <c r="F82" i="16"/>
  <c r="E82" i="16"/>
  <c r="D82" i="16"/>
  <c r="F81" i="16"/>
  <c r="E81" i="16"/>
  <c r="D81" i="16"/>
  <c r="K19" i="16"/>
  <c r="J19" i="16"/>
  <c r="I19" i="16"/>
  <c r="H19" i="16"/>
  <c r="G19" i="16"/>
  <c r="F19" i="16"/>
  <c r="E19" i="16"/>
  <c r="D19" i="16"/>
  <c r="K18" i="16"/>
  <c r="J18" i="16"/>
  <c r="I18" i="16"/>
  <c r="H18" i="16"/>
  <c r="G18" i="16"/>
  <c r="F18" i="16"/>
  <c r="E18" i="16"/>
  <c r="D18" i="16"/>
  <c r="K17" i="16"/>
  <c r="J17" i="16"/>
  <c r="I17" i="16"/>
  <c r="H17" i="16"/>
  <c r="G17" i="16"/>
  <c r="F17" i="16"/>
  <c r="E17" i="16"/>
  <c r="D17" i="16"/>
  <c r="E13" i="16"/>
  <c r="D13" i="16"/>
  <c r="F12" i="16"/>
  <c r="E12" i="16"/>
  <c r="D12" i="16"/>
  <c r="F9" i="16"/>
  <c r="E9" i="16"/>
  <c r="D9" i="16"/>
  <c r="F8" i="16"/>
  <c r="E8" i="16"/>
  <c r="D8" i="16"/>
  <c r="W173" i="5" l="1"/>
  <c r="W99" i="5"/>
  <c r="W100" i="5"/>
  <c r="W105" i="5"/>
  <c r="W104" i="5"/>
  <c r="W101" i="5"/>
  <c r="W131" i="5"/>
  <c r="W129" i="5"/>
  <c r="W130" i="5"/>
  <c r="W126" i="5"/>
  <c r="W128" i="5"/>
  <c r="W13" i="5"/>
  <c r="W102" i="5"/>
  <c r="W15" i="5"/>
  <c r="W103" i="5"/>
  <c r="W18" i="5"/>
  <c r="W14" i="5"/>
  <c r="W127" i="5"/>
  <c r="W17" i="5"/>
  <c r="W28" i="5"/>
  <c r="W26" i="5"/>
  <c r="W27" i="5"/>
  <c r="W30" i="5"/>
  <c r="W11" i="5"/>
  <c r="W79" i="5"/>
  <c r="W172" i="5"/>
  <c r="W25" i="5"/>
  <c r="W29" i="5"/>
  <c r="W174" i="5"/>
  <c r="W169" i="5"/>
  <c r="W170" i="5"/>
  <c r="W171" i="5"/>
  <c r="W19" i="5"/>
  <c r="W12" i="5"/>
  <c r="W20" i="5"/>
  <c r="W21" i="5"/>
  <c r="W24" i="5"/>
  <c r="W23" i="5"/>
  <c r="W22" i="5"/>
  <c r="W177" i="5"/>
  <c r="W180" i="5"/>
  <c r="W179" i="5"/>
  <c r="W178" i="5"/>
  <c r="W182" i="5"/>
  <c r="W181" i="5"/>
  <c r="W152" i="5"/>
  <c r="W156" i="5"/>
  <c r="W155" i="5"/>
  <c r="W151" i="5"/>
  <c r="W153" i="5"/>
  <c r="W154" i="5"/>
  <c r="W147" i="5"/>
  <c r="W146" i="5"/>
  <c r="W145" i="5"/>
  <c r="W144" i="5"/>
  <c r="W143" i="5"/>
  <c r="W148" i="5"/>
  <c r="W139" i="5"/>
  <c r="W138" i="5"/>
  <c r="W137" i="5"/>
  <c r="W136" i="5"/>
  <c r="W135" i="5"/>
  <c r="W134" i="5"/>
  <c r="W133" i="5"/>
  <c r="W46" i="5"/>
  <c r="W76" i="5"/>
  <c r="W107" i="5"/>
  <c r="W111" i="5"/>
  <c r="W110" i="5"/>
  <c r="W109" i="5"/>
  <c r="W108" i="5"/>
  <c r="W112" i="5"/>
  <c r="W50" i="5"/>
  <c r="W47" i="5"/>
  <c r="W48" i="5"/>
  <c r="W75" i="5"/>
  <c r="W78" i="5"/>
  <c r="W44" i="5"/>
  <c r="W77" i="5"/>
  <c r="W45" i="5"/>
  <c r="W74" i="5"/>
  <c r="W49" i="5"/>
  <c r="W61" i="5"/>
  <c r="W60" i="5"/>
  <c r="W59" i="5"/>
  <c r="W58" i="5"/>
  <c r="W57" i="5"/>
  <c r="W62" i="5"/>
  <c r="W33" i="5"/>
  <c r="W37" i="5"/>
  <c r="W36" i="5"/>
  <c r="W35" i="5"/>
  <c r="W34" i="5"/>
  <c r="W38" i="5"/>
  <c r="F9" i="13"/>
  <c r="G9" i="13"/>
  <c r="H9" i="13"/>
  <c r="I9" i="13"/>
  <c r="J9" i="13"/>
  <c r="K9" i="13"/>
  <c r="L9" i="13"/>
  <c r="M9" i="13"/>
  <c r="N9" i="13"/>
  <c r="O9" i="13"/>
  <c r="P9" i="13"/>
  <c r="Q9" i="13"/>
  <c r="R9" i="13"/>
  <c r="S9" i="13"/>
  <c r="T9" i="13"/>
  <c r="U9" i="13"/>
  <c r="X12" i="13"/>
  <c r="X13" i="13"/>
  <c r="X14" i="13"/>
  <c r="X15" i="13"/>
  <c r="X16" i="13"/>
  <c r="X17" i="13"/>
  <c r="X18" i="13"/>
  <c r="X19" i="13"/>
  <c r="X20" i="13"/>
  <c r="X21" i="13"/>
  <c r="X22" i="13"/>
  <c r="X23" i="13"/>
  <c r="X24" i="13"/>
  <c r="X25" i="13"/>
  <c r="X26" i="13"/>
  <c r="X27" i="13"/>
  <c r="U30" i="13"/>
  <c r="T30" i="13"/>
  <c r="S30" i="13"/>
  <c r="R30" i="13"/>
  <c r="Q30" i="13"/>
  <c r="P30" i="13"/>
  <c r="O30" i="13"/>
  <c r="N30" i="13"/>
  <c r="M30" i="13"/>
  <c r="L30" i="13"/>
  <c r="K30" i="13"/>
  <c r="J30" i="13"/>
  <c r="I30" i="13"/>
  <c r="H30" i="13"/>
  <c r="G30" i="13"/>
  <c r="F30" i="13"/>
  <c r="C13" i="13"/>
  <c r="C14" i="13"/>
  <c r="C15" i="13"/>
  <c r="C16" i="13"/>
  <c r="C17" i="13"/>
  <c r="C18" i="13"/>
  <c r="C19" i="13"/>
  <c r="C20" i="13"/>
  <c r="C21" i="13"/>
  <c r="C22" i="13"/>
  <c r="C23" i="13"/>
  <c r="C24" i="13"/>
  <c r="C25" i="13"/>
  <c r="C26" i="13"/>
  <c r="C27" i="13"/>
  <c r="C12" i="13"/>
  <c r="F7" i="11"/>
  <c r="G7" i="11"/>
  <c r="H7" i="11"/>
  <c r="I7" i="11"/>
  <c r="J7" i="11"/>
  <c r="K7" i="11"/>
  <c r="L7" i="11"/>
  <c r="M7" i="11"/>
  <c r="N7" i="11"/>
  <c r="O7" i="11"/>
  <c r="P7" i="11"/>
  <c r="Q7" i="11"/>
  <c r="R7" i="11"/>
  <c r="S7" i="11"/>
  <c r="T7" i="11"/>
  <c r="U7" i="11"/>
  <c r="V7" i="11"/>
  <c r="W7" i="11"/>
  <c r="X7" i="11"/>
  <c r="AB10" i="11"/>
  <c r="AB11" i="11"/>
  <c r="AB12" i="11"/>
  <c r="AB13" i="11"/>
  <c r="AB14" i="11"/>
  <c r="AB15" i="11"/>
  <c r="AB16" i="11"/>
  <c r="AB17" i="11"/>
  <c r="AB18" i="11"/>
  <c r="AB19" i="11"/>
  <c r="AB20" i="11"/>
  <c r="AB21" i="11"/>
  <c r="AB22" i="11"/>
  <c r="AB23" i="11"/>
  <c r="AB24" i="11"/>
  <c r="AB25" i="11"/>
  <c r="AB26" i="11"/>
  <c r="AB27" i="11"/>
  <c r="AB28" i="11"/>
  <c r="Y7" i="11"/>
  <c r="AB29" i="11"/>
  <c r="Y32" i="11"/>
  <c r="X32" i="11"/>
  <c r="W32" i="11"/>
  <c r="V32" i="11"/>
  <c r="U32" i="11"/>
  <c r="T32" i="11"/>
  <c r="S32" i="11"/>
  <c r="R32" i="11"/>
  <c r="Q32" i="11"/>
  <c r="P32" i="11"/>
  <c r="O32" i="11"/>
  <c r="N32" i="11"/>
  <c r="M32" i="11"/>
  <c r="L32" i="11"/>
  <c r="K32" i="11"/>
  <c r="J32" i="11"/>
  <c r="I32" i="11"/>
  <c r="H32" i="11"/>
  <c r="G32" i="11"/>
  <c r="F32" i="11"/>
  <c r="C11" i="11"/>
  <c r="C12" i="11"/>
  <c r="C13" i="11"/>
  <c r="C14" i="11"/>
  <c r="C15" i="11"/>
  <c r="C16" i="11"/>
  <c r="C17" i="11"/>
  <c r="C18" i="11"/>
  <c r="C19" i="11"/>
  <c r="C20" i="11"/>
  <c r="C21" i="11"/>
  <c r="C22" i="11"/>
  <c r="C23" i="11"/>
  <c r="C24" i="11"/>
  <c r="C25" i="11"/>
  <c r="C26" i="11"/>
  <c r="C27" i="11"/>
  <c r="C28" i="11"/>
  <c r="C29" i="11"/>
  <c r="C10" i="11"/>
  <c r="F7" i="8"/>
  <c r="G7" i="8"/>
  <c r="H7" i="8"/>
  <c r="I7" i="8"/>
  <c r="J7" i="8"/>
  <c r="K7" i="8"/>
  <c r="L7" i="8"/>
  <c r="M7" i="8"/>
  <c r="N7" i="8"/>
  <c r="O7" i="8"/>
  <c r="P7" i="8"/>
  <c r="Q7" i="8"/>
  <c r="R7" i="8"/>
  <c r="S7" i="8"/>
  <c r="T7" i="8"/>
  <c r="U7" i="8"/>
  <c r="V7" i="8"/>
  <c r="W7" i="8"/>
  <c r="X7" i="8"/>
  <c r="Y7" i="8"/>
  <c r="Z7" i="8"/>
  <c r="AA7" i="8"/>
  <c r="AB7" i="8"/>
  <c r="AC7" i="8"/>
  <c r="AD7" i="8"/>
  <c r="AE7" i="8"/>
  <c r="AF7" i="8"/>
  <c r="AG7" i="8"/>
  <c r="AH7" i="8"/>
  <c r="AI7" i="8"/>
  <c r="AJ7" i="8"/>
  <c r="AK7" i="8"/>
  <c r="AL7" i="8"/>
  <c r="AM7" i="8"/>
  <c r="AN7" i="8"/>
  <c r="AO7" i="8"/>
  <c r="AR10" i="8"/>
  <c r="AR11" i="8"/>
  <c r="AR12" i="8"/>
  <c r="AR13" i="8"/>
  <c r="AR14" i="8"/>
  <c r="AR15" i="8"/>
  <c r="AR16" i="8"/>
  <c r="AR17" i="8"/>
  <c r="AR18" i="8"/>
  <c r="AR19" i="8"/>
  <c r="AR20" i="8"/>
  <c r="AR21" i="8"/>
  <c r="AR22" i="8"/>
  <c r="AR23" i="8"/>
  <c r="AR24" i="8"/>
  <c r="AR25" i="8"/>
  <c r="AR26" i="8"/>
  <c r="AR27" i="8"/>
  <c r="AR28" i="8"/>
  <c r="AR29" i="8"/>
  <c r="AR30" i="8"/>
  <c r="AR31" i="8"/>
  <c r="AR32" i="8"/>
  <c r="AR33" i="8"/>
  <c r="AR34" i="8"/>
  <c r="AR35" i="8"/>
  <c r="AR36" i="8"/>
  <c r="AR37" i="8"/>
  <c r="AR38" i="8"/>
  <c r="AR39" i="8"/>
  <c r="AR40" i="8"/>
  <c r="AR41" i="8"/>
  <c r="AR42" i="8"/>
  <c r="AR43" i="8"/>
  <c r="AR44" i="8"/>
  <c r="AR45" i="8"/>
  <c r="AO48" i="8"/>
  <c r="AN48" i="8"/>
  <c r="AM48" i="8"/>
  <c r="AL48" i="8"/>
  <c r="AK48" i="8"/>
  <c r="AJ48" i="8"/>
  <c r="AI48" i="8"/>
  <c r="AH48" i="8"/>
  <c r="AG48" i="8"/>
  <c r="AF48" i="8"/>
  <c r="AE48" i="8"/>
  <c r="AD48" i="8"/>
  <c r="AC48" i="8"/>
  <c r="AB48" i="8"/>
  <c r="AA48" i="8"/>
  <c r="Z48" i="8"/>
  <c r="Y48" i="8"/>
  <c r="X48" i="8"/>
  <c r="W48" i="8"/>
  <c r="V48" i="8"/>
  <c r="U48" i="8"/>
  <c r="T48" i="8"/>
  <c r="S48" i="8"/>
  <c r="R48" i="8"/>
  <c r="Q48" i="8"/>
  <c r="P48" i="8"/>
  <c r="O48" i="8"/>
  <c r="N48" i="8"/>
  <c r="M48" i="8"/>
  <c r="L48" i="8"/>
  <c r="K48" i="8"/>
  <c r="J48" i="8"/>
  <c r="I48" i="8"/>
  <c r="H48" i="8"/>
  <c r="G48" i="8"/>
  <c r="F48"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10" i="8"/>
  <c r="F7" i="6" l="1"/>
  <c r="G7" i="6"/>
  <c r="H7" i="6"/>
  <c r="I7" i="6"/>
  <c r="J7" i="6"/>
  <c r="K7" i="6"/>
  <c r="L7" i="6"/>
  <c r="M7" i="6"/>
  <c r="N7" i="6"/>
  <c r="O7" i="6"/>
  <c r="P7" i="6"/>
  <c r="Q7" i="6"/>
  <c r="R7" i="6"/>
  <c r="S7" i="6"/>
  <c r="T7" i="6"/>
  <c r="U7" i="6"/>
  <c r="V7" i="6"/>
  <c r="W7" i="6"/>
  <c r="X7" i="6"/>
  <c r="Y7" i="6"/>
  <c r="Z7" i="6"/>
  <c r="AA7" i="6"/>
  <c r="AB7" i="6"/>
  <c r="AC7" i="6"/>
  <c r="AD7" i="6"/>
  <c r="AE7" i="6"/>
  <c r="AF7" i="6"/>
  <c r="AG7" i="6"/>
  <c r="AH7" i="6"/>
  <c r="AI7" i="6"/>
  <c r="AJ7" i="6"/>
  <c r="AK7" i="6"/>
  <c r="AL7" i="6"/>
  <c r="AM7" i="6"/>
  <c r="AN7" i="6"/>
  <c r="AO7" i="6"/>
  <c r="AP7" i="6"/>
  <c r="AQ7" i="6"/>
  <c r="AR7" i="6"/>
  <c r="AS7" i="6"/>
  <c r="AT7" i="6"/>
  <c r="AU7" i="6"/>
  <c r="AV7" i="6"/>
  <c r="AW7" i="6"/>
  <c r="AZ10" i="6"/>
  <c r="AZ11" i="6"/>
  <c r="AZ12" i="6"/>
  <c r="AZ13" i="6"/>
  <c r="AZ14" i="6"/>
  <c r="AZ15" i="6"/>
  <c r="AZ16" i="6"/>
  <c r="AZ17" i="6"/>
  <c r="AZ18" i="6"/>
  <c r="AZ19" i="6"/>
  <c r="AZ20" i="6"/>
  <c r="AZ21" i="6"/>
  <c r="AZ22" i="6"/>
  <c r="AZ23" i="6"/>
  <c r="AZ24" i="6"/>
  <c r="AZ25" i="6"/>
  <c r="AZ26" i="6"/>
  <c r="AZ27" i="6"/>
  <c r="AZ28" i="6"/>
  <c r="AZ29" i="6"/>
  <c r="AZ30" i="6"/>
  <c r="AZ31" i="6"/>
  <c r="AZ32" i="6"/>
  <c r="AZ33" i="6"/>
  <c r="AZ34" i="6"/>
  <c r="AZ35" i="6"/>
  <c r="AZ36" i="6"/>
  <c r="AZ37" i="6"/>
  <c r="AZ38" i="6"/>
  <c r="AZ39" i="6"/>
  <c r="AZ40" i="6"/>
  <c r="AZ41" i="6"/>
  <c r="AZ42" i="6"/>
  <c r="AZ43" i="6"/>
  <c r="AZ44" i="6"/>
  <c r="AZ45" i="6"/>
  <c r="AZ46" i="6"/>
  <c r="AZ47" i="6"/>
  <c r="AZ48" i="6"/>
  <c r="AZ49" i="6"/>
  <c r="AZ50" i="6"/>
  <c r="AZ51" i="6"/>
  <c r="AZ52" i="6"/>
  <c r="AZ53" i="6"/>
  <c r="AW56" i="6"/>
  <c r="AV56" i="6"/>
  <c r="AU56" i="6"/>
  <c r="AT56" i="6"/>
  <c r="AS56" i="6"/>
  <c r="AR56" i="6"/>
  <c r="AQ56" i="6"/>
  <c r="AP56" i="6"/>
  <c r="AO56" i="6"/>
  <c r="AN56" i="6"/>
  <c r="AM56" i="6"/>
  <c r="AL56" i="6"/>
  <c r="AK56" i="6"/>
  <c r="AJ56" i="6"/>
  <c r="AI56" i="6"/>
  <c r="AH56" i="6"/>
  <c r="AG56" i="6"/>
  <c r="AF56" i="6"/>
  <c r="AE56" i="6"/>
  <c r="AD56" i="6"/>
  <c r="AC56" i="6"/>
  <c r="AB56" i="6"/>
  <c r="AA56" i="6"/>
  <c r="Z56" i="6"/>
  <c r="Y56" i="6"/>
  <c r="X56" i="6"/>
  <c r="W56" i="6"/>
  <c r="V56" i="6"/>
  <c r="U56" i="6"/>
  <c r="T56" i="6"/>
  <c r="S56" i="6"/>
  <c r="R56" i="6"/>
  <c r="Q56" i="6"/>
  <c r="P56" i="6"/>
  <c r="O56" i="6"/>
  <c r="N56" i="6"/>
  <c r="M56" i="6"/>
  <c r="L56" i="6"/>
  <c r="K56" i="6"/>
  <c r="J56" i="6"/>
  <c r="I56" i="6"/>
  <c r="H56" i="6"/>
  <c r="G56" i="6"/>
  <c r="F56" i="6"/>
  <c r="C47" i="6"/>
  <c r="C48" i="6"/>
  <c r="C49" i="6"/>
  <c r="C50" i="6"/>
  <c r="C51" i="6"/>
  <c r="C52" i="6"/>
  <c r="C53" i="6"/>
  <c r="C35" i="6"/>
  <c r="C36" i="6"/>
  <c r="C37" i="6"/>
  <c r="C38" i="6"/>
  <c r="C39" i="6"/>
  <c r="C40" i="6"/>
  <c r="C41" i="6"/>
  <c r="C42" i="6"/>
  <c r="C43" i="6"/>
  <c r="C44" i="6"/>
  <c r="C45" i="6"/>
  <c r="C46" i="6"/>
  <c r="C11" i="6"/>
  <c r="C12" i="6"/>
  <c r="C13" i="6"/>
  <c r="C14" i="6"/>
  <c r="C15" i="6"/>
  <c r="C16" i="6"/>
  <c r="C17" i="6"/>
  <c r="C18" i="6"/>
  <c r="C19" i="6"/>
  <c r="C20" i="6"/>
  <c r="C21" i="6"/>
  <c r="C22" i="6"/>
  <c r="C23" i="6"/>
  <c r="C24" i="6"/>
  <c r="C25" i="6"/>
  <c r="C26" i="6"/>
  <c r="C27" i="6"/>
  <c r="C28" i="6"/>
  <c r="C29" i="6"/>
  <c r="C30" i="6"/>
  <c r="C31" i="6"/>
  <c r="C32" i="6"/>
  <c r="C33" i="6"/>
  <c r="C34" i="6"/>
  <c r="C10" i="6"/>
  <c r="AD7" i="3"/>
  <c r="F7" i="3"/>
  <c r="G7" i="3"/>
  <c r="H7" i="3"/>
  <c r="I7" i="3"/>
  <c r="J7" i="3"/>
  <c r="K7" i="3"/>
  <c r="L7" i="3"/>
  <c r="M7" i="3"/>
  <c r="N7" i="3"/>
  <c r="O7" i="3"/>
  <c r="P7" i="3"/>
  <c r="Q7" i="3"/>
  <c r="R7" i="3"/>
  <c r="S7" i="3"/>
  <c r="T7" i="3"/>
  <c r="U7" i="3"/>
  <c r="V7" i="3"/>
  <c r="W7" i="3"/>
  <c r="X7" i="3"/>
  <c r="Y7" i="3"/>
  <c r="Z7" i="3"/>
  <c r="AA7" i="3"/>
  <c r="AB7" i="3"/>
  <c r="AC7" i="3"/>
  <c r="AG10" i="3"/>
  <c r="AG11" i="3"/>
  <c r="AG12" i="3"/>
  <c r="AG13" i="3"/>
  <c r="AG14" i="3"/>
  <c r="AG15" i="3"/>
  <c r="AG16" i="3"/>
  <c r="AG17" i="3"/>
  <c r="AG18" i="3"/>
  <c r="AG19" i="3"/>
  <c r="AG20" i="3"/>
  <c r="AG21" i="3"/>
  <c r="AG22" i="3"/>
  <c r="AG23" i="3"/>
  <c r="AG24" i="3"/>
  <c r="AG25" i="3"/>
  <c r="AG26" i="3"/>
  <c r="AG27" i="3"/>
  <c r="AG28" i="3"/>
  <c r="AG29" i="3"/>
  <c r="AG30" i="3"/>
  <c r="AG31" i="3"/>
  <c r="AG32" i="3"/>
  <c r="AG33" i="3"/>
  <c r="AG34" i="3"/>
  <c r="AD37" i="3"/>
  <c r="AC37" i="3"/>
  <c r="AB37" i="3"/>
  <c r="AA37" i="3"/>
  <c r="Z37" i="3"/>
  <c r="Y37" i="3"/>
  <c r="X37" i="3"/>
  <c r="W37" i="3"/>
  <c r="V37" i="3"/>
  <c r="U37" i="3"/>
  <c r="T37" i="3"/>
  <c r="S37" i="3"/>
  <c r="R37" i="3"/>
  <c r="Q37" i="3"/>
  <c r="P37" i="3"/>
  <c r="O37" i="3"/>
  <c r="N37" i="3"/>
  <c r="M37" i="3"/>
  <c r="L37" i="3"/>
  <c r="K37" i="3"/>
  <c r="J37" i="3"/>
  <c r="I37" i="3"/>
  <c r="H37" i="3"/>
  <c r="G37" i="3"/>
  <c r="F37" i="3"/>
  <c r="C34" i="3"/>
  <c r="C11" i="3" l="1"/>
  <c r="C12" i="3"/>
  <c r="C13" i="3"/>
  <c r="C14" i="3"/>
  <c r="C15" i="3"/>
  <c r="C16" i="3"/>
  <c r="C17" i="3"/>
  <c r="C18" i="3"/>
  <c r="C19" i="3"/>
  <c r="C20" i="3"/>
  <c r="C21" i="3"/>
  <c r="C22" i="3"/>
  <c r="C23" i="3"/>
  <c r="C24" i="3"/>
  <c r="C25" i="3"/>
  <c r="C26" i="3"/>
  <c r="C27" i="3"/>
  <c r="C28" i="3"/>
  <c r="C29" i="3"/>
  <c r="C30" i="3"/>
  <c r="C31" i="3"/>
  <c r="C32" i="3"/>
  <c r="C33" i="3"/>
  <c r="C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U8" authorId="0" shapeId="0" xr:uid="{6D241331-B548-4E31-B46B-82F8163F874E}">
      <text>
        <r>
          <rPr>
            <sz val="9"/>
            <color indexed="81"/>
            <rFont val="Arial"/>
            <family val="2"/>
          </rPr>
          <t xml:space="preserve">- The selected pin cell is yellow. 
- Duplicate pin names are red. </t>
        </r>
      </text>
    </comment>
    <comment ref="V8" authorId="0" shapeId="0" xr:uid="{453F84C0-316C-4C23-911A-D123B928A5EA}">
      <text>
        <r>
          <rPr>
            <sz val="9"/>
            <color indexed="81"/>
            <rFont val="Arial"/>
            <family val="2"/>
          </rPr>
          <t xml:space="preserve">- The selected pin cell is yellow.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U8" authorId="0" shapeId="0" xr:uid="{BD0780D1-8648-4EE0-B338-063BBA676DA1}">
      <text>
        <r>
          <rPr>
            <sz val="9"/>
            <color indexed="81"/>
            <rFont val="Arial"/>
            <family val="2"/>
          </rPr>
          <t xml:space="preserve">- The selected pin cell is yellow. 
- Duplicate pin names are red. </t>
        </r>
      </text>
    </comment>
    <comment ref="V8" authorId="0" shapeId="0" xr:uid="{B35DBD15-2C5C-437E-B5DC-1718EB89C714}">
      <text>
        <r>
          <rPr>
            <sz val="9"/>
            <color indexed="81"/>
            <rFont val="Arial"/>
            <family val="2"/>
          </rPr>
          <t xml:space="preserve">- The selected pin cell is yellow.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U8" authorId="0" shapeId="0" xr:uid="{3D8AA1B1-FAE3-4646-8ABE-4C3D0F90EFF9}">
      <text>
        <r>
          <rPr>
            <sz val="9"/>
            <color indexed="81"/>
            <rFont val="Arial"/>
            <family val="2"/>
          </rPr>
          <t xml:space="preserve">- The selected pin cell is yellow. 
- Duplicate pin names are red. </t>
        </r>
      </text>
    </comment>
    <comment ref="V8" authorId="0" shapeId="0" xr:uid="{9A7BB60A-186E-411A-B5BE-A06624070F49}">
      <text>
        <r>
          <rPr>
            <sz val="9"/>
            <color indexed="81"/>
            <rFont val="Arial"/>
            <family val="2"/>
          </rPr>
          <t xml:space="preserve">- The selected pin cell is yellow.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U8" authorId="0" shapeId="0" xr:uid="{DB4EFBF6-FCEE-4B82-95AB-20A207F79F5B}">
      <text>
        <r>
          <rPr>
            <sz val="9"/>
            <color indexed="81"/>
            <rFont val="Arial"/>
            <family val="2"/>
          </rPr>
          <t xml:space="preserve">- The selected pin cell is yellow. 
- Duplicate pin names are red. </t>
        </r>
      </text>
    </comment>
    <comment ref="V8" authorId="0" shapeId="0" xr:uid="{9D671EB1-078D-4A01-AF3D-C9366C53D88D}">
      <text>
        <r>
          <rPr>
            <sz val="9"/>
            <color indexed="81"/>
            <rFont val="Arial"/>
            <family val="2"/>
          </rPr>
          <t xml:space="preserve">- The selected pin cell is yellow.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U8" authorId="0" shapeId="0" xr:uid="{A0D47A12-4EF8-47DD-B709-9093AE916DB0}">
      <text>
        <r>
          <rPr>
            <sz val="9"/>
            <color indexed="81"/>
            <rFont val="Arial"/>
            <family val="2"/>
          </rPr>
          <t xml:space="preserve">- The selected pin cell is yellow. 
- Duplicate pin names are red. </t>
        </r>
      </text>
    </comment>
    <comment ref="V8" authorId="0" shapeId="0" xr:uid="{55D22BE1-E35A-4DCD-A361-156242B3EAAE}">
      <text>
        <r>
          <rPr>
            <sz val="9"/>
            <color indexed="81"/>
            <rFont val="Arial"/>
            <family val="2"/>
          </rPr>
          <t xml:space="preserve">- The selected pin cell is yellow. </t>
        </r>
      </text>
    </comment>
  </commentList>
</comments>
</file>

<file path=xl/sharedStrings.xml><?xml version="1.0" encoding="utf-8"?>
<sst xmlns="http://schemas.openxmlformats.org/spreadsheetml/2006/main" count="13448" uniqueCount="1189">
  <si>
    <t>Name</t>
  </si>
  <si>
    <t>Active Mapping</t>
  </si>
  <si>
    <t>HCon#9</t>
  </si>
  <si>
    <t>HCon#10</t>
  </si>
  <si>
    <t>HCon#11</t>
  </si>
  <si>
    <t>HCon#16</t>
  </si>
  <si>
    <t>HCon#17</t>
  </si>
  <si>
    <t>HCon#18</t>
  </si>
  <si>
    <t>HCon#19</t>
  </si>
  <si>
    <t>HCon#20</t>
  </si>
  <si>
    <t>HCon#21</t>
  </si>
  <si>
    <t>HCon#26</t>
  </si>
  <si>
    <t>HCon#27</t>
  </si>
  <si>
    <t>ACT #1</t>
  </si>
  <si>
    <t>ACT #2</t>
  </si>
  <si>
    <t>ACT #3</t>
  </si>
  <si>
    <t>ACT #4</t>
  </si>
  <si>
    <t>ACT #5</t>
  </si>
  <si>
    <t>ACT #6</t>
  </si>
  <si>
    <t>ACT #7</t>
  </si>
  <si>
    <t>ACT #8</t>
  </si>
  <si>
    <t>ACT #9</t>
  </si>
  <si>
    <t>ACT #10</t>
  </si>
  <si>
    <t>ACT #11</t>
  </si>
  <si>
    <t>P0.0</t>
  </si>
  <si>
    <t>LIN1_RX</t>
  </si>
  <si>
    <t>P0.1</t>
  </si>
  <si>
    <t>LIN1_TX</t>
  </si>
  <si>
    <t>P0.2</t>
  </si>
  <si>
    <t>LIN1_EN</t>
  </si>
  <si>
    <t>CAN0_1_TX</t>
  </si>
  <si>
    <t>P0.3</t>
  </si>
  <si>
    <t>CAN0_1_RX</t>
  </si>
  <si>
    <t>P1.0</t>
  </si>
  <si>
    <t>P1.1</t>
  </si>
  <si>
    <t>P1.2</t>
  </si>
  <si>
    <t>TRIG_IN[0]</t>
  </si>
  <si>
    <t>P1.3</t>
  </si>
  <si>
    <t>TRIG_IN[1]</t>
  </si>
  <si>
    <t>P2.0</t>
  </si>
  <si>
    <t>LIN0_RX</t>
  </si>
  <si>
    <t>CAN0_0_TX</t>
  </si>
  <si>
    <t>TRIG_IN[2]</t>
  </si>
  <si>
    <t>P2.1</t>
  </si>
  <si>
    <t>LIN0_TX</t>
  </si>
  <si>
    <t>CAN0_0_RX</t>
  </si>
  <si>
    <t>TRIG_IN[3]</t>
  </si>
  <si>
    <t>P2.2</t>
  </si>
  <si>
    <t>LIN0_EN</t>
  </si>
  <si>
    <t>TRIG_IN[4]</t>
  </si>
  <si>
    <t>P2.3</t>
  </si>
  <si>
    <t>LIN5_RX</t>
  </si>
  <si>
    <t>TRIG_IN[5]</t>
  </si>
  <si>
    <t>P2.4</t>
  </si>
  <si>
    <t>LIN5_TX</t>
  </si>
  <si>
    <t>TRIG_IN[6]</t>
  </si>
  <si>
    <t>P2.5</t>
  </si>
  <si>
    <t>LIN5_EN</t>
  </si>
  <si>
    <t>TRIG_IN[7]</t>
  </si>
  <si>
    <t>P3.0</t>
  </si>
  <si>
    <t>TRIG_DBG[0]</t>
  </si>
  <si>
    <t>P3.1</t>
  </si>
  <si>
    <t>TRIG_DBG[1]</t>
  </si>
  <si>
    <t>P3.2</t>
  </si>
  <si>
    <t>P3.3</t>
  </si>
  <si>
    <t>P3.4</t>
  </si>
  <si>
    <t>P3.5</t>
  </si>
  <si>
    <t>P4.0</t>
  </si>
  <si>
    <t>EXT_MUX[0]_0</t>
  </si>
  <si>
    <t>TRIG_IN[10]</t>
  </si>
  <si>
    <t>P4.1</t>
  </si>
  <si>
    <t>EXT_MUX[0]_1</t>
  </si>
  <si>
    <t>TRIG_IN[11]</t>
  </si>
  <si>
    <t>P4.2</t>
  </si>
  <si>
    <t>EXT_MUX[0]_2</t>
  </si>
  <si>
    <t>TRIG_IN[12]</t>
  </si>
  <si>
    <t>P4.3</t>
  </si>
  <si>
    <t>EXT_MUX[0]_EN</t>
  </si>
  <si>
    <t>TRIG_IN[13]</t>
  </si>
  <si>
    <t>P4.4</t>
  </si>
  <si>
    <t>P5.0</t>
  </si>
  <si>
    <t>LIN7_RX</t>
  </si>
  <si>
    <t>P5.1</t>
  </si>
  <si>
    <t>LIN7_TX</t>
  </si>
  <si>
    <t>P5.2</t>
  </si>
  <si>
    <t>LIN7_EN</t>
  </si>
  <si>
    <t>P5.3</t>
  </si>
  <si>
    <t>LIN2_RX</t>
  </si>
  <si>
    <t>P5.4</t>
  </si>
  <si>
    <t>LIN2_TX</t>
  </si>
  <si>
    <t>P5.5</t>
  </si>
  <si>
    <t>LIN2_EN</t>
  </si>
  <si>
    <t>P6.0</t>
  </si>
  <si>
    <t>LIN3_RX</t>
  </si>
  <si>
    <t>P6.1</t>
  </si>
  <si>
    <t>LIN3_TX</t>
  </si>
  <si>
    <t>P6.2</t>
  </si>
  <si>
    <t>LIN3_EN</t>
  </si>
  <si>
    <t>CAN0_2_TX</t>
  </si>
  <si>
    <t>P6.3</t>
  </si>
  <si>
    <t>LIN4_RX</t>
  </si>
  <si>
    <t>CAN0_2_RX</t>
  </si>
  <si>
    <t>CAL_SUP_NZ</t>
  </si>
  <si>
    <t>P6.4</t>
  </si>
  <si>
    <t>LIN4_TX</t>
  </si>
  <si>
    <t>P6.5</t>
  </si>
  <si>
    <t>LIN4_EN</t>
  </si>
  <si>
    <t>P6.6</t>
  </si>
  <si>
    <t>TRIG_IN[8]</t>
  </si>
  <si>
    <t>P6.7</t>
  </si>
  <si>
    <t>TRIG_IN[9]</t>
  </si>
  <si>
    <t>P7.0</t>
  </si>
  <si>
    <t>P7.1</t>
  </si>
  <si>
    <t>P7.2</t>
  </si>
  <si>
    <t>P7.3</t>
  </si>
  <si>
    <t>P7.4</t>
  </si>
  <si>
    <t>P7.5</t>
  </si>
  <si>
    <t>P7.6</t>
  </si>
  <si>
    <t>TRIG_IN[16]</t>
  </si>
  <si>
    <t>P7.7</t>
  </si>
  <si>
    <t>TRIG_IN[17]</t>
  </si>
  <si>
    <t>P8.0</t>
  </si>
  <si>
    <t>P8.1</t>
  </si>
  <si>
    <t>TRIG_IN[14]</t>
  </si>
  <si>
    <t>P8.2</t>
  </si>
  <si>
    <t>TRIG_IN[15]</t>
  </si>
  <si>
    <t>P8.3</t>
  </si>
  <si>
    <t>P8.4</t>
  </si>
  <si>
    <t>P9.0</t>
  </si>
  <si>
    <t>P9.1</t>
  </si>
  <si>
    <t>P9.2</t>
  </si>
  <si>
    <t>P9.3</t>
  </si>
  <si>
    <t>P10.0</t>
  </si>
  <si>
    <t>TRIG_IN[18]</t>
  </si>
  <si>
    <t>P10.1</t>
  </si>
  <si>
    <t>TRIG_IN[19]</t>
  </si>
  <si>
    <t>P10.2</t>
  </si>
  <si>
    <t>P10.3</t>
  </si>
  <si>
    <t>P10.4</t>
  </si>
  <si>
    <t>P10.5</t>
  </si>
  <si>
    <t>P10.6</t>
  </si>
  <si>
    <t>P10.7</t>
  </si>
  <si>
    <t>P12.0</t>
  </si>
  <si>
    <t>TRIG_IN[20]</t>
  </si>
  <si>
    <t>P12.1</t>
  </si>
  <si>
    <t>LIN6_EN</t>
  </si>
  <si>
    <t>TRIG_IN[21]</t>
  </si>
  <si>
    <t>P12.2</t>
  </si>
  <si>
    <t>EXT_MUX[1]_EN</t>
  </si>
  <si>
    <t>LIN6_RX</t>
  </si>
  <si>
    <t>P12.3</t>
  </si>
  <si>
    <t>EXT_MUX[1]_0</t>
  </si>
  <si>
    <t>LIN6_TX</t>
  </si>
  <si>
    <t>P12.4</t>
  </si>
  <si>
    <t>EXT_MUX[1]_1</t>
  </si>
  <si>
    <t>P12.5</t>
  </si>
  <si>
    <t>EXT_MUX[1]_2</t>
  </si>
  <si>
    <t>P12.6</t>
  </si>
  <si>
    <t>P12.7</t>
  </si>
  <si>
    <t>P13.0</t>
  </si>
  <si>
    <t>EXT_MUX[2]_0</t>
  </si>
  <si>
    <t>P13.1</t>
  </si>
  <si>
    <t>EXT_MUX[2]_1</t>
  </si>
  <si>
    <t>P13.2</t>
  </si>
  <si>
    <t>EXT_MUX[2]_2</t>
  </si>
  <si>
    <t>P13.3</t>
  </si>
  <si>
    <t>EXT_MUX[2]_EN</t>
  </si>
  <si>
    <t>P13.4</t>
  </si>
  <si>
    <t>P13.5</t>
  </si>
  <si>
    <t>P13.6</t>
  </si>
  <si>
    <t>TRIG_IN[22]</t>
  </si>
  <si>
    <t>P13.7</t>
  </si>
  <si>
    <t>TRIG_IN[23]</t>
  </si>
  <si>
    <t>P14.0</t>
  </si>
  <si>
    <t>CAN1_0_TX</t>
  </si>
  <si>
    <t>P14.1</t>
  </si>
  <si>
    <t>CAN1_0_RX</t>
  </si>
  <si>
    <t>P14.2</t>
  </si>
  <si>
    <t>P14.3</t>
  </si>
  <si>
    <t>P14.4</t>
  </si>
  <si>
    <t>P14.5</t>
  </si>
  <si>
    <t>P14.6</t>
  </si>
  <si>
    <t>TRIG_IN[24]</t>
  </si>
  <si>
    <t>P14.7</t>
  </si>
  <si>
    <t>TRIG_IN[25]</t>
  </si>
  <si>
    <t>P15.0</t>
  </si>
  <si>
    <t>P15.1</t>
  </si>
  <si>
    <t>P15.2</t>
  </si>
  <si>
    <t>P15.3</t>
  </si>
  <si>
    <t>P16.0</t>
  </si>
  <si>
    <t>P16.1</t>
  </si>
  <si>
    <t>P16.2</t>
  </si>
  <si>
    <t>P16.3</t>
  </si>
  <si>
    <t>P17.0</t>
  </si>
  <si>
    <t>CAN1_1_TX</t>
  </si>
  <si>
    <t>P17.1</t>
  </si>
  <si>
    <t>CAN1_1_RX</t>
  </si>
  <si>
    <t>P17.2</t>
  </si>
  <si>
    <t>P17.3</t>
  </si>
  <si>
    <t>TRIG_IN[26]</t>
  </si>
  <si>
    <t>P17.4</t>
  </si>
  <si>
    <t>TRIG_IN[27]</t>
  </si>
  <si>
    <t>P17.5</t>
  </si>
  <si>
    <t>P17.6</t>
  </si>
  <si>
    <t>P17.7</t>
  </si>
  <si>
    <t>P18.0</t>
  </si>
  <si>
    <t>FAULT_OUT_0</t>
  </si>
  <si>
    <t>P18.1</t>
  </si>
  <si>
    <t>FAULT_OUT_1</t>
  </si>
  <si>
    <t>P18.2</t>
  </si>
  <si>
    <t>P18.3</t>
  </si>
  <si>
    <t>P18.4</t>
  </si>
  <si>
    <t>P18.5</t>
  </si>
  <si>
    <t>P18.6</t>
  </si>
  <si>
    <t>CAN1_2_TX</t>
  </si>
  <si>
    <t>P18.7</t>
  </si>
  <si>
    <t>CAN1_2_RX</t>
  </si>
  <si>
    <t>P19.0</t>
  </si>
  <si>
    <t>FAULT_OUT_2</t>
  </si>
  <si>
    <t>P19.1</t>
  </si>
  <si>
    <t>FAULT_OUT_3</t>
  </si>
  <si>
    <t>P19.2</t>
  </si>
  <si>
    <t>TRIG_IN[28]</t>
  </si>
  <si>
    <t>P19.3</t>
  </si>
  <si>
    <t>TRIG_IN[29]</t>
  </si>
  <si>
    <t>P19.4</t>
  </si>
  <si>
    <t>P20.0</t>
  </si>
  <si>
    <t>P20.1</t>
  </si>
  <si>
    <t>P20.2</t>
  </si>
  <si>
    <t>P20.3</t>
  </si>
  <si>
    <t>P20.4</t>
  </si>
  <si>
    <t>P20.5</t>
  </si>
  <si>
    <t>P20.6</t>
  </si>
  <si>
    <t>P20.7</t>
  </si>
  <si>
    <t>P21.0</t>
  </si>
  <si>
    <t>EXT_CLK</t>
  </si>
  <si>
    <t>P21.5</t>
  </si>
  <si>
    <t>P22.0</t>
  </si>
  <si>
    <t>P22.1</t>
  </si>
  <si>
    <t>P22.2</t>
  </si>
  <si>
    <t>P22.3</t>
  </si>
  <si>
    <t>P22.4</t>
  </si>
  <si>
    <t>P22.5</t>
  </si>
  <si>
    <t>P22.6</t>
  </si>
  <si>
    <t>P22.7</t>
  </si>
  <si>
    <t>P23.0</t>
  </si>
  <si>
    <t>P23.1</t>
  </si>
  <si>
    <t>P23.2</t>
  </si>
  <si>
    <t>P23.3</t>
  </si>
  <si>
    <t>TRIG_IN[30]</t>
  </si>
  <si>
    <t>P23.4</t>
  </si>
  <si>
    <t>TRIG_IN[31]</t>
  </si>
  <si>
    <t>P23.5</t>
  </si>
  <si>
    <t>P23.6</t>
  </si>
  <si>
    <t>P23.7</t>
  </si>
  <si>
    <t>Pin</t>
    <phoneticPr fontId="3"/>
  </si>
  <si>
    <t>VSSD</t>
    <phoneticPr fontId="3"/>
  </si>
  <si>
    <t>VDDD</t>
    <phoneticPr fontId="3"/>
  </si>
  <si>
    <t>VDDIO_1</t>
    <phoneticPr fontId="3"/>
  </si>
  <si>
    <t>VCCD</t>
    <phoneticPr fontId="3"/>
  </si>
  <si>
    <t>VREFL</t>
    <phoneticPr fontId="3"/>
  </si>
  <si>
    <t>VSSA</t>
    <phoneticPr fontId="3"/>
  </si>
  <si>
    <t>VDDA</t>
    <phoneticPr fontId="3"/>
  </si>
  <si>
    <t>VREFH</t>
    <phoneticPr fontId="3"/>
  </si>
  <si>
    <t>XRES_L</t>
    <phoneticPr fontId="3"/>
  </si>
  <si>
    <t>Selected Pin Attribute</t>
    <phoneticPr fontId="4"/>
  </si>
  <si>
    <t>Function</t>
    <phoneticPr fontId="4"/>
  </si>
  <si>
    <t>GPIO_ENH</t>
  </si>
  <si>
    <t>GPIO_STD</t>
  </si>
  <si>
    <t>NA</t>
  </si>
  <si>
    <t>SWJ_TRSTN</t>
  </si>
  <si>
    <t>ADC[0]_0</t>
  </si>
  <si>
    <t>ADC[0]_1</t>
  </si>
  <si>
    <t>ADC[0]_2</t>
  </si>
  <si>
    <t>ADC[0]_3</t>
  </si>
  <si>
    <t>ADC[0]_4</t>
  </si>
  <si>
    <t>ADC[0]_5</t>
  </si>
  <si>
    <t>ADC[0]_6</t>
  </si>
  <si>
    <t>ADC[0]_7</t>
  </si>
  <si>
    <t>ADC[0]_8</t>
  </si>
  <si>
    <t>ADC[0]_9</t>
  </si>
  <si>
    <t>ADC[0]_10</t>
  </si>
  <si>
    <t>ADC[0]_11</t>
  </si>
  <si>
    <t>ADC[0]_12</t>
  </si>
  <si>
    <t>ADC[0]_13</t>
  </si>
  <si>
    <t>ADC[0]_14</t>
  </si>
  <si>
    <t>ADC[0]_15</t>
  </si>
  <si>
    <t>ADC[0]_16</t>
  </si>
  <si>
    <t>ADC[0]_17</t>
  </si>
  <si>
    <t>ADC[0]_18</t>
  </si>
  <si>
    <t>ADC[0]_19</t>
  </si>
  <si>
    <t>ADC[0]_20</t>
  </si>
  <si>
    <t>ADC[0]_21</t>
  </si>
  <si>
    <t>ADC[0]_22</t>
  </si>
  <si>
    <t>ADC[0]_23</t>
  </si>
  <si>
    <t>ADC[1]_0</t>
  </si>
  <si>
    <t>ADC[1]_1</t>
  </si>
  <si>
    <t>ADC[1]_2</t>
  </si>
  <si>
    <t>ADC[1]_3</t>
  </si>
  <si>
    <t>ADC[0]_M</t>
  </si>
  <si>
    <t>ADC[1]_M</t>
  </si>
  <si>
    <t>ADC[2]_M</t>
  </si>
  <si>
    <t>ADC[1]_4</t>
  </si>
  <si>
    <t>ADC[1]_5</t>
  </si>
  <si>
    <t>ADC[1]_6</t>
  </si>
  <si>
    <t>ADC[1]_7</t>
  </si>
  <si>
    <t>ADC[1]_8</t>
  </si>
  <si>
    <t>ADC[1]_9</t>
  </si>
  <si>
    <t>ADC[1]_10</t>
  </si>
  <si>
    <t>ADC[1]_11</t>
  </si>
  <si>
    <t>ADC[1]_12</t>
  </si>
  <si>
    <t>ADC[1]_13</t>
  </si>
  <si>
    <t>ADC[1]_14</t>
  </si>
  <si>
    <t>ADC[1]_15</t>
  </si>
  <si>
    <t>ADC[1]_16</t>
  </si>
  <si>
    <t>ADC[1]_17</t>
  </si>
  <si>
    <t>ADC[1]_18</t>
  </si>
  <si>
    <t>ADC[1]_19</t>
  </si>
  <si>
    <t>ADC[1]_20</t>
  </si>
  <si>
    <t>ADC[1]_21</t>
  </si>
  <si>
    <t>ADC[1]_22</t>
  </si>
  <si>
    <t>ADC[1]_23</t>
  </si>
  <si>
    <t>ADC[1]_24</t>
  </si>
  <si>
    <t>ADC[1]_25</t>
  </si>
  <si>
    <t>ADC[1]_26</t>
  </si>
  <si>
    <t>ADC[1]_27</t>
  </si>
  <si>
    <t>ADC[1]_28</t>
  </si>
  <si>
    <t>ADC[1]_29</t>
  </si>
  <si>
    <t>ADC[1]_30</t>
  </si>
  <si>
    <t>ADC[1]_31</t>
  </si>
  <si>
    <t>ADC[2]_0</t>
  </si>
  <si>
    <t>ADC[2]_1</t>
  </si>
  <si>
    <t>ADC[2]_2</t>
  </si>
  <si>
    <t>ADC[2]_3</t>
  </si>
  <si>
    <t>ADC[2]_4</t>
  </si>
  <si>
    <t>ADC[2]_5</t>
  </si>
  <si>
    <t>ADC[2]_6</t>
  </si>
  <si>
    <t>ADC[2]_7</t>
  </si>
  <si>
    <t>RTC_CAL</t>
  </si>
  <si>
    <t>SWJ_SWO_TDO</t>
  </si>
  <si>
    <t>SWJ_SWCLK_TCLK</t>
  </si>
  <si>
    <t>SWJ_SWDIO_TMS</t>
  </si>
  <si>
    <t>SWJ_SWDOE_TDI</t>
  </si>
  <si>
    <t>DeepSleep Mapping</t>
    <phoneticPr fontId="3"/>
  </si>
  <si>
    <t>HCon#14</t>
    <phoneticPr fontId="3"/>
  </si>
  <si>
    <t>HCon#29</t>
    <phoneticPr fontId="3"/>
  </si>
  <si>
    <t>HCon#30</t>
    <phoneticPr fontId="3"/>
  </si>
  <si>
    <t>DS #1</t>
    <phoneticPr fontId="3"/>
  </si>
  <si>
    <t>DS #2</t>
    <phoneticPr fontId="3"/>
  </si>
  <si>
    <t>DS #0</t>
    <phoneticPr fontId="3"/>
  </si>
  <si>
    <t>HCon#8</t>
    <phoneticPr fontId="3"/>
  </si>
  <si>
    <t>ACT #0</t>
    <phoneticPr fontId="3"/>
  </si>
  <si>
    <t>Analog</t>
    <phoneticPr fontId="3"/>
  </si>
  <si>
    <t>WCO_IN</t>
    <phoneticPr fontId="3"/>
  </si>
  <si>
    <t>WCO_OUT</t>
    <phoneticPr fontId="3"/>
  </si>
  <si>
    <t>ECO_IN</t>
    <phoneticPr fontId="3"/>
  </si>
  <si>
    <t>ECO_OUT</t>
    <phoneticPr fontId="3"/>
  </si>
  <si>
    <t>HIBERNATE_WAKEUP[1]</t>
    <phoneticPr fontId="3"/>
  </si>
  <si>
    <t>HIBERNATE_WAKEUP[0]</t>
    <phoneticPr fontId="3"/>
  </si>
  <si>
    <t>ECO_OUT</t>
    <phoneticPr fontId="3"/>
  </si>
  <si>
    <t>ECO_IN</t>
    <phoneticPr fontId="3"/>
  </si>
  <si>
    <t>WCO_OUT</t>
    <phoneticPr fontId="3"/>
  </si>
  <si>
    <t>WCO_IN</t>
    <phoneticPr fontId="3"/>
  </si>
  <si>
    <t>VDDIO_2</t>
    <phoneticPr fontId="3"/>
  </si>
  <si>
    <t>80-LQFP</t>
    <phoneticPr fontId="3"/>
  </si>
  <si>
    <t>100-LQFP</t>
    <phoneticPr fontId="3"/>
  </si>
  <si>
    <t>144-LQFP</t>
    <phoneticPr fontId="3"/>
  </si>
  <si>
    <t>176-LQFP</t>
    <phoneticPr fontId="3"/>
  </si>
  <si>
    <t>Pin Function_176-LQFP</t>
    <phoneticPr fontId="3"/>
  </si>
  <si>
    <t>Pin Function_144-LQFP</t>
    <phoneticPr fontId="3"/>
  </si>
  <si>
    <t>Pin Function_100-LQFP</t>
    <phoneticPr fontId="3"/>
  </si>
  <si>
    <t>Pin Function_80-LQFP</t>
    <phoneticPr fontId="3"/>
  </si>
  <si>
    <t>Pin Assignment_80-LQFP</t>
    <phoneticPr fontId="3"/>
  </si>
  <si>
    <t>Pin Assignment_100-LQFP</t>
    <phoneticPr fontId="3"/>
  </si>
  <si>
    <t>Pin Assignment_144-LQFP</t>
    <phoneticPr fontId="3"/>
  </si>
  <si>
    <t>Pin Assignment_176-LQFP</t>
    <phoneticPr fontId="3"/>
  </si>
  <si>
    <t>Pin Function_64-LQFP</t>
    <phoneticPr fontId="3"/>
  </si>
  <si>
    <t>Pin Assignment_64-LQFP</t>
    <phoneticPr fontId="3"/>
  </si>
  <si>
    <t>64-LQFP</t>
    <phoneticPr fontId="3"/>
  </si>
  <si>
    <t>NA</t>
    <phoneticPr fontId="3"/>
  </si>
  <si>
    <t>Note</t>
    <phoneticPr fontId="4"/>
  </si>
  <si>
    <t>CAN1</t>
    <phoneticPr fontId="3"/>
  </si>
  <si>
    <t>Board Connection</t>
    <phoneticPr fontId="3"/>
  </si>
  <si>
    <t>GPIO</t>
    <phoneticPr fontId="3"/>
  </si>
  <si>
    <t>LIN</t>
    <phoneticPr fontId="3"/>
  </si>
  <si>
    <t>CAN0</t>
    <phoneticPr fontId="3"/>
  </si>
  <si>
    <t>SCB</t>
    <phoneticPr fontId="3"/>
  </si>
  <si>
    <t>SCB0</t>
    <phoneticPr fontId="3"/>
  </si>
  <si>
    <t>SCB1</t>
    <phoneticPr fontId="3"/>
  </si>
  <si>
    <t>SCB2</t>
    <phoneticPr fontId="3"/>
  </si>
  <si>
    <t>SCB3</t>
    <phoneticPr fontId="3"/>
  </si>
  <si>
    <t>SCB7</t>
    <phoneticPr fontId="3"/>
  </si>
  <si>
    <t>SCB6</t>
    <phoneticPr fontId="3"/>
  </si>
  <si>
    <t>SCB5</t>
    <phoneticPr fontId="3"/>
  </si>
  <si>
    <t>SCB4</t>
    <phoneticPr fontId="3"/>
  </si>
  <si>
    <t>TX</t>
    <phoneticPr fontId="3"/>
  </si>
  <si>
    <t>RX</t>
    <phoneticPr fontId="3"/>
  </si>
  <si>
    <t>LIN1_RX</t>
    <phoneticPr fontId="3"/>
  </si>
  <si>
    <t>LIN0</t>
    <phoneticPr fontId="3"/>
  </si>
  <si>
    <t>LIN1</t>
  </si>
  <si>
    <t>LIN2</t>
  </si>
  <si>
    <t>LIN3</t>
  </si>
  <si>
    <t>LIN4</t>
  </si>
  <si>
    <t>LIN5</t>
  </si>
  <si>
    <t>LIN6</t>
  </si>
  <si>
    <t>LIN7</t>
  </si>
  <si>
    <t>EN</t>
    <phoneticPr fontId="3"/>
  </si>
  <si>
    <t>Number of pins used</t>
    <phoneticPr fontId="3"/>
  </si>
  <si>
    <t>CAN0_1_TX</t>
    <phoneticPr fontId="3"/>
  </si>
  <si>
    <t>CAN0_1</t>
    <phoneticPr fontId="3"/>
  </si>
  <si>
    <t>CAN0_0_TX</t>
    <phoneticPr fontId="3"/>
  </si>
  <si>
    <t>CAN0_0</t>
    <phoneticPr fontId="3"/>
  </si>
  <si>
    <t>CAN0_2</t>
    <phoneticPr fontId="3"/>
  </si>
  <si>
    <t>CAN1_0</t>
    <phoneticPr fontId="3"/>
  </si>
  <si>
    <t>CAN1_2</t>
    <phoneticPr fontId="3"/>
  </si>
  <si>
    <t>CAN1_1</t>
    <phoneticPr fontId="3"/>
  </si>
  <si>
    <t>ADC</t>
    <phoneticPr fontId="3"/>
  </si>
  <si>
    <t>ADC[0]_M</t>
    <phoneticPr fontId="3"/>
  </si>
  <si>
    <t>ADC[0]</t>
    <phoneticPr fontId="3"/>
  </si>
  <si>
    <t>ADC[1]</t>
    <phoneticPr fontId="3"/>
  </si>
  <si>
    <t>ADC[2]</t>
    <phoneticPr fontId="3"/>
  </si>
  <si>
    <t>PWM</t>
    <phoneticPr fontId="3"/>
  </si>
  <si>
    <t>TR0</t>
    <phoneticPr fontId="3"/>
  </si>
  <si>
    <t>TR1</t>
    <phoneticPr fontId="3"/>
  </si>
  <si>
    <t>PWM_N</t>
    <phoneticPr fontId="3"/>
  </si>
  <si>
    <t>Number of pins used
for UART</t>
    <phoneticPr fontId="3"/>
  </si>
  <si>
    <t>Number of pins used
for SPI</t>
    <phoneticPr fontId="3"/>
  </si>
  <si>
    <t>Number of pins used
for I2C</t>
    <phoneticPr fontId="3"/>
  </si>
  <si>
    <t>Number of pins used
for PWM output</t>
    <phoneticPr fontId="3"/>
  </si>
  <si>
    <t>Number of pins used
for trigger output</t>
    <phoneticPr fontId="3"/>
  </si>
  <si>
    <t>Analog Inputs
for Motor</t>
    <phoneticPr fontId="3"/>
  </si>
  <si>
    <t>CNT0</t>
    <phoneticPr fontId="3"/>
  </si>
  <si>
    <t>CNT1</t>
  </si>
  <si>
    <t>CNT2</t>
  </si>
  <si>
    <t>CNT3</t>
  </si>
  <si>
    <t>ACT #9</t>
    <phoneticPr fontId="3"/>
  </si>
  <si>
    <t>CNT4</t>
  </si>
  <si>
    <t>CNT5</t>
  </si>
  <si>
    <t>CNT6</t>
  </si>
  <si>
    <t>CNT7</t>
  </si>
  <si>
    <t>CNT8</t>
  </si>
  <si>
    <t>CNT9</t>
  </si>
  <si>
    <t>TCPWM_16bit (Group0)</t>
    <phoneticPr fontId="3"/>
  </si>
  <si>
    <t>CNT10</t>
  </si>
  <si>
    <t>CNT11</t>
  </si>
  <si>
    <t>TCPWM_16bit for motor (Group1)</t>
    <phoneticPr fontId="3"/>
  </si>
  <si>
    <t>TCPWM_32bit (Group2)</t>
    <phoneticPr fontId="3"/>
  </si>
  <si>
    <t>CNT12</t>
  </si>
  <si>
    <t>CNT13</t>
  </si>
  <si>
    <t>CNT14</t>
  </si>
  <si>
    <t>CNT15</t>
  </si>
  <si>
    <t>CNT16</t>
  </si>
  <si>
    <t>CNT17</t>
  </si>
  <si>
    <t>CNT18</t>
  </si>
  <si>
    <t>CNT19</t>
  </si>
  <si>
    <t>CNT20</t>
  </si>
  <si>
    <t>CNT21</t>
  </si>
  <si>
    <t>CNT22</t>
  </si>
  <si>
    <t>CNT23</t>
  </si>
  <si>
    <t>CNT24</t>
  </si>
  <si>
    <t>CNT25</t>
  </si>
  <si>
    <t>CNT26</t>
  </si>
  <si>
    <t>CNT27</t>
  </si>
  <si>
    <t>CNT28</t>
  </si>
  <si>
    <t>CNT29</t>
  </si>
  <si>
    <t>CNT30</t>
  </si>
  <si>
    <t>CNT31</t>
  </si>
  <si>
    <t>CNT32</t>
  </si>
  <si>
    <t>CNT33</t>
  </si>
  <si>
    <t>CNT34</t>
  </si>
  <si>
    <t>CNT35</t>
  </si>
  <si>
    <t>CNT36</t>
  </si>
  <si>
    <t>CNT37</t>
  </si>
  <si>
    <t>CNT38</t>
  </si>
  <si>
    <t>CNT39</t>
  </si>
  <si>
    <t>CNT40</t>
  </si>
  <si>
    <t>CNT41</t>
  </si>
  <si>
    <t>CNT42</t>
  </si>
  <si>
    <t>CNT43</t>
  </si>
  <si>
    <t>CNT44</t>
  </si>
  <si>
    <t>CNT45</t>
  </si>
  <si>
    <t>CNT46</t>
  </si>
  <si>
    <t>CNT47</t>
  </si>
  <si>
    <t>CNT48</t>
  </si>
  <si>
    <t>CNT49</t>
  </si>
  <si>
    <t>CNT50</t>
  </si>
  <si>
    <t>CNT51</t>
  </si>
  <si>
    <t>CNT52</t>
  </si>
  <si>
    <t>CNT53</t>
  </si>
  <si>
    <t>CNT54</t>
  </si>
  <si>
    <t>CNT55</t>
  </si>
  <si>
    <t>CNT56</t>
  </si>
  <si>
    <t>CNT57</t>
  </si>
  <si>
    <t>CNT58</t>
  </si>
  <si>
    <t>CNT59</t>
  </si>
  <si>
    <t>CNT60</t>
  </si>
  <si>
    <t>CNT61</t>
  </si>
  <si>
    <t>CNT62</t>
  </si>
  <si>
    <t>ADC[0]_0</t>
    <phoneticPr fontId="3"/>
  </si>
  <si>
    <t>Analog Inputs_0</t>
    <phoneticPr fontId="3"/>
  </si>
  <si>
    <t>Analog Inputs_1</t>
  </si>
  <si>
    <t>Analog Inputs_2</t>
  </si>
  <si>
    <t>Analog Inputs_3</t>
  </si>
  <si>
    <t>Analog Inputs_4</t>
  </si>
  <si>
    <t>Analog Inputs_5</t>
  </si>
  <si>
    <t>Analog Inputs_6</t>
  </si>
  <si>
    <t>Analog Inputs_7</t>
  </si>
  <si>
    <t>Analog Inputs_8</t>
  </si>
  <si>
    <t>Analog Inputs_9</t>
  </si>
  <si>
    <t>Analog Inputs_10</t>
  </si>
  <si>
    <t>Analog Inputs_11</t>
  </si>
  <si>
    <t>Analog Inputs_12</t>
  </si>
  <si>
    <t>Analog Inputs_13</t>
  </si>
  <si>
    <t>Analog Inputs_14</t>
  </si>
  <si>
    <t>Analog Inputs_15</t>
  </si>
  <si>
    <t>Analog Inputs_16</t>
  </si>
  <si>
    <t>Analog Inputs_17</t>
  </si>
  <si>
    <t>Analog Inputs_18</t>
  </si>
  <si>
    <t>Analog Inputs_19</t>
  </si>
  <si>
    <t>Analog Inputs_20</t>
  </si>
  <si>
    <t>Analog Inputs_21</t>
  </si>
  <si>
    <t>Analog Inputs_22</t>
  </si>
  <si>
    <t>Analog Inputs_23</t>
  </si>
  <si>
    <t>Analog Inputs_24</t>
  </si>
  <si>
    <t>Analog Inputs_25</t>
  </si>
  <si>
    <t>Analog Inputs_26</t>
  </si>
  <si>
    <t>Analog Inputs_27</t>
  </si>
  <si>
    <t>Analog Inputs_28</t>
  </si>
  <si>
    <t>Analog Inputs_29</t>
  </si>
  <si>
    <t>Analog Inputs_30</t>
  </si>
  <si>
    <t>Analog Inputs_31</t>
  </si>
  <si>
    <t>Number of pins used for motor</t>
    <phoneticPr fontId="3"/>
  </si>
  <si>
    <t>(Function)</t>
    <phoneticPr fontId="3"/>
  </si>
  <si>
    <t>(TCPWM TR)</t>
    <phoneticPr fontId="3"/>
  </si>
  <si>
    <t>(UART)</t>
    <phoneticPr fontId="3"/>
  </si>
  <si>
    <t>(I2C)</t>
    <phoneticPr fontId="3"/>
  </si>
  <si>
    <t>(SPI)</t>
    <phoneticPr fontId="3"/>
  </si>
  <si>
    <t>(LIN)</t>
    <phoneticPr fontId="3"/>
  </si>
  <si>
    <t>(CAN)</t>
    <phoneticPr fontId="3"/>
  </si>
  <si>
    <t>(Others)</t>
    <phoneticPr fontId="3"/>
  </si>
  <si>
    <t>(DEBUG)</t>
    <phoneticPr fontId="3"/>
  </si>
  <si>
    <t>(Analog)</t>
    <phoneticPr fontId="3"/>
  </si>
  <si>
    <t>(TCPWM)</t>
    <phoneticPr fontId="3"/>
  </si>
  <si>
    <t>Active Mapping</t>
    <phoneticPr fontId="3"/>
  </si>
  <si>
    <t>Main digital supply</t>
    <phoneticPr fontId="3"/>
  </si>
  <si>
    <t>Main digital ground</t>
    <phoneticPr fontId="3"/>
  </si>
  <si>
    <t>I/O supply for analog I/Os</t>
    <phoneticPr fontId="3"/>
  </si>
  <si>
    <t>Main regulated supply</t>
    <phoneticPr fontId="3"/>
  </si>
  <si>
    <t>Low reference voltage for SAR ADCs</t>
    <phoneticPr fontId="3"/>
  </si>
  <si>
    <t>High reference voltage for SAR ADCs</t>
    <phoneticPr fontId="3"/>
  </si>
  <si>
    <t>Main analog ground</t>
    <phoneticPr fontId="3"/>
  </si>
  <si>
    <t>Main analog supply for SAR ADCs</t>
    <phoneticPr fontId="3"/>
  </si>
  <si>
    <t>Active LOW external reset input</t>
    <phoneticPr fontId="3"/>
  </si>
  <si>
    <t>GPIO_ENH</t>
    <phoneticPr fontId="3"/>
  </si>
  <si>
    <t>Power
Source</t>
    <phoneticPr fontId="3"/>
  </si>
  <si>
    <t>-</t>
    <phoneticPr fontId="3"/>
  </si>
  <si>
    <t>Type</t>
    <phoneticPr fontId="3"/>
  </si>
  <si>
    <t>I/O Port</t>
    <phoneticPr fontId="3"/>
  </si>
  <si>
    <t>-</t>
    <phoneticPr fontId="3"/>
  </si>
  <si>
    <t>VDDIO_1</t>
    <phoneticPr fontId="3"/>
  </si>
  <si>
    <t>VDDIO_2</t>
    <phoneticPr fontId="3"/>
  </si>
  <si>
    <t>VDDD</t>
    <phoneticPr fontId="3"/>
  </si>
  <si>
    <t>P11.0</t>
    <phoneticPr fontId="3"/>
  </si>
  <si>
    <t>P22.0</t>
    <phoneticPr fontId="3"/>
  </si>
  <si>
    <t>P11.0 [*1]</t>
    <phoneticPr fontId="3"/>
  </si>
  <si>
    <t>P11.1 [*1]</t>
    <phoneticPr fontId="3"/>
  </si>
  <si>
    <t>P11.2 [*1]</t>
    <phoneticPr fontId="3"/>
  </si>
  <si>
    <t>P21.0 [*1]</t>
    <phoneticPr fontId="3"/>
  </si>
  <si>
    <t>P21.1 [*1]</t>
    <phoneticPr fontId="3"/>
  </si>
  <si>
    <t>P21.2 [*1]</t>
    <phoneticPr fontId="3"/>
  </si>
  <si>
    <t>P21.3 [*1]</t>
    <phoneticPr fontId="3"/>
  </si>
  <si>
    <t>P21.5 [*1]</t>
    <phoneticPr fontId="3"/>
  </si>
  <si>
    <t>P21.6 [*1]</t>
    <phoneticPr fontId="3"/>
  </si>
  <si>
    <t>*1. +B injected DC currents are not allowed for Ports 11 and 21.</t>
    <phoneticPr fontId="3"/>
  </si>
  <si>
    <t>Pin Usage Status_144-LQFP for peripheral</t>
    <phoneticPr fontId="3"/>
  </si>
  <si>
    <t>Pin Usage Status_176-LQFP for peripheral</t>
    <phoneticPr fontId="3"/>
  </si>
  <si>
    <t>Pin Usage Status_100-LQFP for peripheral</t>
    <phoneticPr fontId="3"/>
  </si>
  <si>
    <t>Pin Usage Status_80-LQFP for peripheral</t>
    <phoneticPr fontId="3"/>
  </si>
  <si>
    <t>SCB0_SDA (0)</t>
  </si>
  <si>
    <t>SCB0_SCL (1)</t>
  </si>
  <si>
    <t>SCB0_SDA (1)</t>
  </si>
  <si>
    <t>SCB0_SCL (0)</t>
    <phoneticPr fontId="3"/>
  </si>
  <si>
    <t>SCB0_MISO (0)</t>
  </si>
  <si>
    <t>SCB0_MOSI (0)</t>
  </si>
  <si>
    <t>SCB0_CLK (0)</t>
  </si>
  <si>
    <t>SCB0_SEL0 (0)</t>
  </si>
  <si>
    <t>SCB0_MISO (1)</t>
  </si>
  <si>
    <t>SCB0_MOSI (1)</t>
  </si>
  <si>
    <t>SCB0_CLK (1)</t>
  </si>
  <si>
    <t>SCB0_SEL0 (1)</t>
  </si>
  <si>
    <t>SCB0_SEL1 (0)</t>
  </si>
  <si>
    <t>SCB0_SEL2 (0)</t>
  </si>
  <si>
    <t>SCB0_SEL3 (0)</t>
  </si>
  <si>
    <t>SCB0_RX (0)</t>
  </si>
  <si>
    <t>SCB7_SDA (2)</t>
  </si>
  <si>
    <t>SCB0_TX (0)</t>
  </si>
  <si>
    <t>SCB7_SCL (2)</t>
  </si>
  <si>
    <t>SCB0_RTS (0)</t>
  </si>
  <si>
    <t>SCB0_CTS (0)</t>
  </si>
  <si>
    <t>SCB7_RX (0)</t>
  </si>
  <si>
    <t>SCB7_TX (0)</t>
  </si>
  <si>
    <t>SCB7_SDA (0)</t>
  </si>
  <si>
    <t>SCB7_RTS (0)</t>
  </si>
  <si>
    <t>SCB7_SCL (0)</t>
  </si>
  <si>
    <t>SCB7_CTS (0)</t>
  </si>
  <si>
    <t>SCB6_RX (0)</t>
  </si>
  <si>
    <t>SCB6_TX (0)</t>
  </si>
  <si>
    <t>SCB6_SDA (0)</t>
  </si>
  <si>
    <t>SCB6_RTS (0)</t>
  </si>
  <si>
    <t>SCB6_SCL (0)</t>
  </si>
  <si>
    <t>SCB6_CTS (0)</t>
  </si>
  <si>
    <t>SCB5_RX (0)</t>
  </si>
  <si>
    <t>SCB5_TX (0)</t>
  </si>
  <si>
    <t>SCB5_SDA (0)</t>
  </si>
  <si>
    <t>SCB5_RTS (0)</t>
  </si>
  <si>
    <t>SCB5_SCL (0)</t>
  </si>
  <si>
    <t>SCB5_CTS (0)</t>
  </si>
  <si>
    <t>SCB7_MISO (0)</t>
  </si>
  <si>
    <t>SCB7_MOSI (0)</t>
  </si>
  <si>
    <t>SCB7_CLK (0)</t>
  </si>
  <si>
    <t>SCB7_SEL0 (0)</t>
  </si>
  <si>
    <t>SCB7_SEL1 (0)</t>
  </si>
  <si>
    <t>SCB7_SEL2 (0)</t>
  </si>
  <si>
    <t>SCB6_MISO (0)</t>
  </si>
  <si>
    <t>SCB6_MOSI (0)</t>
  </si>
  <si>
    <t>SCB6_CLK (0)</t>
  </si>
  <si>
    <t>SCB6_SEL0 (0)</t>
  </si>
  <si>
    <t>SCB6_SEL1 (0)</t>
  </si>
  <si>
    <t>SCB6_SEL2 (0)</t>
  </si>
  <si>
    <t>SCB5_MISO (0)</t>
  </si>
  <si>
    <t>SCB5_MOSI (0)</t>
  </si>
  <si>
    <t>SCB5_CLK (0)</t>
  </si>
  <si>
    <t>SCB5_SEL0 (0)</t>
  </si>
  <si>
    <t>SCB5_SEL1 (0)</t>
  </si>
  <si>
    <t>SCB5_SEL2 (0)</t>
  </si>
  <si>
    <t>SCB4_RX (0)</t>
  </si>
  <si>
    <t>SCB4_MISO (0)</t>
  </si>
  <si>
    <t>SCB4_TX (0)</t>
  </si>
  <si>
    <t>SCB4_SDA (0)</t>
  </si>
  <si>
    <t>SCB4_MOSI (0)</t>
  </si>
  <si>
    <t>SCB4_RTS (0)</t>
  </si>
  <si>
    <t>SCB4_SCL (0)</t>
  </si>
  <si>
    <t>SCB4_CLK (0)</t>
  </si>
  <si>
    <t>SCB4_CTS (0)</t>
  </si>
  <si>
    <t>SCB4_SEL0 (0)</t>
  </si>
  <si>
    <t>SCB4_SEL1 (0)</t>
  </si>
  <si>
    <t>SCB4_SEL2 (0)</t>
  </si>
  <si>
    <t>SCB4_SEL3 (0)</t>
  </si>
  <si>
    <t>SCB5_RX (1)</t>
  </si>
  <si>
    <t>SCB5_MISO (1)</t>
  </si>
  <si>
    <t>SCB5_TX (1)</t>
  </si>
  <si>
    <t>SCB5_SDA (1)</t>
  </si>
  <si>
    <t>SCB5_MOSI (1)</t>
  </si>
  <si>
    <t>SCB5_RTS (1)</t>
  </si>
  <si>
    <t>SCB5_SCL (1)</t>
  </si>
  <si>
    <t>SCB5_CLK (1)</t>
  </si>
  <si>
    <t>SCB5_CTS (1)</t>
  </si>
  <si>
    <t>SCB5_SEL0 (1)</t>
  </si>
  <si>
    <t>SCB5_SEL1 (1)</t>
  </si>
  <si>
    <t>SCB5_SEL2 (1)</t>
  </si>
  <si>
    <t>SCB4_RX (1)</t>
  </si>
  <si>
    <t>SCB4_MISO (1)</t>
  </si>
  <si>
    <t>SCB4_TX (1)</t>
  </si>
  <si>
    <t>SCB4_SDA (1)</t>
  </si>
  <si>
    <t>SCB4_MOSI (1)</t>
  </si>
  <si>
    <t>SCB4_RTS (1)</t>
  </si>
  <si>
    <t>SCB4_SCL (1)</t>
  </si>
  <si>
    <t>SCB4_CLK (1)</t>
  </si>
  <si>
    <t>SCB4_CTS (1)</t>
  </si>
  <si>
    <t>SCB4_SEL0 (1)</t>
  </si>
  <si>
    <t>SCB4_SEL1 (1)</t>
  </si>
  <si>
    <t>SCB4_SEL2 (1)</t>
  </si>
  <si>
    <t>SCB3_RX (0)</t>
  </si>
  <si>
    <t>SCB3_MISO (0)</t>
  </si>
  <si>
    <t>SCB3_TX (0)</t>
  </si>
  <si>
    <t>SCB3_SDA (0)</t>
  </si>
  <si>
    <t>SCB3_MOSI (0)</t>
  </si>
  <si>
    <t>SCB3_RTS (0)</t>
  </si>
  <si>
    <t>SCB3_SCL (0)</t>
  </si>
  <si>
    <t>SCB3_CLK (0)</t>
  </si>
  <si>
    <t>SCB3_CTS (0)</t>
  </si>
  <si>
    <t>SCB3_SEL0 (0)</t>
  </si>
  <si>
    <t>SCB3_SEL1 (0)</t>
  </si>
  <si>
    <t>SCB3_SEL2 (0)</t>
  </si>
  <si>
    <t>SCB3_SEL3 (0)</t>
  </si>
  <si>
    <t>SCB2_RX (0)</t>
  </si>
  <si>
    <t>SCB2_MISO (0)</t>
  </si>
  <si>
    <t>SCB2_TX (0)</t>
  </si>
  <si>
    <t>SCB2_SDA (0)</t>
  </si>
  <si>
    <t>SCB2_MOSI (0)</t>
  </si>
  <si>
    <t>SCB2_RTS (0)</t>
  </si>
  <si>
    <t>SCB2_SCL (0)</t>
  </si>
  <si>
    <t>SCB2_CLK (0)</t>
  </si>
  <si>
    <t>SCB2_CTS (0)</t>
  </si>
  <si>
    <t>SCB2_SEL0 (0)</t>
  </si>
  <si>
    <t>SCB2_SEL1 (0)</t>
  </si>
  <si>
    <t>SCB2_SEL2 (0)</t>
  </si>
  <si>
    <t>SCB3_RX (1)</t>
  </si>
  <si>
    <t>SCB3_MISO (1)</t>
  </si>
  <si>
    <t>SCB3_TX (1)</t>
  </si>
  <si>
    <t>SCB3_SDA (1)</t>
  </si>
  <si>
    <t>SCB3_MOSI (1)</t>
  </si>
  <si>
    <t>SCB3_RTS (1)</t>
  </si>
  <si>
    <t>SCB3_SCL (1)</t>
  </si>
  <si>
    <t>SCB3_CLK (1)</t>
  </si>
  <si>
    <t>SCB3_CTS (1)</t>
  </si>
  <si>
    <t>SCB3_SEL0 (1)</t>
  </si>
  <si>
    <t>SCB3_SEL1 (1)</t>
  </si>
  <si>
    <t>SCB3_SEL2 (1)</t>
  </si>
  <si>
    <t>SCB1_RX (0)</t>
  </si>
  <si>
    <t>SCB1_MISO (0)</t>
  </si>
  <si>
    <t>SCB1_TX (0)</t>
  </si>
  <si>
    <t>SCB1_SDA (0)</t>
  </si>
  <si>
    <t>SCB1_MOSI (0)</t>
  </si>
  <si>
    <t>SCB1_RTS (0)</t>
  </si>
  <si>
    <t>SCB1_SCL (0)</t>
  </si>
  <si>
    <t>SCB1_CLK (0)</t>
  </si>
  <si>
    <t>SCB1_CTS (0)</t>
  </si>
  <si>
    <t>SCB1_SEL0 (0)</t>
  </si>
  <si>
    <t>SCB1_SEL1 (0)</t>
  </si>
  <si>
    <t>SCB1_SEL2 (0)</t>
  </si>
  <si>
    <t>SCB1_SEL3 (0)</t>
  </si>
  <si>
    <t>SCB2_RX (1)</t>
  </si>
  <si>
    <t>SCB2_MISO (1)</t>
  </si>
  <si>
    <t>SCB2_TX (1)</t>
  </si>
  <si>
    <t>SCB2_SDA (1)</t>
  </si>
  <si>
    <t>SCB2_MOSI (1)</t>
  </si>
  <si>
    <t>SCB2_RTS (1)</t>
  </si>
  <si>
    <t>SCB2_SCL (1)</t>
  </si>
  <si>
    <t>SCB2_CLK (1)</t>
  </si>
  <si>
    <t>SCB2_CTS (1)</t>
  </si>
  <si>
    <t>SCB2_SEL0 (1)</t>
  </si>
  <si>
    <t>SCB2_SEL1 (1)</t>
  </si>
  <si>
    <t>SCB2_SEL2 (1)</t>
  </si>
  <si>
    <t>SCB1_RX (1)</t>
  </si>
  <si>
    <t>SCB1_MISO (1)</t>
  </si>
  <si>
    <t>SCB1_TX (1)</t>
  </si>
  <si>
    <t>SCB1_SDA (1)</t>
  </si>
  <si>
    <t>SCB1_MOSI (1)</t>
  </si>
  <si>
    <t>SCB1_RTS (1)</t>
  </si>
  <si>
    <t>SCB1_SCL (1)</t>
  </si>
  <si>
    <t>SCB1_CLK (1)</t>
  </si>
  <si>
    <t>SCB1_CTS (1)</t>
  </si>
  <si>
    <t>SCB1_SEL0 (1)</t>
  </si>
  <si>
    <t>SCB1_SEL1 (1)</t>
  </si>
  <si>
    <t>SCB1_SEL2 (1)</t>
  </si>
  <si>
    <t>SCB6_RX (1)</t>
  </si>
  <si>
    <t>SCB6_MISO (1)</t>
  </si>
  <si>
    <t>SCB6_TX (1)</t>
  </si>
  <si>
    <t>SCB6_SDA (1)</t>
  </si>
  <si>
    <t>SCB6_MOSI (1)</t>
  </si>
  <si>
    <t>SCB6_RTS (1)</t>
  </si>
  <si>
    <t>SCB6_SCL (1)</t>
  </si>
  <si>
    <t>SCB6_CLK (1)</t>
  </si>
  <si>
    <t>SCB6_CTS (1)</t>
  </si>
  <si>
    <t>SCB6_SEL0 (1)</t>
  </si>
  <si>
    <t>SCB6_SEL1 (1)</t>
  </si>
  <si>
    <t>SCB6_SEL2 (1)</t>
  </si>
  <si>
    <t>SCB7_RX (1)</t>
  </si>
  <si>
    <t>SCB7_MISO (1)</t>
  </si>
  <si>
    <t>SCB7_TX (1)</t>
  </si>
  <si>
    <t>SCB7_SDA (1)</t>
  </si>
  <si>
    <t>SCB7_MOSI (1)</t>
  </si>
  <si>
    <t>SCB7_RTS (1)</t>
  </si>
  <si>
    <t>SCB7_SCL (1)</t>
  </si>
  <si>
    <t>SCB7_CLK (1)</t>
  </si>
  <si>
    <t>SCB7_CTS (1)</t>
  </si>
  <si>
    <t>SCB7_SEL0 (1)</t>
  </si>
  <si>
    <t>SCB7_SEL1 (1)</t>
  </si>
  <si>
    <t>SCB7_SEL2 (1)</t>
  </si>
  <si>
    <t>P21.0</t>
    <phoneticPr fontId="3"/>
  </si>
  <si>
    <t>P21.1</t>
    <phoneticPr fontId="3"/>
  </si>
  <si>
    <t>P21.2</t>
    <phoneticPr fontId="3"/>
  </si>
  <si>
    <t>P21.3</t>
    <phoneticPr fontId="3"/>
  </si>
  <si>
    <t>P21.5</t>
    <phoneticPr fontId="3"/>
  </si>
  <si>
    <t>P21.6</t>
    <phoneticPr fontId="3"/>
  </si>
  <si>
    <t>P11.1</t>
    <phoneticPr fontId="3"/>
  </si>
  <si>
    <t>P11.2</t>
    <phoneticPr fontId="3"/>
  </si>
  <si>
    <t>SCB0_RX (0)</t>
    <phoneticPr fontId="3"/>
  </si>
  <si>
    <t>SCB7_RX (0)</t>
    <phoneticPr fontId="3"/>
  </si>
  <si>
    <t>TX (0)</t>
    <phoneticPr fontId="3"/>
  </si>
  <si>
    <t>TX (1)</t>
    <phoneticPr fontId="3"/>
  </si>
  <si>
    <t>RX (0)</t>
    <phoneticPr fontId="3"/>
  </si>
  <si>
    <t>CTS (0)</t>
    <phoneticPr fontId="3"/>
  </si>
  <si>
    <t>RTS (0)</t>
    <phoneticPr fontId="3"/>
  </si>
  <si>
    <t>RX (1)</t>
    <phoneticPr fontId="3"/>
  </si>
  <si>
    <t>CTS (1)</t>
    <phoneticPr fontId="3"/>
  </si>
  <si>
    <t>RTS (1)</t>
    <phoneticPr fontId="3"/>
  </si>
  <si>
    <t>Pin Usage Status_64-LQFP for peripheral</t>
    <phoneticPr fontId="3"/>
  </si>
  <si>
    <t>SCB7_SDA (2)</t>
    <phoneticPr fontId="3"/>
  </si>
  <si>
    <t>SDA (0)</t>
    <phoneticPr fontId="3"/>
  </si>
  <si>
    <t>SDA (1)</t>
    <phoneticPr fontId="3"/>
  </si>
  <si>
    <t>SDA (2)</t>
    <phoneticPr fontId="3"/>
  </si>
  <si>
    <t>SCL (0)</t>
    <phoneticPr fontId="3"/>
  </si>
  <si>
    <t>SCL (1)</t>
    <phoneticPr fontId="3"/>
  </si>
  <si>
    <t>SCL (2)</t>
    <phoneticPr fontId="3"/>
  </si>
  <si>
    <t>SCB7_MISO (0)</t>
    <phoneticPr fontId="3"/>
  </si>
  <si>
    <t>CLK (0)</t>
    <phoneticPr fontId="3"/>
  </si>
  <si>
    <t>MOSI (0)</t>
    <phoneticPr fontId="3"/>
  </si>
  <si>
    <t>MISO (0)</t>
    <phoneticPr fontId="3"/>
  </si>
  <si>
    <t>SEL0 (0)</t>
    <phoneticPr fontId="3"/>
  </si>
  <si>
    <t>SEL1 (0)</t>
    <phoneticPr fontId="3"/>
  </si>
  <si>
    <t>SEL2 (0)</t>
    <phoneticPr fontId="3"/>
  </si>
  <si>
    <t>SEL3 (0)</t>
    <phoneticPr fontId="3"/>
  </si>
  <si>
    <t>CLK (1)</t>
    <phoneticPr fontId="3"/>
  </si>
  <si>
    <t>MOSI (1)</t>
    <phoneticPr fontId="3"/>
  </si>
  <si>
    <t>MISO (1)</t>
    <phoneticPr fontId="3"/>
  </si>
  <si>
    <t>SEL0 (1)</t>
    <phoneticPr fontId="3"/>
  </si>
  <si>
    <t>SEL1 (1)</t>
    <phoneticPr fontId="3"/>
  </si>
  <si>
    <t>SEL2 (1)</t>
    <phoneticPr fontId="3"/>
  </si>
  <si>
    <t>SEL3 (1)</t>
    <phoneticPr fontId="3"/>
  </si>
  <si>
    <t>Analog Inputs for Motor</t>
    <phoneticPr fontId="3"/>
  </si>
  <si>
    <t>Connection_1</t>
    <phoneticPr fontId="4"/>
  </si>
  <si>
    <t>Connection_2</t>
    <phoneticPr fontId="3"/>
  </si>
  <si>
    <t>002-34925_01 - REFERENCE DATA</t>
    <phoneticPr fontId="3"/>
  </si>
  <si>
    <t>P11.0 [*1]</t>
    <phoneticPr fontId="3"/>
  </si>
  <si>
    <t>P11.1 [*1]</t>
    <phoneticPr fontId="3"/>
  </si>
  <si>
    <t>P11.2 [*1]</t>
    <phoneticPr fontId="3"/>
  </si>
  <si>
    <t>P21.0 [*1]</t>
    <phoneticPr fontId="3"/>
  </si>
  <si>
    <t>P21.1 [*1]</t>
    <phoneticPr fontId="3"/>
  </si>
  <si>
    <t>P21.2 [*1]</t>
    <phoneticPr fontId="3"/>
  </si>
  <si>
    <t>P21.3 [*1]</t>
    <phoneticPr fontId="3"/>
  </si>
  <si>
    <t>P21.4 [*1]</t>
    <phoneticPr fontId="3"/>
  </si>
  <si>
    <t>P21.5 [*1]</t>
    <phoneticPr fontId="3"/>
  </si>
  <si>
    <t>P21.6 [*1]</t>
    <phoneticPr fontId="3"/>
  </si>
  <si>
    <t>P21.7 [*1]</t>
    <phoneticPr fontId="3"/>
  </si>
  <si>
    <t>P21.7</t>
    <phoneticPr fontId="3"/>
  </si>
  <si>
    <t>P21.4</t>
    <phoneticPr fontId="3"/>
  </si>
  <si>
    <t>SMARTIO</t>
    <phoneticPr fontId="4"/>
  </si>
  <si>
    <t>Memo</t>
    <phoneticPr fontId="4"/>
  </si>
  <si>
    <t>SPI</t>
    <phoneticPr fontId="3"/>
  </si>
  <si>
    <t>ID</t>
    <phoneticPr fontId="3"/>
  </si>
  <si>
    <t>UART</t>
    <phoneticPr fontId="3"/>
  </si>
  <si>
    <t>I2C</t>
    <phoneticPr fontId="3"/>
  </si>
  <si>
    <t>Number of counts other than 0</t>
    <phoneticPr fontId="3"/>
  </si>
  <si>
    <t xml:space="preserve">      - For any function marked with an identifier (n), the AC timing is only guaranteed within the respective group "n".</t>
    <phoneticPr fontId="3"/>
  </si>
  <si>
    <t>[Notices]</t>
    <phoneticPr fontId="3"/>
  </si>
  <si>
    <t xml:space="preserve">      - Different functions are selected in same SCB ch.</t>
    <phoneticPr fontId="3"/>
  </si>
  <si>
    <t>*2: Check the followings.</t>
    <phoneticPr fontId="3"/>
  </si>
  <si>
    <t>Revision History</t>
    <phoneticPr fontId="3"/>
  </si>
  <si>
    <t>Revision</t>
    <phoneticPr fontId="3"/>
  </si>
  <si>
    <t>Issue Date</t>
    <phoneticPr fontId="3"/>
  </si>
  <si>
    <t>Description of Change</t>
    <phoneticPr fontId="3"/>
  </si>
  <si>
    <t>**</t>
    <phoneticPr fontId="3"/>
  </si>
  <si>
    <t>04/11/2022</t>
    <phoneticPr fontId="3"/>
  </si>
  <si>
    <t>Initial Release</t>
    <phoneticPr fontId="3"/>
  </si>
  <si>
    <t>*A</t>
    <phoneticPr fontId="3"/>
  </si>
  <si>
    <t>IMPORTANT NOTICE</t>
    <phoneticPr fontId="3"/>
  </si>
  <si>
    <t>The tool used by Infineon Technologies is not fully validated and the behavior of parameters of the products assessed by Infineon Technologies is based on assumptions only. Therefore, the assessment results shown in this document shall be regarded as an indication only and in no event as a description or warranty of a certain functionality, condition or quality of the products. Before implementation of the products, the recipient of this document must verify any function and other technical information given herein in the real application. Infineon Technologies hereby disclaims any and all warranties and liabilities of any kind (including without limitation warranties of non-infringement of intellectual property rights of any third party) with respect to any and all information given in this document. 
The data contained in this document is exclusively intended for technically trained staff. It is the responsibility of customer’s technical departments to evaluate the suitability of the products for the intended application and the completeness of the product information given in this document with respect to such application.   Please note that technical specifications of Infineon’s products are conclusively stated in the applicable Infineon data sheets.
Infineon Technologies reserves  the  right  to  make  changes  to  this  document without further notice.</t>
    <phoneticPr fontId="3"/>
  </si>
  <si>
    <t>IMPORTANT NOTICE</t>
    <phoneticPr fontId="3"/>
  </si>
  <si>
    <t>The tool used by Infineon Technologies is not fully validated and the behavior of parameters of the products assessed by Infineon Technologies is based on assumptions only. Therefore, the assessment results shown in this document shall be regarded as an indication only and in no event as a description or warranty of a certain functionality, condition or quality of the products. Before implementation of the products, the recipient of this document must verify any function and other technical information given herein in the real application. Infineon Technologies hereby disclaims any and all warranties and liabilities of any kind (including without limitation warranties of non-infringement of intellectual property rights of any third party) with respect to any and all information given in this document. 
The data contained in this document is exclusively intended for technically trained staff. It is the responsibility of customer’s technical departments to evaluate the suitability of the products for the intended application and the completeness of the product information given in this document with respect to such application.   Please note that technical specifications of Infineon’s products are conclusively stated in the applicable Infineon data sheets.
Infineon Technologies reserves  the  right  to  make  changes  to  this  document without further notice.</t>
    <phoneticPr fontId="3"/>
  </si>
  <si>
    <t>PWM0_18</t>
  </si>
  <si>
    <t>PWM0_22_N</t>
  </si>
  <si>
    <t>TC0_18_TR0</t>
  </si>
  <si>
    <t>TC0_22_TR1</t>
  </si>
  <si>
    <t>PWM0_17</t>
  </si>
  <si>
    <t>PWM0_18_N</t>
  </si>
  <si>
    <t>TC0_17_TR0</t>
  </si>
  <si>
    <t>TC0_18_TR1</t>
  </si>
  <si>
    <t>PWM0_14</t>
  </si>
  <si>
    <t>PWM0_17_N</t>
  </si>
  <si>
    <t>TC0_14_TR0</t>
  </si>
  <si>
    <t>TC0_17_TR1</t>
  </si>
  <si>
    <t>PWM0_13</t>
  </si>
  <si>
    <t>PWM0_14_N</t>
  </si>
  <si>
    <t>TC0_13_TR0</t>
  </si>
  <si>
    <t>TC0_14_TR1</t>
  </si>
  <si>
    <t>PWM0_12</t>
  </si>
  <si>
    <t>PWM0_13_N</t>
  </si>
  <si>
    <t>TC0_12_TR0</t>
  </si>
  <si>
    <t>TC0_13_TR1</t>
  </si>
  <si>
    <t>PWM0_11</t>
  </si>
  <si>
    <t>PWM0_12_N</t>
  </si>
  <si>
    <t>TC0_11_TR0</t>
  </si>
  <si>
    <t>TC0_12_TR1</t>
  </si>
  <si>
    <t>PWM0_10</t>
  </si>
  <si>
    <t>PWM0_11_N</t>
  </si>
  <si>
    <t>TC0_10_TR0</t>
  </si>
  <si>
    <t>TC0_11_TR1</t>
  </si>
  <si>
    <t>PWM0_8</t>
  </si>
  <si>
    <t>PWM0_10_N</t>
  </si>
  <si>
    <t>TC0_8_TR0</t>
  </si>
  <si>
    <t>TC0_10_TR1</t>
  </si>
  <si>
    <t>PWM0_7</t>
  </si>
  <si>
    <t>PWM0_8_N</t>
  </si>
  <si>
    <t>TC0_7_TR0</t>
  </si>
  <si>
    <t>TC0_8_TR1</t>
  </si>
  <si>
    <t>PWM0_6</t>
  </si>
  <si>
    <t>PWM0_7_N</t>
  </si>
  <si>
    <t>TC0_6_TR0</t>
  </si>
  <si>
    <t>TC0_7_TR1</t>
  </si>
  <si>
    <t>PWM0_5</t>
  </si>
  <si>
    <t>PWM0_6_N</t>
  </si>
  <si>
    <t>TC0_5_TR0</t>
  </si>
  <si>
    <t>TC0_6_TR1</t>
  </si>
  <si>
    <t>PWM0_4</t>
  </si>
  <si>
    <t>PWM0_5_N</t>
  </si>
  <si>
    <t>TC0_4_TR0</t>
  </si>
  <si>
    <t>TC0_5_TR1</t>
  </si>
  <si>
    <t>PWM0_3</t>
  </si>
  <si>
    <t>PWM0_4_N</t>
  </si>
  <si>
    <t>TC0_3_TR0</t>
  </si>
  <si>
    <t>TC0_4_TR1</t>
  </si>
  <si>
    <t>PWM0_2</t>
  </si>
  <si>
    <t>PWM0_3_N</t>
  </si>
  <si>
    <t>TC0_2_TR0</t>
  </si>
  <si>
    <t>TC0_3_TR1</t>
  </si>
  <si>
    <t>PWM0_1</t>
  </si>
  <si>
    <t>PWM0_2_N</t>
  </si>
  <si>
    <t>TC0_1_TR0</t>
  </si>
  <si>
    <t>TC0_2_TR1</t>
  </si>
  <si>
    <t>PWM0_0</t>
  </si>
  <si>
    <t>PWM0_1_N</t>
  </si>
  <si>
    <t>TC0_0_TR0</t>
  </si>
  <si>
    <t>TC0_1_TR1</t>
  </si>
  <si>
    <t>PWM0_M_3</t>
  </si>
  <si>
    <t>PWM0_0_N</t>
  </si>
  <si>
    <t>TC0_M_3_TR0</t>
  </si>
  <si>
    <t>TC0_0_TR1</t>
  </si>
  <si>
    <t>PWM0_M_2</t>
  </si>
  <si>
    <t>PWM0_M_3_N</t>
  </si>
  <si>
    <t>TC0_M_2_TR0</t>
  </si>
  <si>
    <t>TC0_M_3_TR1</t>
  </si>
  <si>
    <t>PWM0_M_1</t>
  </si>
  <si>
    <t>PWM0_M_2_N</t>
  </si>
  <si>
    <t>TC0_M_1_TR0</t>
  </si>
  <si>
    <t>TC0_M_2_TR1</t>
  </si>
  <si>
    <t>PWM0_M_0</t>
  </si>
  <si>
    <t>PWM0_M_1_N</t>
  </si>
  <si>
    <t>TC0_M_0_TR0</t>
  </si>
  <si>
    <t>TC0_M_1_TR1</t>
  </si>
  <si>
    <t>PWM0_M_0_N</t>
  </si>
  <si>
    <t>TC0_M_0_TR1</t>
  </si>
  <si>
    <t>PWM0_9</t>
  </si>
  <si>
    <t>TC0_9_TR0</t>
  </si>
  <si>
    <t>PWM0_9_N</t>
  </si>
  <si>
    <t>TC0_9_TR1</t>
  </si>
  <si>
    <t>PWM0_M_4</t>
  </si>
  <si>
    <t>TC0_M_4_TR0</t>
  </si>
  <si>
    <t>PWM0_15</t>
  </si>
  <si>
    <t>PWM0_M_4_N</t>
  </si>
  <si>
    <t>TC0_15_TR0</t>
  </si>
  <si>
    <t>TC0_M_4_TR1</t>
  </si>
  <si>
    <t>PWM0_M_5</t>
  </si>
  <si>
    <t>PWM0_15_N</t>
  </si>
  <si>
    <t>TC0_M_5_TR0</t>
  </si>
  <si>
    <t>TC0_15_TR1</t>
  </si>
  <si>
    <t>PWM0_16</t>
  </si>
  <si>
    <t>PWM0_M_5_N</t>
  </si>
  <si>
    <t>TC0_16_TR0</t>
  </si>
  <si>
    <t>TC0_M_5_TR1</t>
  </si>
  <si>
    <t>PWM0_M_6</t>
  </si>
  <si>
    <t>PWM0_16_N</t>
  </si>
  <si>
    <t>TC0_M_6_TR0</t>
  </si>
  <si>
    <t>TC0_16_TR1</t>
  </si>
  <si>
    <t>PWM0_M_6_N</t>
  </si>
  <si>
    <t>TC0_M_6_TR1</t>
  </si>
  <si>
    <t>PWM0_M_7</t>
  </si>
  <si>
    <t>TC0_M_7_TR0</t>
  </si>
  <si>
    <t>PWM0_M_7_N</t>
  </si>
  <si>
    <t>TC0_M_7_TR1</t>
  </si>
  <si>
    <t>PWM0_19</t>
  </si>
  <si>
    <t>TC0_19_TR0</t>
  </si>
  <si>
    <t>PWM0_20</t>
  </si>
  <si>
    <t>PWM0_19_N</t>
  </si>
  <si>
    <t>TC0_20_TR0</t>
  </si>
  <si>
    <t>TC0_19_TR1</t>
  </si>
  <si>
    <t>PWM0_21</t>
  </si>
  <si>
    <t>PWM0_20_N</t>
  </si>
  <si>
    <t>TC0_21_TR0</t>
  </si>
  <si>
    <t>TC0_20_TR1</t>
  </si>
  <si>
    <t>PWM0_22</t>
  </si>
  <si>
    <t>PWM0_21_N</t>
  </si>
  <si>
    <t>TC0_22_TR0</t>
  </si>
  <si>
    <t>TC0_21_TR1</t>
  </si>
  <si>
    <t>PWM0_23</t>
  </si>
  <si>
    <t>TC0_23_TR0</t>
  </si>
  <si>
    <t>PWM0_24</t>
  </si>
  <si>
    <t>PWM0_23_N</t>
  </si>
  <si>
    <t>TC0_24_TR0</t>
  </si>
  <si>
    <t>TC0_23_TR1</t>
  </si>
  <si>
    <t>PWM0_25</t>
  </si>
  <si>
    <t>PWM0_24_N</t>
  </si>
  <si>
    <t>TC0_25_TR0</t>
  </si>
  <si>
    <t>TC0_24_TR1</t>
  </si>
  <si>
    <t>PWM0_26</t>
  </si>
  <si>
    <t>PWM0_25_N</t>
  </si>
  <si>
    <t>TC0_26_TR0</t>
  </si>
  <si>
    <t>TC0_25_TR1</t>
  </si>
  <si>
    <t>PWM0_27</t>
  </si>
  <si>
    <t>PWM0_26_N</t>
  </si>
  <si>
    <t>TC0_27_TR0</t>
  </si>
  <si>
    <t>TC0_26_TR1</t>
  </si>
  <si>
    <t>PWM0_28</t>
  </si>
  <si>
    <t>PWM0_27_N</t>
  </si>
  <si>
    <t>TC0_28_TR0</t>
  </si>
  <si>
    <t>TC0_27_TR1</t>
  </si>
  <si>
    <t>PWM0_29</t>
  </si>
  <si>
    <t>PWM0_28_N</t>
  </si>
  <si>
    <t>TC0_29_TR0</t>
  </si>
  <si>
    <t>TC0_28_TR1</t>
  </si>
  <si>
    <t>PWM0_30</t>
  </si>
  <si>
    <t>PWM0_29_N</t>
  </si>
  <si>
    <t>TC0_30_TR0</t>
  </si>
  <si>
    <t>TC0_29_TR1</t>
  </si>
  <si>
    <t>PWM0_31</t>
  </si>
  <si>
    <t>PWM0_30_N</t>
  </si>
  <si>
    <t>TC0_31_TR0</t>
  </si>
  <si>
    <t>TC0_30_TR1</t>
  </si>
  <si>
    <t>PWM0_32</t>
  </si>
  <si>
    <t>PWM0_31_N</t>
  </si>
  <si>
    <t>TC0_32_TR0</t>
  </si>
  <si>
    <t>TC0_31_TR1</t>
  </si>
  <si>
    <t>PWM0_33</t>
  </si>
  <si>
    <t>PWM0_32_N</t>
  </si>
  <si>
    <t>TC0_33_TR0</t>
  </si>
  <si>
    <t>TC0_32_TR1</t>
  </si>
  <si>
    <t>PWM0_34</t>
  </si>
  <si>
    <t>PWM0_33_N</t>
  </si>
  <si>
    <t>TC0_34_TR0</t>
  </si>
  <si>
    <t>TC0_33_TR1</t>
  </si>
  <si>
    <t>PWM0_35</t>
  </si>
  <si>
    <t>PWM0_34_N</t>
  </si>
  <si>
    <t>TC0_35_TR0</t>
  </si>
  <si>
    <t>TC0_34_TR1</t>
  </si>
  <si>
    <t>PWM0_36</t>
  </si>
  <si>
    <t>PWM0_35_N</t>
  </si>
  <si>
    <t>TC0_36_TR0</t>
  </si>
  <si>
    <t>TC0_35_TR1</t>
  </si>
  <si>
    <t>PWM0_37</t>
  </si>
  <si>
    <t>PWM0_36_N</t>
  </si>
  <si>
    <t>TC0_37_TR0</t>
  </si>
  <si>
    <t>TC0_36_TR1</t>
  </si>
  <si>
    <t>PWM0_38</t>
  </si>
  <si>
    <t>PWM0_37_N</t>
  </si>
  <si>
    <t>TC0_38_TR0</t>
  </si>
  <si>
    <t>TC0_37_TR1</t>
  </si>
  <si>
    <t>PWM0_39</t>
  </si>
  <si>
    <t>PWM0_38_N</t>
  </si>
  <si>
    <t>TC0_39_TR0</t>
  </si>
  <si>
    <t>TC0_38_TR1</t>
  </si>
  <si>
    <t>PWM0_40</t>
  </si>
  <si>
    <t>PWM0_39_N</t>
  </si>
  <si>
    <t>TC0_40_TR0</t>
  </si>
  <si>
    <t>TC0_39_TR1</t>
  </si>
  <si>
    <t>PWM0_41</t>
  </si>
  <si>
    <t>PWM0_40_N</t>
  </si>
  <si>
    <t>TC0_41_TR0</t>
  </si>
  <si>
    <t>TC0_40_TR1</t>
  </si>
  <si>
    <t>PWM0_42</t>
  </si>
  <si>
    <t>PWM0_41_N</t>
  </si>
  <si>
    <t>TC0_42_TR0</t>
  </si>
  <si>
    <t>TC0_41_TR1</t>
  </si>
  <si>
    <t>PWM0_43</t>
  </si>
  <si>
    <t>PWM0_42_N</t>
  </si>
  <si>
    <t>TC0_43_TR0</t>
  </si>
  <si>
    <t>TC0_42_TR1</t>
  </si>
  <si>
    <t>PWM0_M_8</t>
  </si>
  <si>
    <t>PWM0_43_N</t>
  </si>
  <si>
    <t>TC0_M_8_TR0</t>
  </si>
  <si>
    <t>TC0_43_TR1</t>
  </si>
  <si>
    <t>PWM0_44</t>
  </si>
  <si>
    <t>PWM0_M_8_N</t>
  </si>
  <si>
    <t>TC0_44_TR0</t>
  </si>
  <si>
    <t>TC0_M_8_TR1</t>
  </si>
  <si>
    <t>PWM0_M_9</t>
  </si>
  <si>
    <t>PWM0_44_N</t>
  </si>
  <si>
    <t>TC0_M_9_TR0</t>
  </si>
  <si>
    <t>TC0_44_TR1</t>
  </si>
  <si>
    <t>PWM0_45</t>
  </si>
  <si>
    <t>PWM0_M_9_N</t>
  </si>
  <si>
    <t>TC0_45_TR0</t>
  </si>
  <si>
    <t>TC0_M_9_TR1</t>
  </si>
  <si>
    <t>PWM0_M_10</t>
  </si>
  <si>
    <t>PWM0_45_N</t>
  </si>
  <si>
    <t>TC0_M_10_TR0</t>
  </si>
  <si>
    <t>TC0_45_TR1</t>
  </si>
  <si>
    <t>PWM0_46</t>
  </si>
  <si>
    <t>PWM0_M_10_N</t>
  </si>
  <si>
    <t>TC0_46_TR0</t>
  </si>
  <si>
    <t>TC0_M_10_TR1</t>
  </si>
  <si>
    <t>PWM0_M_11</t>
  </si>
  <si>
    <t>PWM0_46_N</t>
  </si>
  <si>
    <t>TC0_M_11_TR0</t>
  </si>
  <si>
    <t>TC0_46_TR1</t>
  </si>
  <si>
    <t>PWM0_47</t>
  </si>
  <si>
    <t>PWM0_M_11_N</t>
  </si>
  <si>
    <t>TC0_47_TR0</t>
  </si>
  <si>
    <t>TC0_M_11_TR1</t>
  </si>
  <si>
    <t>PWM0_48</t>
  </si>
  <si>
    <t>PWM0_47_N</t>
  </si>
  <si>
    <t>TC0_48_TR0</t>
  </si>
  <si>
    <t>TC0_47_TR1</t>
  </si>
  <si>
    <t>PWM0_49</t>
  </si>
  <si>
    <t>PWM0_48_N</t>
  </si>
  <si>
    <t>TC0_49_TR0</t>
  </si>
  <si>
    <t>TC0_48_TR1</t>
  </si>
  <si>
    <t>PWM0_50</t>
  </si>
  <si>
    <t>PWM0_49_N</t>
  </si>
  <si>
    <t>TC0_50_TR0</t>
  </si>
  <si>
    <t>TC0_49_TR1</t>
  </si>
  <si>
    <t>PWM0_50_N</t>
  </si>
  <si>
    <t>TC0_51_TR0</t>
  </si>
  <si>
    <t>TC0_50_TR1</t>
  </si>
  <si>
    <t>PWM0_51_N</t>
  </si>
  <si>
    <t>TC0_52_TR0</t>
  </si>
  <si>
    <t>TC0_51_TR1</t>
  </si>
  <si>
    <t>PWM0_52_N</t>
  </si>
  <si>
    <t>TC0_53_TR0</t>
  </si>
  <si>
    <t>TC0_52_TR1</t>
  </si>
  <si>
    <t>PWM0_53_N</t>
  </si>
  <si>
    <t>TC0_54_TR0</t>
  </si>
  <si>
    <t>TC0_53_TR1</t>
  </si>
  <si>
    <t>PWM0_54_N</t>
  </si>
  <si>
    <t>TC0_55_TR0</t>
  </si>
  <si>
    <t>TC0_54_TR1</t>
  </si>
  <si>
    <t>PWM0_55_N</t>
  </si>
  <si>
    <t>TC0_56_TR0</t>
  </si>
  <si>
    <t>TC0_55_TR1</t>
  </si>
  <si>
    <t>PWM0_56_N</t>
  </si>
  <si>
    <t>TC0_57_TR0</t>
  </si>
  <si>
    <t>TC0_56_TR1</t>
  </si>
  <si>
    <t>PWM0_57_N</t>
  </si>
  <si>
    <t>TC0_58_TR0</t>
  </si>
  <si>
    <t>TC0_57_TR1</t>
  </si>
  <si>
    <t>PWM0_58_N</t>
  </si>
  <si>
    <t>TC0_59_TR0</t>
  </si>
  <si>
    <t>TC0_58_TR1</t>
  </si>
  <si>
    <t>PWM0_51</t>
  </si>
  <si>
    <t>PWM0_52</t>
  </si>
  <si>
    <t>PWM0_53</t>
  </si>
  <si>
    <t>PWM0_54</t>
  </si>
  <si>
    <t>PWM0_55</t>
  </si>
  <si>
    <t>PWM0_56</t>
  </si>
  <si>
    <t>PWM0_57</t>
  </si>
  <si>
    <t>PWM0_58</t>
  </si>
  <si>
    <t>PWM0_59</t>
  </si>
  <si>
    <t>PWM0_60</t>
  </si>
  <si>
    <t>PWM0_59_N</t>
  </si>
  <si>
    <t>TC0_60_TR0</t>
  </si>
  <si>
    <t>TC0_59_TR1</t>
  </si>
  <si>
    <t>PWM0_61</t>
  </si>
  <si>
    <t>PWM0_60_N</t>
  </si>
  <si>
    <t>TC0_61_TR0</t>
  </si>
  <si>
    <t>TC0_60_TR1</t>
  </si>
  <si>
    <t>PWM0_62</t>
  </si>
  <si>
    <t>PWM0_61_N</t>
  </si>
  <si>
    <t>TC0_62_TR0</t>
  </si>
  <si>
    <t>TC0_61_TR1</t>
  </si>
  <si>
    <t>PWM0_62_N</t>
  </si>
  <si>
    <t>TC0_62_TR1</t>
  </si>
  <si>
    <t>PWM0_H_0</t>
  </si>
  <si>
    <t>PWM0_H_0_N</t>
  </si>
  <si>
    <t>PWM0_H_1</t>
  </si>
  <si>
    <t>PWM0_H_1_N</t>
  </si>
  <si>
    <t>PWM0_H_2</t>
  </si>
  <si>
    <t>PWM0_H_2_N</t>
  </si>
  <si>
    <t>PWM0_H_3</t>
  </si>
  <si>
    <t>PWM0_H_3_N</t>
  </si>
  <si>
    <t>TC0_H_0_TR0</t>
  </si>
  <si>
    <t>TC0_H_0_TR1</t>
  </si>
  <si>
    <t>TC0_H_1_TR0</t>
  </si>
  <si>
    <t>TC0_H_1_TR1</t>
  </si>
  <si>
    <t>TC0_H_2_TR0</t>
  </si>
  <si>
    <t>TC0_H_2_TR1</t>
  </si>
  <si>
    <t>TC0_H_3_TR0</t>
  </si>
  <si>
    <t>TC0_H_3_TR1</t>
  </si>
  <si>
    <t>TRACE_CLOCK (0)</t>
    <phoneticPr fontId="3"/>
  </si>
  <si>
    <t>TRACE_DATA_0 (0)</t>
    <phoneticPr fontId="3"/>
  </si>
  <si>
    <t>TRACE_DATA_1 (0)</t>
    <phoneticPr fontId="3"/>
  </si>
  <si>
    <t>TRACE_DATA_2 (0)</t>
    <phoneticPr fontId="3"/>
  </si>
  <si>
    <t>TRACE_DATA_3 (0)</t>
    <phoneticPr fontId="3"/>
  </si>
  <si>
    <t>TRACE_DATA_0 (1)</t>
  </si>
  <si>
    <t>TRACE_DATA_1 (1)</t>
  </si>
  <si>
    <t>TRACE_DATA_2 (1)</t>
  </si>
  <si>
    <t>TRACE_DATA_3 (1)</t>
  </si>
  <si>
    <t>TRACE_CLOCK (1)</t>
  </si>
  <si>
    <t>PWM0_47</t>
    <phoneticPr fontId="3"/>
  </si>
  <si>
    <t>PWM0_45_N</t>
    <phoneticPr fontId="3"/>
  </si>
  <si>
    <t>PWM0_M_10_N</t>
    <phoneticPr fontId="3"/>
  </si>
  <si>
    <t>PWM0_46_N</t>
    <phoneticPr fontId="3"/>
  </si>
  <si>
    <t>PWM0_M_11_N</t>
    <phoneticPr fontId="3"/>
  </si>
  <si>
    <t>PWM0_M_10</t>
    <phoneticPr fontId="3"/>
  </si>
  <si>
    <t>PWM0_46</t>
    <phoneticPr fontId="3"/>
  </si>
  <si>
    <t>PWM0_M_11</t>
    <phoneticPr fontId="3"/>
  </si>
  <si>
    <t>PWM0_47</t>
    <phoneticPr fontId="3"/>
  </si>
  <si>
    <t>PWM0_25</t>
    <phoneticPr fontId="3"/>
  </si>
  <si>
    <t>12/13/2022</t>
    <phoneticPr fontId="3"/>
  </si>
  <si>
    <t>- Added the "IMPORTANT NOTICE".
- Changed TCPWM pin name from "PWM_xx, PWM_xx_N, TC_xx_TR0, and TC_xx_TR1" to "PWM0_xx, PWM0_xx_N, TC0_xx_TR0, and TC0_xx_TR1" on PCHxxx sheet.</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</si>
</sst>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
  </numFmts>
  <fonts count="22" x14ac:knownFonts="1">
    <font>
      <sz val="11"/>
      <color theme="1"/>
      <name val="游ゴシック"/>
      <family val="2"/>
      <scheme val="minor"/>
    </font>
    <font>
      <b/>
      <sz val="8"/>
      <color rgb="FF000000"/>
      <name val="Arial"/>
      <family val="2"/>
    </font>
    <font>
      <sz val="8"/>
      <color rgb="FF000000"/>
      <name val="Arial"/>
      <family val="2"/>
    </font>
    <font>
      <sz val="6"/>
      <name val="游ゴシック"/>
      <family val="3"/>
      <charset val="128"/>
      <scheme val="minor"/>
    </font>
    <font>
      <sz val="6"/>
      <name val="ＭＳ Ｐゴシック"/>
      <family val="3"/>
      <charset val="128"/>
    </font>
    <font>
      <sz val="8"/>
      <color theme="1"/>
      <name val="Arial"/>
      <family val="2"/>
    </font>
    <font>
      <sz val="6"/>
      <color theme="1"/>
      <name val="Arial"/>
      <family val="2"/>
    </font>
    <font>
      <b/>
      <sz val="8"/>
      <name val="Arial"/>
      <family val="2"/>
    </font>
    <font>
      <b/>
      <sz val="8"/>
      <color theme="1"/>
      <name val="Arial"/>
      <family val="2"/>
    </font>
    <font>
      <sz val="8"/>
      <color theme="0"/>
      <name val="Arial"/>
      <family val="2"/>
    </font>
    <font>
      <sz val="8"/>
      <name val="Arial"/>
      <family val="2"/>
    </font>
    <font>
      <b/>
      <sz val="8"/>
      <color rgb="FFFF0000"/>
      <name val="Arial"/>
      <family val="2"/>
    </font>
    <font>
      <sz val="24"/>
      <color theme="1"/>
      <name val="Arial"/>
      <family val="2"/>
    </font>
    <font>
      <sz val="18"/>
      <color theme="1"/>
      <name val="Arial"/>
      <family val="2"/>
    </font>
    <font>
      <sz val="8"/>
      <color theme="1"/>
      <name val="ＭＳ ゴシック"/>
      <family val="2"/>
      <charset val="128"/>
    </font>
    <font>
      <sz val="9"/>
      <color indexed="81"/>
      <name val="Arial"/>
      <family val="2"/>
    </font>
    <font>
      <sz val="11"/>
      <color theme="1"/>
      <name val="Arial"/>
      <family val="2"/>
    </font>
    <font>
      <u/>
      <sz val="11"/>
      <color theme="1"/>
      <name val="Arial"/>
      <family val="2"/>
    </font>
    <font>
      <b/>
      <sz val="11"/>
      <color theme="1"/>
      <name val="Source Sans Pro"/>
      <family val="2"/>
    </font>
    <font>
      <sz val="11"/>
      <color theme="1"/>
      <name val="Source Sans Pro"/>
      <family val="2"/>
    </font>
    <font>
      <sz val="10"/>
      <color theme="1"/>
      <name val="Source Sans Pro"/>
      <family val="2"/>
    </font>
    <font>
      <b/>
      <sz val="10"/>
      <color theme="1"/>
      <name val="Source Sans Pro"/>
      <family val="2"/>
    </font>
  </fonts>
  <fills count="11">
    <fill>
      <patternFill patternType="none"/>
    </fill>
    <fill>
      <patternFill patternType="gray125"/>
    </fill>
    <fill>
      <patternFill patternType="solid">
        <fgColor theme="1"/>
        <bgColor indexed="64"/>
      </patternFill>
    </fill>
    <fill>
      <patternFill patternType="solid">
        <fgColor rgb="FFFF0000"/>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rgb="FFFFFFFF"/>
        <bgColor indexed="64"/>
      </patternFill>
    </fill>
    <fill>
      <patternFill patternType="solid">
        <fgColor theme="4" tint="-0.249977111117893"/>
        <bgColor indexed="64"/>
      </patternFill>
    </fill>
    <fill>
      <patternFill patternType="solid">
        <fgColor rgb="FFC00000"/>
        <bgColor indexed="64"/>
      </patternFill>
    </fill>
    <fill>
      <patternFill patternType="solid">
        <fgColor rgb="FFD9E1F2"/>
        <bgColor indexed="64"/>
      </patternFill>
    </fill>
    <fill>
      <patternFill patternType="solid">
        <fgColor theme="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diagonalUp="1">
      <left/>
      <right/>
      <top/>
      <bottom/>
      <diagonal style="thin">
        <color indexed="64"/>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right/>
      <top style="thin">
        <color indexed="64"/>
      </top>
      <bottom style="thin">
        <color indexed="64"/>
      </bottom>
      <diagonal/>
    </border>
    <border>
      <left/>
      <right style="thin">
        <color indexed="64"/>
      </right>
      <top style="thin">
        <color indexed="64"/>
      </top>
      <bottom style="thin">
        <color indexed="64"/>
      </bottom>
      <diagonal/>
    </border>
    <border diagonalDown="1">
      <left/>
      <right/>
      <top/>
      <bottom/>
      <diagonal style="thin">
        <color indexed="64"/>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s>
  <cellStyleXfs count="1">
    <xf numFmtId="0" fontId="0" fillId="0" borderId="0"/>
  </cellStyleXfs>
  <cellXfs count="159">
    <xf numFmtId="0" fontId="0" fillId="0" borderId="0" xfId="0"/>
    <xf numFmtId="0" fontId="16" fillId="10" borderId="0" xfId="0" applyFont="1" applyFill="1"/>
    <xf numFmtId="0" fontId="17" fillId="10" borderId="0" xfId="0" applyFont="1" applyFill="1"/>
    <xf numFmtId="0" fontId="16" fillId="10" borderId="1" xfId="0" applyFont="1" applyFill="1" applyBorder="1" applyAlignment="1">
      <alignment horizontal="center" vertical="center"/>
    </xf>
    <xf numFmtId="0" fontId="16" fillId="10" borderId="1" xfId="0" applyFont="1" applyFill="1" applyBorder="1" applyAlignment="1">
      <alignment horizontal="center" vertical="top"/>
    </xf>
    <xf numFmtId="14" fontId="16" fillId="10" borderId="1" xfId="0" applyNumberFormat="1" applyFont="1" applyFill="1" applyBorder="1" applyAlignment="1">
      <alignment horizontal="center" vertical="top"/>
    </xf>
    <xf numFmtId="0" fontId="16" fillId="10" borderId="1" xfId="0" applyFont="1" applyFill="1" applyBorder="1" applyAlignment="1">
      <alignment horizontal="left" vertical="top"/>
    </xf>
    <xf numFmtId="0" fontId="16" fillId="10" borderId="1" xfId="0" applyFont="1" applyFill="1" applyBorder="1" applyAlignment="1">
      <alignment horizontal="center" vertical="top" wrapText="1"/>
    </xf>
    <xf numFmtId="0" fontId="16" fillId="10" borderId="1" xfId="0" applyFont="1" applyFill="1" applyBorder="1" applyAlignment="1">
      <alignment horizontal="left" vertical="top" wrapText="1"/>
    </xf>
    <xf numFmtId="0" fontId="13" fillId="0" borderId="0" xfId="0" applyFont="1" applyAlignment="1" applyProtection="1">
      <alignment horizontal="left" vertical="top"/>
      <protection locked="0"/>
    </xf>
    <xf numFmtId="0" fontId="5" fillId="0" borderId="0" xfId="0" applyFont="1" applyAlignment="1" applyProtection="1">
      <alignment horizontal="left" vertical="top"/>
      <protection locked="0"/>
    </xf>
    <xf numFmtId="0" fontId="11" fillId="0" borderId="0" xfId="0" applyFont="1" applyAlignment="1" applyProtection="1">
      <alignment horizontal="right" vertical="center"/>
      <protection locked="0"/>
    </xf>
    <xf numFmtId="0" fontId="1" fillId="5" borderId="6" xfId="0" applyFont="1" applyFill="1" applyBorder="1" applyAlignment="1" applyProtection="1">
      <alignment horizontal="center" vertical="center" wrapText="1"/>
      <protection locked="0"/>
    </xf>
    <xf numFmtId="0" fontId="1" fillId="5" borderId="9" xfId="0" applyFont="1" applyFill="1" applyBorder="1" applyAlignment="1" applyProtection="1">
      <alignment horizontal="center" vertical="center" wrapText="1"/>
      <protection locked="0"/>
    </xf>
    <xf numFmtId="0" fontId="1" fillId="5" borderId="10" xfId="0" applyFont="1" applyFill="1" applyBorder="1" applyAlignment="1" applyProtection="1">
      <alignment horizontal="center" vertical="center" wrapText="1"/>
      <protection locked="0"/>
    </xf>
    <xf numFmtId="0" fontId="1" fillId="5" borderId="1" xfId="0" applyFont="1" applyFill="1" applyBorder="1" applyAlignment="1" applyProtection="1">
      <alignment horizontal="center" vertical="center" wrapText="1"/>
      <protection locked="0"/>
    </xf>
    <xf numFmtId="0" fontId="9" fillId="2" borderId="1" xfId="0" applyFont="1" applyFill="1" applyBorder="1" applyAlignment="1" applyProtection="1">
      <alignment horizontal="left" vertical="top" wrapText="1"/>
      <protection locked="0"/>
    </xf>
    <xf numFmtId="0" fontId="2" fillId="4" borderId="1" xfId="0" applyFont="1" applyFill="1" applyBorder="1" applyAlignment="1" applyProtection="1">
      <alignment horizontal="left" vertical="top" wrapText="1"/>
      <protection locked="0"/>
    </xf>
    <xf numFmtId="0" fontId="2" fillId="4" borderId="8" xfId="0" applyFont="1" applyFill="1" applyBorder="1" applyAlignment="1" applyProtection="1">
      <alignment horizontal="left" vertical="top" wrapText="1"/>
      <protection locked="0"/>
    </xf>
    <xf numFmtId="0" fontId="10" fillId="0" borderId="1" xfId="0" applyFont="1" applyFill="1" applyBorder="1" applyAlignment="1" applyProtection="1">
      <alignment horizontal="left" vertical="center"/>
      <protection locked="0"/>
    </xf>
    <xf numFmtId="0" fontId="5" fillId="0" borderId="1" xfId="0" applyFont="1" applyBorder="1" applyProtection="1">
      <protection locked="0"/>
    </xf>
    <xf numFmtId="0" fontId="2" fillId="0" borderId="8" xfId="0" applyFont="1" applyBorder="1" applyAlignment="1" applyProtection="1">
      <alignment horizontal="left" vertical="top" wrapText="1"/>
      <protection locked="0"/>
    </xf>
    <xf numFmtId="0" fontId="2" fillId="0" borderId="1" xfId="0" applyFont="1" applyFill="1" applyBorder="1" applyAlignment="1" applyProtection="1">
      <alignment horizontal="left" vertical="top" wrapText="1"/>
      <protection locked="0"/>
    </xf>
    <xf numFmtId="0" fontId="5" fillId="0" borderId="1" xfId="0" applyFont="1" applyBorder="1" applyAlignment="1" applyProtection="1">
      <alignment horizontal="left" vertical="top" wrapText="1"/>
      <protection locked="0"/>
    </xf>
    <xf numFmtId="0" fontId="10" fillId="0" borderId="1" xfId="0" applyFont="1" applyFill="1" applyBorder="1" applyAlignment="1" applyProtection="1">
      <alignment horizontal="left" vertical="top" wrapText="1"/>
      <protection locked="0"/>
    </xf>
    <xf numFmtId="0" fontId="10" fillId="0" borderId="1" xfId="0" applyFont="1" applyFill="1" applyBorder="1" applyAlignment="1" applyProtection="1">
      <alignment vertical="center"/>
      <protection locked="0"/>
    </xf>
    <xf numFmtId="0" fontId="5" fillId="0" borderId="8" xfId="0" applyFont="1" applyBorder="1" applyAlignment="1" applyProtection="1">
      <alignment horizontal="left" vertical="top" wrapText="1"/>
      <protection locked="0"/>
    </xf>
    <xf numFmtId="0" fontId="5" fillId="0" borderId="6" xfId="0" applyFont="1" applyBorder="1" applyAlignment="1" applyProtection="1">
      <alignment horizontal="left" vertical="top" wrapText="1"/>
      <protection locked="0"/>
    </xf>
    <xf numFmtId="0" fontId="9" fillId="3" borderId="1" xfId="0" applyFont="1" applyFill="1" applyBorder="1" applyAlignment="1" applyProtection="1">
      <alignment horizontal="left" vertical="top" wrapText="1"/>
      <protection locked="0"/>
    </xf>
    <xf numFmtId="0" fontId="10" fillId="0" borderId="8" xfId="0" applyFont="1" applyFill="1" applyBorder="1" applyAlignment="1" applyProtection="1">
      <alignment horizontal="left" vertical="top" wrapText="1"/>
      <protection locked="0"/>
    </xf>
    <xf numFmtId="0" fontId="2" fillId="0" borderId="1" xfId="0" applyFont="1" applyBorder="1" applyAlignment="1" applyProtection="1">
      <alignment horizontal="left" vertical="top" wrapText="1"/>
      <protection locked="0"/>
    </xf>
    <xf numFmtId="0" fontId="9" fillId="8" borderId="1" xfId="0" applyFont="1" applyFill="1" applyBorder="1" applyAlignment="1" applyProtection="1">
      <alignment horizontal="left" vertical="top" wrapText="1"/>
      <protection locked="0"/>
    </xf>
    <xf numFmtId="0" fontId="2" fillId="0" borderId="8" xfId="0" applyFont="1" applyFill="1" applyBorder="1" applyAlignment="1" applyProtection="1">
      <alignment horizontal="left" vertical="top" wrapText="1"/>
      <protection locked="0"/>
    </xf>
    <xf numFmtId="0" fontId="5" fillId="0" borderId="8" xfId="0" applyFont="1" applyBorder="1" applyProtection="1">
      <protection locked="0"/>
    </xf>
    <xf numFmtId="0" fontId="9" fillId="7" borderId="1" xfId="0" applyFont="1" applyFill="1" applyBorder="1" applyAlignment="1" applyProtection="1">
      <alignment horizontal="left" vertical="top" wrapText="1"/>
      <protection locked="0"/>
    </xf>
    <xf numFmtId="0" fontId="5" fillId="0" borderId="12" xfId="0" applyFont="1" applyBorder="1" applyAlignment="1" applyProtection="1">
      <alignment horizontal="left" vertical="top" wrapText="1"/>
      <protection locked="0"/>
    </xf>
    <xf numFmtId="0" fontId="5" fillId="0" borderId="0" xfId="0" applyFont="1" applyAlignment="1" applyProtection="1">
      <alignment horizontal="left" vertical="top"/>
    </xf>
    <xf numFmtId="0" fontId="11" fillId="0" borderId="0" xfId="0" applyFont="1" applyAlignment="1" applyProtection="1">
      <alignment horizontal="right" vertical="center"/>
    </xf>
    <xf numFmtId="0" fontId="10" fillId="0" borderId="1" xfId="0" applyFont="1" applyFill="1" applyBorder="1" applyAlignment="1" applyProtection="1">
      <alignment horizontal="left" vertical="center"/>
    </xf>
    <xf numFmtId="0" fontId="13" fillId="0" borderId="0" xfId="0" applyFont="1" applyAlignment="1" applyProtection="1">
      <alignment vertical="center"/>
      <protection locked="0"/>
    </xf>
    <xf numFmtId="0" fontId="5" fillId="0" borderId="0" xfId="0" applyFont="1" applyAlignment="1" applyProtection="1">
      <alignment vertical="center"/>
      <protection locked="0"/>
    </xf>
    <xf numFmtId="0" fontId="10" fillId="0" borderId="0" xfId="0" applyFont="1" applyAlignment="1" applyProtection="1">
      <alignment horizontal="right" vertical="center"/>
      <protection locked="0"/>
    </xf>
    <xf numFmtId="0" fontId="5" fillId="5" borderId="1" xfId="0" applyFont="1" applyFill="1" applyBorder="1" applyAlignment="1" applyProtection="1">
      <alignment horizontal="center" vertical="center"/>
      <protection locked="0"/>
    </xf>
    <xf numFmtId="0" fontId="5" fillId="0" borderId="1" xfId="0" applyFont="1" applyBorder="1" applyAlignment="1" applyProtection="1">
      <alignment vertical="center"/>
      <protection locked="0"/>
    </xf>
    <xf numFmtId="0" fontId="5" fillId="0" borderId="0" xfId="0" applyFont="1" applyBorder="1" applyAlignment="1" applyProtection="1">
      <alignment horizontal="center" vertical="center"/>
      <protection locked="0"/>
    </xf>
    <xf numFmtId="0" fontId="5" fillId="0" borderId="0" xfId="0" applyFont="1" applyBorder="1" applyAlignment="1" applyProtection="1">
      <alignment vertical="center"/>
      <protection locked="0"/>
    </xf>
    <xf numFmtId="0" fontId="5" fillId="0" borderId="0" xfId="0" applyFont="1" applyFill="1" applyBorder="1" applyAlignment="1" applyProtection="1">
      <alignment vertical="center"/>
      <protection locked="0"/>
    </xf>
    <xf numFmtId="0" fontId="5" fillId="0" borderId="0" xfId="0" applyFont="1" applyFill="1" applyBorder="1" applyAlignment="1" applyProtection="1">
      <alignment horizontal="center" vertical="center"/>
      <protection locked="0"/>
    </xf>
    <xf numFmtId="0" fontId="5" fillId="0" borderId="0" xfId="0" applyFont="1" applyFill="1" applyAlignment="1" applyProtection="1">
      <alignment vertical="center"/>
      <protection locked="0"/>
    </xf>
    <xf numFmtId="49" fontId="5" fillId="0" borderId="1" xfId="0" applyNumberFormat="1" applyFont="1" applyBorder="1" applyAlignment="1" applyProtection="1">
      <alignment vertical="center"/>
      <protection locked="0"/>
    </xf>
    <xf numFmtId="0" fontId="5" fillId="6" borderId="1" xfId="0" applyFont="1" applyFill="1" applyBorder="1" applyAlignment="1" applyProtection="1">
      <alignment horizontal="left" vertical="top"/>
      <protection locked="0"/>
    </xf>
    <xf numFmtId="0" fontId="5" fillId="0" borderId="1" xfId="0" applyFont="1" applyBorder="1" applyAlignment="1" applyProtection="1">
      <alignment horizontal="left" vertical="top"/>
      <protection locked="0"/>
    </xf>
    <xf numFmtId="0" fontId="14" fillId="0" borderId="0" xfId="0" applyFont="1" applyAlignment="1" applyProtection="1">
      <alignment vertical="center"/>
      <protection locked="0"/>
    </xf>
    <xf numFmtId="0" fontId="14" fillId="0" borderId="0" xfId="0" applyFont="1" applyBorder="1" applyAlignment="1" applyProtection="1">
      <alignment vertical="center"/>
      <protection locked="0"/>
    </xf>
    <xf numFmtId="0" fontId="5" fillId="0" borderId="0" xfId="0" applyFont="1" applyBorder="1" applyAlignment="1" applyProtection="1">
      <alignment horizontal="right" vertical="center"/>
      <protection locked="0"/>
    </xf>
    <xf numFmtId="0" fontId="5" fillId="0" borderId="1" xfId="0" applyNumberFormat="1" applyFont="1" applyBorder="1" applyAlignment="1" applyProtection="1">
      <alignment horizontal="left" vertical="top"/>
      <protection locked="0"/>
    </xf>
    <xf numFmtId="0" fontId="5" fillId="0" borderId="1" xfId="0" applyFont="1" applyFill="1" applyBorder="1" applyAlignment="1" applyProtection="1">
      <alignment horizontal="left" vertical="top"/>
      <protection locked="0"/>
    </xf>
    <xf numFmtId="49" fontId="5" fillId="0" borderId="1" xfId="0" applyNumberFormat="1" applyFont="1" applyBorder="1" applyAlignment="1" applyProtection="1">
      <alignment horizontal="left" vertical="center"/>
      <protection locked="0"/>
    </xf>
    <xf numFmtId="0" fontId="5" fillId="9" borderId="1" xfId="0" applyFont="1" applyFill="1" applyBorder="1" applyAlignment="1" applyProtection="1">
      <alignment vertical="center"/>
      <protection locked="0"/>
    </xf>
    <xf numFmtId="0" fontId="5" fillId="9" borderId="12" xfId="0" applyFont="1" applyFill="1" applyBorder="1" applyAlignment="1" applyProtection="1">
      <alignment horizontal="center" vertical="center"/>
      <protection locked="0"/>
    </xf>
    <xf numFmtId="0" fontId="5" fillId="10" borderId="12" xfId="0" applyFont="1" applyFill="1" applyBorder="1" applyAlignment="1" applyProtection="1">
      <alignment vertical="center"/>
      <protection locked="0"/>
    </xf>
    <xf numFmtId="0" fontId="5" fillId="10" borderId="1" xfId="0" applyFont="1" applyFill="1" applyBorder="1" applyAlignment="1" applyProtection="1">
      <alignment vertical="center"/>
      <protection locked="0"/>
    </xf>
    <xf numFmtId="0" fontId="5" fillId="10" borderId="13" xfId="0" applyFont="1" applyFill="1" applyBorder="1" applyAlignment="1" applyProtection="1">
      <alignment vertical="center"/>
      <protection locked="0"/>
    </xf>
    <xf numFmtId="0" fontId="5" fillId="10" borderId="14" xfId="0" applyFont="1" applyFill="1" applyBorder="1" applyAlignment="1" applyProtection="1">
      <alignment vertical="center"/>
      <protection locked="0"/>
    </xf>
    <xf numFmtId="0" fontId="5" fillId="9" borderId="6" xfId="0" applyFont="1" applyFill="1" applyBorder="1" applyAlignment="1" applyProtection="1">
      <alignment vertical="center"/>
      <protection locked="0"/>
    </xf>
    <xf numFmtId="0" fontId="5" fillId="9" borderId="10" xfId="0" applyFont="1" applyFill="1" applyBorder="1" applyAlignment="1" applyProtection="1">
      <alignment vertical="center"/>
      <protection locked="0"/>
    </xf>
    <xf numFmtId="0" fontId="5" fillId="0" borderId="4" xfId="0" applyFont="1" applyBorder="1" applyAlignment="1" applyProtection="1">
      <alignment horizontal="center" vertical="center"/>
      <protection locked="0"/>
    </xf>
    <xf numFmtId="0" fontId="5" fillId="0" borderId="4" xfId="0" applyFont="1" applyBorder="1" applyAlignment="1" applyProtection="1">
      <alignment vertical="center"/>
      <protection locked="0"/>
    </xf>
    <xf numFmtId="0" fontId="5" fillId="0" borderId="1" xfId="0" applyFont="1" applyBorder="1" applyAlignment="1" applyProtection="1">
      <alignment horizontal="center" vertical="center" wrapText="1"/>
      <protection locked="0"/>
    </xf>
    <xf numFmtId="0" fontId="5" fillId="0" borderId="1" xfId="0" applyFont="1" applyBorder="1" applyAlignment="1" applyProtection="1">
      <alignment vertical="center" wrapText="1"/>
      <protection locked="0"/>
    </xf>
    <xf numFmtId="0" fontId="5" fillId="0" borderId="0" xfId="0" applyFont="1" applyAlignment="1" applyProtection="1">
      <alignment vertical="center"/>
    </xf>
    <xf numFmtId="176" fontId="9" fillId="3" borderId="1" xfId="0" applyNumberFormat="1" applyFont="1" applyFill="1" applyBorder="1" applyAlignment="1" applyProtection="1">
      <alignment horizontal="center" textRotation="90"/>
      <protection locked="0"/>
    </xf>
    <xf numFmtId="176" fontId="5" fillId="0" borderId="1" xfId="0" applyNumberFormat="1" applyFont="1" applyBorder="1" applyAlignment="1" applyProtection="1">
      <alignment horizontal="center" textRotation="90"/>
      <protection locked="0"/>
    </xf>
    <xf numFmtId="176" fontId="9" fillId="2" borderId="1" xfId="0" applyNumberFormat="1" applyFont="1" applyFill="1" applyBorder="1" applyAlignment="1" applyProtection="1">
      <alignment horizontal="center" textRotation="90"/>
      <protection locked="0"/>
    </xf>
    <xf numFmtId="176" fontId="9" fillId="7" borderId="1" xfId="0" applyNumberFormat="1" applyFont="1" applyFill="1" applyBorder="1" applyAlignment="1" applyProtection="1">
      <alignment horizontal="center" textRotation="90"/>
      <protection locked="0"/>
    </xf>
    <xf numFmtId="0" fontId="6" fillId="0" borderId="2" xfId="0" applyFont="1" applyBorder="1" applyAlignment="1" applyProtection="1">
      <alignment horizontal="center" vertical="center"/>
      <protection locked="0"/>
    </xf>
    <xf numFmtId="0" fontId="6" fillId="0" borderId="3" xfId="0" applyFont="1" applyBorder="1" applyAlignment="1" applyProtection="1">
      <alignment horizontal="center" vertical="center"/>
      <protection locked="0"/>
    </xf>
    <xf numFmtId="0" fontId="6" fillId="0" borderId="11" xfId="0" applyFont="1" applyBorder="1" applyAlignment="1" applyProtection="1">
      <alignment horizontal="center" vertical="center"/>
      <protection locked="0"/>
    </xf>
    <xf numFmtId="0" fontId="6" fillId="0" borderId="4" xfId="0" applyFont="1" applyBorder="1" applyAlignment="1" applyProtection="1">
      <alignment horizontal="center" vertical="center"/>
      <protection locked="0"/>
    </xf>
    <xf numFmtId="0" fontId="6" fillId="0" borderId="0" xfId="0" applyFont="1" applyAlignment="1" applyProtection="1">
      <alignment horizontal="center" vertical="center"/>
      <protection locked="0"/>
    </xf>
    <xf numFmtId="0" fontId="6" fillId="0" borderId="5" xfId="0" applyFont="1" applyBorder="1" applyAlignment="1" applyProtection="1">
      <alignment horizontal="center" vertical="center"/>
      <protection locked="0"/>
    </xf>
    <xf numFmtId="0" fontId="5" fillId="0" borderId="0" xfId="0" applyFont="1" applyAlignment="1" applyProtection="1">
      <alignment horizontal="center" vertical="center"/>
      <protection locked="0"/>
    </xf>
    <xf numFmtId="176" fontId="9" fillId="2" borderId="6" xfId="0" applyNumberFormat="1" applyFont="1" applyFill="1" applyBorder="1" applyAlignment="1" applyProtection="1">
      <alignment horizontal="right" vertical="center"/>
      <protection locked="0"/>
    </xf>
    <xf numFmtId="176" fontId="9" fillId="3" borderId="1" xfId="0" applyNumberFormat="1" applyFont="1" applyFill="1" applyBorder="1" applyAlignment="1" applyProtection="1">
      <alignment vertical="center"/>
      <protection locked="0"/>
    </xf>
    <xf numFmtId="176" fontId="5" fillId="0" borderId="6" xfId="0" applyNumberFormat="1" applyFont="1" applyBorder="1" applyAlignment="1" applyProtection="1">
      <alignment horizontal="right" vertical="center"/>
      <protection locked="0"/>
    </xf>
    <xf numFmtId="176" fontId="5" fillId="0" borderId="1" xfId="0" applyNumberFormat="1" applyFont="1" applyBorder="1" applyAlignment="1" applyProtection="1">
      <alignment vertical="center"/>
      <protection locked="0"/>
    </xf>
    <xf numFmtId="176" fontId="9" fillId="3" borderId="6" xfId="0" applyNumberFormat="1" applyFont="1" applyFill="1" applyBorder="1" applyAlignment="1" applyProtection="1">
      <alignment horizontal="right" vertical="center"/>
      <protection locked="0"/>
    </xf>
    <xf numFmtId="176" fontId="9" fillId="2" borderId="1" xfId="0" applyNumberFormat="1" applyFont="1" applyFill="1" applyBorder="1" applyAlignment="1" applyProtection="1">
      <alignment vertical="center"/>
      <protection locked="0"/>
    </xf>
    <xf numFmtId="0" fontId="6" fillId="0" borderId="7" xfId="0" applyFont="1" applyBorder="1" applyAlignment="1" applyProtection="1">
      <alignment horizontal="center" vertical="center"/>
      <protection locked="0"/>
    </xf>
    <xf numFmtId="176" fontId="9" fillId="2" borderId="1" xfId="0" applyNumberFormat="1" applyFont="1" applyFill="1" applyBorder="1" applyAlignment="1" applyProtection="1">
      <alignment horizontal="center" vertical="top" textRotation="180"/>
      <protection locked="0"/>
    </xf>
    <xf numFmtId="176" fontId="9" fillId="3" borderId="1" xfId="0" applyNumberFormat="1" applyFont="1" applyFill="1" applyBorder="1" applyAlignment="1" applyProtection="1">
      <alignment horizontal="center" vertical="top" textRotation="180"/>
      <protection locked="0"/>
    </xf>
    <xf numFmtId="176" fontId="5" fillId="0" borderId="1" xfId="0" applyNumberFormat="1" applyFont="1" applyBorder="1" applyAlignment="1" applyProtection="1">
      <alignment horizontal="center" vertical="top" textRotation="180"/>
      <protection locked="0"/>
    </xf>
    <xf numFmtId="176" fontId="9" fillId="8" borderId="1" xfId="0" applyNumberFormat="1" applyFont="1" applyFill="1" applyBorder="1" applyAlignment="1" applyProtection="1">
      <alignment horizontal="center" vertical="top" textRotation="180"/>
      <protection locked="0"/>
    </xf>
    <xf numFmtId="0" fontId="5" fillId="0" borderId="1" xfId="0" applyFont="1" applyFill="1" applyBorder="1" applyAlignment="1" applyProtection="1">
      <alignment horizontal="left" vertical="top" wrapText="1"/>
      <protection locked="0"/>
    </xf>
    <xf numFmtId="0" fontId="5" fillId="10" borderId="1" xfId="0" applyFont="1" applyFill="1" applyBorder="1" applyAlignment="1" applyProtection="1">
      <alignment horizontal="left" vertical="top" wrapText="1"/>
      <protection locked="0"/>
    </xf>
    <xf numFmtId="0" fontId="5" fillId="0" borderId="8" xfId="0" applyFont="1" applyFill="1" applyBorder="1" applyAlignment="1" applyProtection="1">
      <alignment horizontal="left" vertical="top" wrapText="1"/>
      <protection locked="0"/>
    </xf>
    <xf numFmtId="0" fontId="5" fillId="0" borderId="6" xfId="0" applyFont="1" applyFill="1" applyBorder="1" applyAlignment="1" applyProtection="1">
      <alignment horizontal="left" vertical="top" wrapText="1"/>
      <protection locked="0"/>
    </xf>
    <xf numFmtId="0" fontId="5" fillId="0" borderId="12" xfId="0" applyFont="1" applyFill="1" applyBorder="1" applyAlignment="1" applyProtection="1">
      <alignment horizontal="left" vertical="top" wrapText="1"/>
      <protection locked="0"/>
    </xf>
    <xf numFmtId="0" fontId="5" fillId="0" borderId="1" xfId="0" applyFont="1" applyFill="1" applyBorder="1" applyAlignment="1" applyProtection="1">
      <alignment vertical="center"/>
      <protection locked="0"/>
    </xf>
    <xf numFmtId="0" fontId="10" fillId="0" borderId="1" xfId="0" applyFont="1" applyBorder="1" applyAlignment="1" applyProtection="1">
      <alignment vertical="center"/>
      <protection locked="0"/>
    </xf>
    <xf numFmtId="0" fontId="5" fillId="0" borderId="0" xfId="0" applyFont="1" applyFill="1" applyAlignment="1" applyProtection="1">
      <alignment horizontal="left" vertical="top"/>
      <protection locked="0"/>
    </xf>
    <xf numFmtId="0" fontId="10" fillId="0" borderId="0" xfId="0" applyFont="1" applyAlignment="1" applyProtection="1">
      <alignment vertical="center"/>
      <protection locked="0"/>
    </xf>
    <xf numFmtId="0" fontId="2" fillId="0" borderId="17" xfId="0" applyFont="1" applyBorder="1" applyAlignment="1" applyProtection="1">
      <alignment horizontal="left" vertical="top" wrapText="1"/>
      <protection locked="0"/>
    </xf>
    <xf numFmtId="0" fontId="2" fillId="0" borderId="6" xfId="0" applyFont="1" applyBorder="1" applyAlignment="1" applyProtection="1">
      <alignment horizontal="left" vertical="top" wrapText="1"/>
      <protection locked="0"/>
    </xf>
    <xf numFmtId="0" fontId="2" fillId="0" borderId="12" xfId="0" applyFont="1" applyBorder="1" applyAlignment="1" applyProtection="1">
      <alignment horizontal="left" vertical="top" wrapText="1"/>
      <protection locked="0"/>
    </xf>
    <xf numFmtId="0" fontId="2" fillId="0" borderId="16" xfId="0" applyFont="1" applyBorder="1" applyAlignment="1" applyProtection="1">
      <alignment horizontal="left" vertical="top" wrapText="1"/>
      <protection locked="0"/>
    </xf>
    <xf numFmtId="0" fontId="10" fillId="0" borderId="1" xfId="0" applyFont="1" applyFill="1" applyBorder="1" applyAlignment="1" applyProtection="1">
      <alignment horizontal="left" vertical="top"/>
      <protection locked="0"/>
    </xf>
    <xf numFmtId="0" fontId="5" fillId="0" borderId="8" xfId="0" applyFont="1" applyBorder="1" applyAlignment="1" applyProtection="1">
      <alignment horizontal="left" vertical="top"/>
      <protection locked="0"/>
    </xf>
    <xf numFmtId="0" fontId="2" fillId="0" borderId="6" xfId="0" applyFont="1" applyFill="1" applyBorder="1" applyAlignment="1" applyProtection="1">
      <alignment horizontal="left" vertical="top" wrapText="1"/>
      <protection locked="0"/>
    </xf>
    <xf numFmtId="0" fontId="2" fillId="0" borderId="1" xfId="0" applyFont="1" applyFill="1" applyBorder="1" applyAlignment="1" applyProtection="1">
      <alignment horizontal="left" vertical="center" wrapText="1"/>
      <protection locked="0"/>
    </xf>
    <xf numFmtId="0" fontId="2" fillId="0" borderId="6" xfId="0" applyFont="1" applyFill="1" applyBorder="1" applyAlignment="1" applyProtection="1">
      <alignment horizontal="left" vertical="center" wrapText="1"/>
      <protection locked="0"/>
    </xf>
    <xf numFmtId="0" fontId="2" fillId="0" borderId="16" xfId="0" applyFont="1" applyFill="1" applyBorder="1" applyAlignment="1" applyProtection="1">
      <alignment horizontal="left" vertical="center" wrapText="1"/>
      <protection locked="0"/>
    </xf>
    <xf numFmtId="0" fontId="2" fillId="0" borderId="8" xfId="0" applyFont="1" applyFill="1" applyBorder="1" applyAlignment="1" applyProtection="1">
      <alignment horizontal="left" vertical="center" wrapText="1"/>
      <protection locked="0"/>
    </xf>
    <xf numFmtId="0" fontId="2" fillId="0" borderId="17" xfId="0" applyFont="1" applyFill="1" applyBorder="1" applyAlignment="1" applyProtection="1">
      <alignment horizontal="left" vertical="top" wrapText="1"/>
      <protection locked="0"/>
    </xf>
    <xf numFmtId="0" fontId="2" fillId="0" borderId="17" xfId="0" applyFont="1" applyFill="1" applyBorder="1" applyAlignment="1" applyProtection="1">
      <alignment horizontal="left" vertical="center" wrapText="1"/>
      <protection locked="0"/>
    </xf>
    <xf numFmtId="49" fontId="16" fillId="10" borderId="1" xfId="0" applyNumberFormat="1" applyFont="1" applyFill="1" applyBorder="1" applyAlignment="1">
      <alignment horizontal="left" vertical="top" wrapText="1"/>
    </xf>
    <xf numFmtId="0" fontId="19" fillId="4" borderId="0" xfId="0" applyFont="1" applyFill="1" applyAlignment="1" applyProtection="1">
      <alignment horizontal="left" vertical="top" wrapText="1"/>
    </xf>
    <xf numFmtId="0" fontId="18" fillId="4" borderId="0" xfId="0" applyFont="1" applyFill="1" applyAlignment="1" applyProtection="1">
      <alignment horizontal="left"/>
    </xf>
    <xf numFmtId="0" fontId="1" fillId="5" borderId="1" xfId="0" applyFont="1" applyFill="1" applyBorder="1" applyAlignment="1" applyProtection="1">
      <alignment horizontal="center" vertical="center" wrapText="1"/>
      <protection locked="0"/>
    </xf>
    <xf numFmtId="0" fontId="1" fillId="5" borderId="9" xfId="0" applyFont="1" applyFill="1" applyBorder="1" applyAlignment="1" applyProtection="1">
      <alignment horizontal="center" vertical="center" wrapText="1"/>
      <protection locked="0"/>
    </xf>
    <xf numFmtId="0" fontId="1" fillId="9" borderId="1" xfId="0" applyFont="1" applyFill="1" applyBorder="1" applyAlignment="1" applyProtection="1">
      <alignment horizontal="center" vertical="center" wrapText="1"/>
      <protection locked="0"/>
    </xf>
    <xf numFmtId="0" fontId="1" fillId="5" borderId="12" xfId="0" applyFont="1" applyFill="1" applyBorder="1" applyAlignment="1" applyProtection="1">
      <alignment horizontal="center" vertical="center" wrapText="1"/>
      <protection locked="0"/>
    </xf>
    <xf numFmtId="0" fontId="1" fillId="5" borderId="14" xfId="0" applyFont="1" applyFill="1" applyBorder="1" applyAlignment="1" applyProtection="1">
      <alignment horizontal="center" vertical="center" wrapText="1"/>
      <protection locked="0"/>
    </xf>
    <xf numFmtId="0" fontId="1" fillId="5" borderId="15" xfId="0" applyFont="1" applyFill="1" applyBorder="1" applyAlignment="1" applyProtection="1">
      <alignment horizontal="center" vertical="center" wrapText="1"/>
      <protection locked="0"/>
    </xf>
    <xf numFmtId="0" fontId="8" fillId="9" borderId="6" xfId="0" applyFont="1" applyFill="1" applyBorder="1" applyAlignment="1" applyProtection="1">
      <alignment horizontal="center" vertical="center"/>
      <protection locked="0"/>
    </xf>
    <xf numFmtId="0" fontId="8" fillId="9" borderId="10" xfId="0" applyFont="1" applyFill="1" applyBorder="1" applyAlignment="1" applyProtection="1">
      <alignment horizontal="center" vertical="center"/>
      <protection locked="0"/>
    </xf>
    <xf numFmtId="0" fontId="7" fillId="9" borderId="12" xfId="0" applyFont="1" applyFill="1" applyBorder="1" applyAlignment="1" applyProtection="1">
      <alignment horizontal="center" vertical="center"/>
      <protection locked="0"/>
    </xf>
    <xf numFmtId="0" fontId="7" fillId="9" borderId="13" xfId="0" applyFont="1" applyFill="1" applyBorder="1" applyAlignment="1" applyProtection="1">
      <alignment horizontal="center" vertical="center"/>
      <protection locked="0"/>
    </xf>
    <xf numFmtId="0" fontId="7" fillId="5" borderId="1" xfId="0" applyFont="1" applyFill="1" applyBorder="1" applyAlignment="1" applyProtection="1">
      <alignment horizontal="center" vertical="center"/>
      <protection locked="0"/>
    </xf>
    <xf numFmtId="0" fontId="1" fillId="5" borderId="13" xfId="0" applyFont="1" applyFill="1" applyBorder="1" applyAlignment="1" applyProtection="1">
      <alignment horizontal="center" vertical="center" wrapText="1"/>
      <protection locked="0"/>
    </xf>
    <xf numFmtId="0" fontId="7" fillId="9" borderId="1" xfId="0" applyFont="1" applyFill="1" applyBorder="1" applyAlignment="1" applyProtection="1">
      <alignment horizontal="center" vertical="center" wrapText="1"/>
      <protection locked="0"/>
    </xf>
    <xf numFmtId="0" fontId="7" fillId="9" borderId="1" xfId="0" applyFont="1" applyFill="1" applyBorder="1" applyAlignment="1" applyProtection="1">
      <alignment horizontal="center" vertical="center"/>
      <protection locked="0"/>
    </xf>
    <xf numFmtId="0" fontId="1" fillId="5" borderId="6" xfId="0" applyFont="1" applyFill="1" applyBorder="1" applyAlignment="1" applyProtection="1">
      <alignment horizontal="center" vertical="center" wrapText="1"/>
      <protection locked="0"/>
    </xf>
    <xf numFmtId="0" fontId="1" fillId="5" borderId="10" xfId="0" applyFont="1" applyFill="1" applyBorder="1" applyAlignment="1" applyProtection="1">
      <alignment horizontal="center" vertical="center" wrapText="1"/>
      <protection locked="0"/>
    </xf>
    <xf numFmtId="0" fontId="7" fillId="9" borderId="12" xfId="0" applyFont="1" applyFill="1" applyBorder="1" applyAlignment="1" applyProtection="1">
      <alignment horizontal="center" vertical="center" wrapText="1"/>
      <protection locked="0"/>
    </xf>
    <xf numFmtId="0" fontId="7" fillId="9" borderId="13" xfId="0" applyFont="1" applyFill="1" applyBorder="1" applyAlignment="1" applyProtection="1">
      <alignment horizontal="center" vertical="center" wrapText="1"/>
      <protection locked="0"/>
    </xf>
    <xf numFmtId="0" fontId="7" fillId="5" borderId="6" xfId="0" applyFont="1" applyFill="1" applyBorder="1" applyAlignment="1" applyProtection="1">
      <alignment horizontal="center" vertical="center"/>
      <protection locked="0"/>
    </xf>
    <xf numFmtId="0" fontId="7" fillId="5" borderId="9" xfId="0" applyFont="1" applyFill="1" applyBorder="1" applyAlignment="1" applyProtection="1">
      <alignment horizontal="center" vertical="center"/>
      <protection locked="0"/>
    </xf>
    <xf numFmtId="0" fontId="7" fillId="5" borderId="10" xfId="0" applyFont="1" applyFill="1" applyBorder="1" applyAlignment="1" applyProtection="1">
      <alignment horizontal="center" vertical="center"/>
      <protection locked="0"/>
    </xf>
    <xf numFmtId="0" fontId="5" fillId="0" borderId="12" xfId="0" applyFont="1" applyBorder="1" applyAlignment="1" applyProtection="1">
      <alignment horizontal="center" vertical="center" wrapText="1"/>
      <protection locked="0"/>
    </xf>
    <xf numFmtId="0" fontId="5" fillId="0" borderId="13" xfId="0" applyFont="1" applyBorder="1" applyAlignment="1" applyProtection="1">
      <alignment horizontal="center" vertical="center" wrapText="1"/>
      <protection locked="0"/>
    </xf>
    <xf numFmtId="0" fontId="5" fillId="5" borderId="6" xfId="0" applyFont="1" applyFill="1" applyBorder="1" applyAlignment="1" applyProtection="1">
      <alignment horizontal="center" vertical="center"/>
      <protection locked="0"/>
    </xf>
    <xf numFmtId="0" fontId="5" fillId="5" borderId="10" xfId="0" applyFont="1" applyFill="1" applyBorder="1" applyAlignment="1" applyProtection="1">
      <alignment horizontal="center" vertical="center"/>
      <protection locked="0"/>
    </xf>
    <xf numFmtId="0" fontId="5" fillId="0" borderId="12" xfId="0" applyFont="1" applyBorder="1" applyAlignment="1" applyProtection="1">
      <alignment horizontal="center" vertical="center"/>
      <protection locked="0"/>
    </xf>
    <xf numFmtId="0" fontId="5" fillId="0" borderId="13" xfId="0" applyFont="1" applyBorder="1" applyAlignment="1" applyProtection="1">
      <alignment horizontal="center" vertical="center"/>
      <protection locked="0"/>
    </xf>
    <xf numFmtId="0" fontId="5" fillId="0" borderId="1" xfId="0" applyFont="1" applyBorder="1" applyAlignment="1" applyProtection="1">
      <alignment horizontal="center" vertical="center"/>
      <protection locked="0"/>
    </xf>
    <xf numFmtId="0" fontId="5" fillId="0" borderId="14" xfId="0" applyFont="1" applyBorder="1" applyAlignment="1" applyProtection="1">
      <alignment horizontal="center" vertical="center"/>
      <protection locked="0"/>
    </xf>
    <xf numFmtId="49" fontId="5" fillId="0" borderId="1" xfId="0" applyNumberFormat="1" applyFont="1" applyBorder="1" applyAlignment="1" applyProtection="1">
      <alignment horizontal="center" vertical="center" wrapText="1"/>
      <protection locked="0"/>
    </xf>
    <xf numFmtId="49" fontId="5" fillId="0" borderId="12" xfId="0" applyNumberFormat="1" applyFont="1" applyBorder="1" applyAlignment="1" applyProtection="1">
      <alignment horizontal="center" vertical="center" wrapText="1"/>
      <protection locked="0"/>
    </xf>
    <xf numFmtId="49" fontId="5" fillId="0" borderId="14" xfId="0" applyNumberFormat="1" applyFont="1" applyBorder="1" applyAlignment="1" applyProtection="1">
      <alignment horizontal="center" vertical="center" wrapText="1"/>
      <protection locked="0"/>
    </xf>
    <xf numFmtId="49" fontId="5" fillId="0" borderId="13" xfId="0" applyNumberFormat="1" applyFont="1" applyBorder="1" applyAlignment="1" applyProtection="1">
      <alignment horizontal="center" vertical="center" wrapText="1"/>
      <protection locked="0"/>
    </xf>
    <xf numFmtId="0" fontId="12" fillId="0" borderId="0" xfId="0" applyFont="1" applyAlignment="1" applyProtection="1">
      <alignment horizontal="center" vertical="center"/>
      <protection locked="0"/>
    </xf>
    <xf numFmtId="0" fontId="18" fillId="4" borderId="0" xfId="0" applyFont="1" applyFill="1" applyAlignment="1" applyProtection="1">
      <alignment horizontal="left" vertical="center"/>
    </xf>
    <xf numFmtId="0" fontId="20" fillId="4" borderId="0" xfId="0" applyFont="1" applyFill="1" applyAlignment="1" applyProtection="1">
      <alignment horizontal="left" vertical="top" wrapText="1"/>
    </xf>
    <xf numFmtId="0" fontId="21" fillId="4" borderId="0" xfId="0" applyFont="1" applyFill="1" applyAlignment="1" applyProtection="1">
      <alignment horizontal="left" vertical="center"/>
    </xf>
    <xf numFmtId="0" fontId="18" fillId="0" borderId="0" xfId="0" applyFont="1" applyFill="1" applyAlignment="1" applyProtection="1">
      <alignment vertical="center"/>
      <protection locked="0"/>
    </xf>
    <xf numFmtId="0" fontId="19" fillId="0" borderId="0" xfId="0" applyFont="1" applyFill="1" applyAlignment="1" applyProtection="1">
      <alignment vertical="top" wrapText="1"/>
      <protection locked="0"/>
    </xf>
    <xf numFmtId="0" fontId="21" fillId="0" borderId="0" xfId="0" applyFont="1" applyFill="1" applyAlignment="1" applyProtection="1">
      <alignment vertical="center"/>
      <protection locked="0"/>
    </xf>
    <xf numFmtId="0" fontId="20" fillId="0" borderId="0" xfId="0" applyFont="1" applyFill="1" applyAlignment="1" applyProtection="1">
      <alignment vertical="top" wrapText="1"/>
      <protection locked="0"/>
    </xf>
  </cellXfs>
  <cellStyles count="1">
    <cellStyle name="標準" xfId="0" builtinId="0"/>
  </cellStyles>
  <dxfs count="22">
    <dxf>
      <fill>
        <patternFill>
          <bgColor rgb="FFFFFF00"/>
        </patternFill>
      </fill>
    </dxf>
    <dxf>
      <font>
        <color rgb="FFFF0000"/>
      </font>
    </dxf>
    <dxf>
      <font>
        <color rgb="FFFF0000"/>
      </font>
      <fill>
        <patternFill patternType="solid">
          <bgColor rgb="FFFFFF00"/>
        </patternFill>
      </fill>
    </dxf>
    <dxf>
      <fill>
        <patternFill>
          <bgColor rgb="FFFFFF00"/>
        </patternFill>
      </fill>
    </dxf>
    <dxf>
      <fill>
        <patternFill>
          <bgColor rgb="FFFFFF00"/>
        </patternFill>
      </fill>
    </dxf>
    <dxf>
      <font>
        <color rgb="FFFF0000"/>
      </font>
    </dxf>
    <dxf>
      <font>
        <color rgb="FFFF0000"/>
      </font>
      <fill>
        <patternFill>
          <bgColor rgb="FFFFFF00"/>
        </patternFill>
      </fill>
    </dxf>
    <dxf>
      <fill>
        <patternFill>
          <bgColor rgb="FFFFFF00"/>
        </patternFill>
      </fill>
    </dxf>
    <dxf>
      <fill>
        <patternFill>
          <bgColor rgb="FFFFFF00"/>
        </patternFill>
      </fill>
    </dxf>
    <dxf>
      <font>
        <color rgb="FFFF0000"/>
      </font>
    </dxf>
    <dxf>
      <font>
        <color rgb="FFFF0000"/>
      </font>
      <fill>
        <patternFill>
          <bgColor rgb="FFFFFF00"/>
        </patternFill>
      </fill>
    </dxf>
    <dxf>
      <fill>
        <patternFill>
          <bgColor rgb="FFFFFF00"/>
        </patternFill>
      </fill>
    </dxf>
    <dxf>
      <fill>
        <patternFill>
          <bgColor rgb="FFFFFF00"/>
        </patternFill>
      </fill>
    </dxf>
    <dxf>
      <font>
        <color rgb="FFFF0000"/>
      </font>
    </dxf>
    <dxf>
      <font>
        <color rgb="FFFF0000"/>
      </font>
      <fill>
        <patternFill>
          <bgColor rgb="FFFFFF00"/>
        </patternFill>
      </fill>
    </dxf>
    <dxf>
      <fill>
        <patternFill>
          <bgColor rgb="FFFFFF00"/>
        </patternFill>
      </fill>
    </dxf>
    <dxf>
      <fill>
        <patternFill>
          <bgColor rgb="FFFFFF00"/>
        </patternFill>
      </fill>
    </dxf>
    <dxf>
      <font>
        <color rgb="FFFF0000"/>
      </font>
    </dxf>
    <dxf>
      <fill>
        <patternFill>
          <bgColor rgb="FFFFFF00"/>
        </patternFill>
      </fill>
    </dxf>
    <dxf>
      <font>
        <color rgb="FFFF0000"/>
      </font>
      <fill>
        <patternFill>
          <bgColor rgb="FFFFFF00"/>
        </patternFill>
      </fill>
    </dxf>
    <dxf>
      <font>
        <strike val="0"/>
        <color rgb="FFFF0000"/>
      </font>
    </dxf>
    <dxf>
      <fill>
        <patternFill>
          <bgColor rgb="FFFFFF00"/>
        </patternFill>
      </fill>
    </dxf>
  </dxfs>
  <tableStyles count="0" defaultTableStyle="TableStyleMedium2" defaultPivotStyle="PivotStyleLight16"/>
  <colors>
    <mruColors>
      <color rgb="FFD9E1F2"/>
      <color rgb="FF000000"/>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1" Type="http://schemas.openxmlformats.org/officeDocument/2006/relationships/image" Target="../media/image1.emf"/></Relationships>
</file>

<file path=xl/drawings/_rels/drawing1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2.xml.rels><?xml version="1.0" encoding="UTF-8" standalone="yes"?>
<Relationships xmlns="http://schemas.openxmlformats.org/package/2006/relationships"><Relationship Id="rId1" Type="http://schemas.openxmlformats.org/officeDocument/2006/relationships/image" Target="../media/image1.emf"/></Relationships>
</file>

<file path=xl/drawings/_rels/drawing13.xml.rels><?xml version="1.0" encoding="UTF-8" standalone="yes"?>
<Relationships xmlns="http://schemas.openxmlformats.org/package/2006/relationships"><Relationship Id="rId1" Type="http://schemas.openxmlformats.org/officeDocument/2006/relationships/image" Target="../media/image1.emf"/></Relationships>
</file>

<file path=xl/drawings/_rels/drawing14.xml.rels><?xml version="1.0" encoding="UTF-8" standalone="yes"?>
<Relationships xmlns="http://schemas.openxmlformats.org/package/2006/relationships"><Relationship Id="rId1" Type="http://schemas.openxmlformats.org/officeDocument/2006/relationships/image" Target="../media/image1.emf"/></Relationships>
</file>

<file path=xl/drawings/_rels/drawing15.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1.emf"/></Relationships>
</file>

<file path=xl/drawings/_rels/drawing6.xml.rels><?xml version="1.0" encoding="UTF-8" standalone="yes"?>
<Relationships xmlns="http://schemas.openxmlformats.org/package/2006/relationships"><Relationship Id="rId1" Type="http://schemas.openxmlformats.org/officeDocument/2006/relationships/image" Target="../media/image1.emf"/></Relationships>
</file>

<file path=xl/drawings/_rels/drawing7.xml.rels><?xml version="1.0" encoding="UTF-8" standalone="yes"?>
<Relationships xmlns="http://schemas.openxmlformats.org/package/2006/relationships"><Relationship Id="rId1" Type="http://schemas.openxmlformats.org/officeDocument/2006/relationships/image" Target="../media/image1.emf"/></Relationships>
</file>

<file path=xl/drawings/_rels/drawing8.xml.rels><?xml version="1.0" encoding="UTF-8" standalone="yes"?>
<Relationships xmlns="http://schemas.openxmlformats.org/package/2006/relationships"><Relationship Id="rId1" Type="http://schemas.openxmlformats.org/officeDocument/2006/relationships/image" Target="../media/image1.emf"/></Relationships>
</file>

<file path=xl/drawings/_rels/drawing9.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28</xdr:col>
      <xdr:colOff>317501</xdr:colOff>
      <xdr:row>1</xdr:row>
      <xdr:rowOff>45349</xdr:rowOff>
    </xdr:from>
    <xdr:to>
      <xdr:col>30</xdr:col>
      <xdr:colOff>533403</xdr:colOff>
      <xdr:row>3</xdr:row>
      <xdr:rowOff>83449</xdr:rowOff>
    </xdr:to>
    <xdr:pic>
      <xdr:nvPicPr>
        <xdr:cNvPr id="6" name="Picture 23">
          <a:extLst>
            <a:ext uri="{FF2B5EF4-FFF2-40B4-BE49-F238E27FC236}">
              <a16:creationId xmlns:a16="http://schemas.microsoft.com/office/drawing/2014/main" id="{C82E1DEA-3D4A-43D4-836F-540FC5C449E6}"/>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2066251" y="362849"/>
          <a:ext cx="1524000" cy="6731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28</xdr:col>
      <xdr:colOff>317501</xdr:colOff>
      <xdr:row>1</xdr:row>
      <xdr:rowOff>45349</xdr:rowOff>
    </xdr:from>
    <xdr:to>
      <xdr:col>30</xdr:col>
      <xdr:colOff>520700</xdr:colOff>
      <xdr:row>3</xdr:row>
      <xdr:rowOff>83449</xdr:rowOff>
    </xdr:to>
    <xdr:pic>
      <xdr:nvPicPr>
        <xdr:cNvPr id="9" name="Picture 23">
          <a:extLst>
            <a:ext uri="{FF2B5EF4-FFF2-40B4-BE49-F238E27FC236}">
              <a16:creationId xmlns:a16="http://schemas.microsoft.com/office/drawing/2014/main" id="{2E2E2594-9B8E-49BF-B7E6-445B974B7828}"/>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39251" y="362849"/>
          <a:ext cx="1524000" cy="6731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426356</xdr:colOff>
      <xdr:row>1</xdr:row>
      <xdr:rowOff>99786</xdr:rowOff>
    </xdr:from>
    <xdr:to>
      <xdr:col>4</xdr:col>
      <xdr:colOff>425824</xdr:colOff>
      <xdr:row>5</xdr:row>
      <xdr:rowOff>27214</xdr:rowOff>
    </xdr:to>
    <xdr:sp macro="" textlink="">
      <xdr:nvSpPr>
        <xdr:cNvPr id="3" name="スクロール: 横 2">
          <a:extLst>
            <a:ext uri="{FF2B5EF4-FFF2-40B4-BE49-F238E27FC236}">
              <a16:creationId xmlns:a16="http://schemas.microsoft.com/office/drawing/2014/main" id="{2C25AC97-4C2A-44F7-8DD0-8E9E7B4D73A0}"/>
            </a:ext>
          </a:extLst>
        </xdr:cNvPr>
        <xdr:cNvSpPr/>
      </xdr:nvSpPr>
      <xdr:spPr>
        <a:xfrm>
          <a:off x="426356" y="385536"/>
          <a:ext cx="3136368" cy="1070428"/>
        </a:xfrm>
        <a:prstGeom prst="horizontalScroll">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latin typeface="Meiryo UI" panose="020B0604030504040204" pitchFamily="50" charset="-128"/>
              <a:ea typeface="Meiryo UI" panose="020B0604030504040204" pitchFamily="50" charset="-128"/>
            </a:rPr>
            <a:t>[Rule]</a:t>
          </a:r>
          <a:endParaRPr kumimoji="1" lang="en-US" altLang="ja-JP" sz="1100">
            <a:solidFill>
              <a:srgbClr val="FF0000"/>
            </a:solidFill>
            <a:latin typeface="Meiryo UI" panose="020B0604030504040204" pitchFamily="50" charset="-128"/>
            <a:ea typeface="Meiryo UI" panose="020B0604030504040204" pitchFamily="50" charset="-128"/>
          </a:endParaRPr>
        </a:p>
        <a:p>
          <a:pPr algn="l"/>
          <a:r>
            <a:rPr kumimoji="1" lang="en-US" altLang="ja-JP" sz="1100">
              <a:latin typeface="Meiryo UI" panose="020B0604030504040204" pitchFamily="50" charset="-128"/>
              <a:ea typeface="Meiryo UI" panose="020B0604030504040204" pitchFamily="50" charset="-128"/>
            </a:rPr>
            <a:t>-</a:t>
          </a:r>
          <a:r>
            <a:rPr kumimoji="1" lang="en-US" altLang="ja-JP" sz="1100" baseline="0">
              <a:latin typeface="Meiryo UI" panose="020B0604030504040204" pitchFamily="50" charset="-128"/>
              <a:ea typeface="Meiryo UI" panose="020B0604030504040204" pitchFamily="50" charset="-128"/>
            </a:rPr>
            <a:t> </a:t>
          </a:r>
          <a:r>
            <a:rPr kumimoji="1" lang="en-US" altLang="ja-JP" sz="1100">
              <a:latin typeface="Meiryo UI" panose="020B0604030504040204" pitchFamily="50" charset="-128"/>
              <a:ea typeface="Meiryo UI" panose="020B0604030504040204" pitchFamily="50" charset="-128"/>
            </a:rPr>
            <a:t>The selected pin cell is yellow. </a:t>
          </a:r>
        </a:p>
        <a:p>
          <a:pPr algn="l"/>
          <a:r>
            <a:rPr kumimoji="1" lang="en-US" altLang="ja-JP" sz="1100">
              <a:latin typeface="Meiryo UI" panose="020B0604030504040204" pitchFamily="50" charset="-128"/>
              <a:ea typeface="Meiryo UI" panose="020B0604030504040204" pitchFamily="50" charset="-128"/>
            </a:rPr>
            <a:t>- Duplicate pin names are red. </a:t>
          </a:r>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editAs="oneCell">
    <xdr:from>
      <xdr:col>66</xdr:col>
      <xdr:colOff>317501</xdr:colOff>
      <xdr:row>1</xdr:row>
      <xdr:rowOff>45349</xdr:rowOff>
    </xdr:from>
    <xdr:to>
      <xdr:col>68</xdr:col>
      <xdr:colOff>533401</xdr:colOff>
      <xdr:row>3</xdr:row>
      <xdr:rowOff>83449</xdr:rowOff>
    </xdr:to>
    <xdr:pic>
      <xdr:nvPicPr>
        <xdr:cNvPr id="5" name="Picture 23">
          <a:extLst>
            <a:ext uri="{FF2B5EF4-FFF2-40B4-BE49-F238E27FC236}">
              <a16:creationId xmlns:a16="http://schemas.microsoft.com/office/drawing/2014/main" id="{6FEA723B-7174-4F14-B2D4-23564EF3D273}"/>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2581851" y="362849"/>
          <a:ext cx="1524000" cy="6731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3</xdr:col>
      <xdr:colOff>190902</xdr:colOff>
      <xdr:row>7</xdr:row>
      <xdr:rowOff>141993</xdr:rowOff>
    </xdr:from>
    <xdr:to>
      <xdr:col>4</xdr:col>
      <xdr:colOff>118331</xdr:colOff>
      <xdr:row>8</xdr:row>
      <xdr:rowOff>132922</xdr:rowOff>
    </xdr:to>
    <xdr:sp macro="" textlink="">
      <xdr:nvSpPr>
        <xdr:cNvPr id="2" name="フローチャート: 結合子 1">
          <a:extLst>
            <a:ext uri="{FF2B5EF4-FFF2-40B4-BE49-F238E27FC236}">
              <a16:creationId xmlns:a16="http://schemas.microsoft.com/office/drawing/2014/main" id="{CBB8AB9E-6B34-4E12-A736-8FDFD530FEF2}"/>
            </a:ext>
          </a:extLst>
        </xdr:cNvPr>
        <xdr:cNvSpPr/>
      </xdr:nvSpPr>
      <xdr:spPr>
        <a:xfrm>
          <a:off x="2603902" y="2300993"/>
          <a:ext cx="181429" cy="181429"/>
        </a:xfrm>
        <a:prstGeom prst="flowChartConnector">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endParaRPr lang="ja-JP" altLang="en-US"/>
        </a:p>
      </xdr:txBody>
    </xdr:sp>
    <xdr:clientData/>
  </xdr:twoCellAnchor>
  <xdr:twoCellAnchor editAs="oneCell">
    <xdr:from>
      <xdr:col>28</xdr:col>
      <xdr:colOff>317501</xdr:colOff>
      <xdr:row>1</xdr:row>
      <xdr:rowOff>45349</xdr:rowOff>
    </xdr:from>
    <xdr:to>
      <xdr:col>30</xdr:col>
      <xdr:colOff>533401</xdr:colOff>
      <xdr:row>3</xdr:row>
      <xdr:rowOff>83449</xdr:rowOff>
    </xdr:to>
    <xdr:pic>
      <xdr:nvPicPr>
        <xdr:cNvPr id="5" name="Picture 23">
          <a:extLst>
            <a:ext uri="{FF2B5EF4-FFF2-40B4-BE49-F238E27FC236}">
              <a16:creationId xmlns:a16="http://schemas.microsoft.com/office/drawing/2014/main" id="{6E0A0E9A-BC8B-4EF4-BBBD-B261E4B9720C}"/>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864601" y="362849"/>
          <a:ext cx="1524000" cy="6731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28</xdr:col>
      <xdr:colOff>311151</xdr:colOff>
      <xdr:row>1</xdr:row>
      <xdr:rowOff>13599</xdr:rowOff>
    </xdr:from>
    <xdr:to>
      <xdr:col>30</xdr:col>
      <xdr:colOff>533028</xdr:colOff>
      <xdr:row>3</xdr:row>
      <xdr:rowOff>51699</xdr:rowOff>
    </xdr:to>
    <xdr:pic>
      <xdr:nvPicPr>
        <xdr:cNvPr id="9" name="Picture 23">
          <a:extLst>
            <a:ext uri="{FF2B5EF4-FFF2-40B4-BE49-F238E27FC236}">
              <a16:creationId xmlns:a16="http://schemas.microsoft.com/office/drawing/2014/main" id="{179C30EA-153F-425A-B26F-7D19FF4AB2FA}"/>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64651" y="331099"/>
          <a:ext cx="1529977" cy="67310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0</xdr:col>
      <xdr:colOff>426356</xdr:colOff>
      <xdr:row>1</xdr:row>
      <xdr:rowOff>99786</xdr:rowOff>
    </xdr:from>
    <xdr:to>
      <xdr:col>4</xdr:col>
      <xdr:colOff>425824</xdr:colOff>
      <xdr:row>5</xdr:row>
      <xdr:rowOff>27214</xdr:rowOff>
    </xdr:to>
    <xdr:sp macro="" textlink="">
      <xdr:nvSpPr>
        <xdr:cNvPr id="3" name="スクロール: 横 2">
          <a:extLst>
            <a:ext uri="{FF2B5EF4-FFF2-40B4-BE49-F238E27FC236}">
              <a16:creationId xmlns:a16="http://schemas.microsoft.com/office/drawing/2014/main" id="{E8B7CD11-41A3-4E3D-9676-81C67A90C391}"/>
            </a:ext>
          </a:extLst>
        </xdr:cNvPr>
        <xdr:cNvSpPr/>
      </xdr:nvSpPr>
      <xdr:spPr>
        <a:xfrm>
          <a:off x="426356" y="385536"/>
          <a:ext cx="3136368" cy="1070428"/>
        </a:xfrm>
        <a:prstGeom prst="horizontalScroll">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latin typeface="Meiryo UI" panose="020B0604030504040204" pitchFamily="50" charset="-128"/>
              <a:ea typeface="Meiryo UI" panose="020B0604030504040204" pitchFamily="50" charset="-128"/>
            </a:rPr>
            <a:t>[Rule]</a:t>
          </a:r>
          <a:endParaRPr kumimoji="1" lang="en-US" altLang="ja-JP" sz="1100">
            <a:solidFill>
              <a:srgbClr val="FF0000"/>
            </a:solidFill>
            <a:latin typeface="Meiryo UI" panose="020B0604030504040204" pitchFamily="50" charset="-128"/>
            <a:ea typeface="Meiryo UI" panose="020B0604030504040204" pitchFamily="50" charset="-128"/>
          </a:endParaRPr>
        </a:p>
        <a:p>
          <a:pPr algn="l"/>
          <a:r>
            <a:rPr kumimoji="1" lang="en-US" altLang="ja-JP" sz="1100">
              <a:latin typeface="Meiryo UI" panose="020B0604030504040204" pitchFamily="50" charset="-128"/>
              <a:ea typeface="Meiryo UI" panose="020B0604030504040204" pitchFamily="50" charset="-128"/>
            </a:rPr>
            <a:t>-</a:t>
          </a:r>
          <a:r>
            <a:rPr kumimoji="1" lang="en-US" altLang="ja-JP" sz="1100" baseline="0">
              <a:latin typeface="Meiryo UI" panose="020B0604030504040204" pitchFamily="50" charset="-128"/>
              <a:ea typeface="Meiryo UI" panose="020B0604030504040204" pitchFamily="50" charset="-128"/>
            </a:rPr>
            <a:t> </a:t>
          </a:r>
          <a:r>
            <a:rPr kumimoji="1" lang="en-US" altLang="ja-JP" sz="1100">
              <a:latin typeface="Meiryo UI" panose="020B0604030504040204" pitchFamily="50" charset="-128"/>
              <a:ea typeface="Meiryo UI" panose="020B0604030504040204" pitchFamily="50" charset="-128"/>
            </a:rPr>
            <a:t>The selected pin cell is yellow. </a:t>
          </a:r>
        </a:p>
        <a:p>
          <a:pPr algn="l"/>
          <a:r>
            <a:rPr kumimoji="1" lang="en-US" altLang="ja-JP" sz="1100">
              <a:latin typeface="Meiryo UI" panose="020B0604030504040204" pitchFamily="50" charset="-128"/>
              <a:ea typeface="Meiryo UI" panose="020B0604030504040204" pitchFamily="50" charset="-128"/>
            </a:rPr>
            <a:t>- Duplicate pin names are red. </a:t>
          </a:r>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editAs="oneCell">
    <xdr:from>
      <xdr:col>66</xdr:col>
      <xdr:colOff>311151</xdr:colOff>
      <xdr:row>1</xdr:row>
      <xdr:rowOff>13599</xdr:rowOff>
    </xdr:from>
    <xdr:to>
      <xdr:col>68</xdr:col>
      <xdr:colOff>533028</xdr:colOff>
      <xdr:row>3</xdr:row>
      <xdr:rowOff>51699</xdr:rowOff>
    </xdr:to>
    <xdr:pic>
      <xdr:nvPicPr>
        <xdr:cNvPr id="4" name="Picture 23">
          <a:extLst>
            <a:ext uri="{FF2B5EF4-FFF2-40B4-BE49-F238E27FC236}">
              <a16:creationId xmlns:a16="http://schemas.microsoft.com/office/drawing/2014/main" id="{264053E4-D2B3-43B6-B707-F011906C50C7}"/>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64651" y="331099"/>
          <a:ext cx="1529977" cy="67310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190902</xdr:colOff>
      <xdr:row>9</xdr:row>
      <xdr:rowOff>141993</xdr:rowOff>
    </xdr:from>
    <xdr:to>
      <xdr:col>4</xdr:col>
      <xdr:colOff>118331</xdr:colOff>
      <xdr:row>10</xdr:row>
      <xdr:rowOff>132922</xdr:rowOff>
    </xdr:to>
    <xdr:sp macro="" textlink="">
      <xdr:nvSpPr>
        <xdr:cNvPr id="2" name="フローチャート: 結合子 1">
          <a:extLst>
            <a:ext uri="{FF2B5EF4-FFF2-40B4-BE49-F238E27FC236}">
              <a16:creationId xmlns:a16="http://schemas.microsoft.com/office/drawing/2014/main" id="{CF0B4DF1-20A3-40E2-B524-8FDC0564CC00}"/>
            </a:ext>
          </a:extLst>
        </xdr:cNvPr>
        <xdr:cNvSpPr/>
      </xdr:nvSpPr>
      <xdr:spPr>
        <a:xfrm>
          <a:off x="2603902" y="1824743"/>
          <a:ext cx="181429" cy="181429"/>
        </a:xfrm>
        <a:prstGeom prst="flowChartConnector">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endParaRPr lang="ja-JP" altLang="en-US"/>
        </a:p>
      </xdr:txBody>
    </xdr:sp>
    <xdr:clientData/>
  </xdr:twoCellAnchor>
  <xdr:twoCellAnchor editAs="oneCell">
    <xdr:from>
      <xdr:col>24</xdr:col>
      <xdr:colOff>311151</xdr:colOff>
      <xdr:row>1</xdr:row>
      <xdr:rowOff>13599</xdr:rowOff>
    </xdr:from>
    <xdr:to>
      <xdr:col>26</xdr:col>
      <xdr:colOff>533028</xdr:colOff>
      <xdr:row>3</xdr:row>
      <xdr:rowOff>51699</xdr:rowOff>
    </xdr:to>
    <xdr:pic>
      <xdr:nvPicPr>
        <xdr:cNvPr id="4" name="Picture 23">
          <a:extLst>
            <a:ext uri="{FF2B5EF4-FFF2-40B4-BE49-F238E27FC236}">
              <a16:creationId xmlns:a16="http://schemas.microsoft.com/office/drawing/2014/main" id="{46A77813-F6D6-4D63-9081-6BE9013E4122}"/>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64651" y="331099"/>
          <a:ext cx="1529977" cy="6731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426356</xdr:colOff>
      <xdr:row>1</xdr:row>
      <xdr:rowOff>99786</xdr:rowOff>
    </xdr:from>
    <xdr:to>
      <xdr:col>4</xdr:col>
      <xdr:colOff>425824</xdr:colOff>
      <xdr:row>5</xdr:row>
      <xdr:rowOff>27214</xdr:rowOff>
    </xdr:to>
    <xdr:sp macro="" textlink="">
      <xdr:nvSpPr>
        <xdr:cNvPr id="3" name="スクロール: 横 2">
          <a:extLst>
            <a:ext uri="{FF2B5EF4-FFF2-40B4-BE49-F238E27FC236}">
              <a16:creationId xmlns:a16="http://schemas.microsoft.com/office/drawing/2014/main" id="{B1B1D11C-5D9E-424F-9586-9CA01AD59888}"/>
            </a:ext>
          </a:extLst>
        </xdr:cNvPr>
        <xdr:cNvSpPr/>
      </xdr:nvSpPr>
      <xdr:spPr>
        <a:xfrm>
          <a:off x="426356" y="385536"/>
          <a:ext cx="3136368" cy="1070428"/>
        </a:xfrm>
        <a:prstGeom prst="horizontalScroll">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latin typeface="Meiryo UI" panose="020B0604030504040204" pitchFamily="50" charset="-128"/>
              <a:ea typeface="Meiryo UI" panose="020B0604030504040204" pitchFamily="50" charset="-128"/>
            </a:rPr>
            <a:t>[Rule]</a:t>
          </a:r>
          <a:endParaRPr kumimoji="1" lang="en-US" altLang="ja-JP" sz="1100">
            <a:solidFill>
              <a:srgbClr val="FF0000"/>
            </a:solidFill>
            <a:latin typeface="Meiryo UI" panose="020B0604030504040204" pitchFamily="50" charset="-128"/>
            <a:ea typeface="Meiryo UI" panose="020B0604030504040204" pitchFamily="50" charset="-128"/>
          </a:endParaRPr>
        </a:p>
        <a:p>
          <a:pPr algn="l"/>
          <a:r>
            <a:rPr kumimoji="1" lang="en-US" altLang="ja-JP" sz="1100">
              <a:latin typeface="Meiryo UI" panose="020B0604030504040204" pitchFamily="50" charset="-128"/>
              <a:ea typeface="Meiryo UI" panose="020B0604030504040204" pitchFamily="50" charset="-128"/>
            </a:rPr>
            <a:t>-</a:t>
          </a:r>
          <a:r>
            <a:rPr kumimoji="1" lang="en-US" altLang="ja-JP" sz="1100" baseline="0">
              <a:latin typeface="Meiryo UI" panose="020B0604030504040204" pitchFamily="50" charset="-128"/>
              <a:ea typeface="Meiryo UI" panose="020B0604030504040204" pitchFamily="50" charset="-128"/>
            </a:rPr>
            <a:t> </a:t>
          </a:r>
          <a:r>
            <a:rPr kumimoji="1" lang="en-US" altLang="ja-JP" sz="1100">
              <a:latin typeface="Meiryo UI" panose="020B0604030504040204" pitchFamily="50" charset="-128"/>
              <a:ea typeface="Meiryo UI" panose="020B0604030504040204" pitchFamily="50" charset="-128"/>
            </a:rPr>
            <a:t>The selected pin cell is yellow. </a:t>
          </a:r>
        </a:p>
        <a:p>
          <a:pPr algn="l"/>
          <a:r>
            <a:rPr kumimoji="1" lang="en-US" altLang="ja-JP" sz="1100">
              <a:latin typeface="Meiryo UI" panose="020B0604030504040204" pitchFamily="50" charset="-128"/>
              <a:ea typeface="Meiryo UI" panose="020B0604030504040204" pitchFamily="50" charset="-128"/>
            </a:rPr>
            <a:t>- Duplicate pin names are red. </a:t>
          </a:r>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editAs="oneCell">
    <xdr:from>
      <xdr:col>66</xdr:col>
      <xdr:colOff>317501</xdr:colOff>
      <xdr:row>2</xdr:row>
      <xdr:rowOff>45349</xdr:rowOff>
    </xdr:from>
    <xdr:to>
      <xdr:col>68</xdr:col>
      <xdr:colOff>533401</xdr:colOff>
      <xdr:row>4</xdr:row>
      <xdr:rowOff>83449</xdr:rowOff>
    </xdr:to>
    <xdr:pic>
      <xdr:nvPicPr>
        <xdr:cNvPr id="4" name="Picture 23">
          <a:extLst>
            <a:ext uri="{FF2B5EF4-FFF2-40B4-BE49-F238E27FC236}">
              <a16:creationId xmlns:a16="http://schemas.microsoft.com/office/drawing/2014/main" id="{3CDA08B6-886D-42E0-B4A5-B23D9F787FE6}"/>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2066251" y="362849"/>
          <a:ext cx="1524000" cy="6731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190902</xdr:colOff>
      <xdr:row>7</xdr:row>
      <xdr:rowOff>141993</xdr:rowOff>
    </xdr:from>
    <xdr:to>
      <xdr:col>4</xdr:col>
      <xdr:colOff>118331</xdr:colOff>
      <xdr:row>8</xdr:row>
      <xdr:rowOff>132922</xdr:rowOff>
    </xdr:to>
    <xdr:sp macro="" textlink="">
      <xdr:nvSpPr>
        <xdr:cNvPr id="2" name="フローチャート: 結合子 1">
          <a:extLst>
            <a:ext uri="{FF2B5EF4-FFF2-40B4-BE49-F238E27FC236}">
              <a16:creationId xmlns:a16="http://schemas.microsoft.com/office/drawing/2014/main" id="{DD8A97E9-51F8-446D-A6C4-0256D729427F}"/>
            </a:ext>
          </a:extLst>
        </xdr:cNvPr>
        <xdr:cNvSpPr/>
      </xdr:nvSpPr>
      <xdr:spPr>
        <a:xfrm>
          <a:off x="2603902" y="2300993"/>
          <a:ext cx="181429" cy="181429"/>
        </a:xfrm>
        <a:prstGeom prst="flowChartConnector">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endParaRPr lang="ja-JP" altLang="en-US"/>
        </a:p>
      </xdr:txBody>
    </xdr:sp>
    <xdr:clientData/>
  </xdr:twoCellAnchor>
  <xdr:twoCellAnchor editAs="oneCell">
    <xdr:from>
      <xdr:col>52</xdr:col>
      <xdr:colOff>317501</xdr:colOff>
      <xdr:row>1</xdr:row>
      <xdr:rowOff>45349</xdr:rowOff>
    </xdr:from>
    <xdr:to>
      <xdr:col>54</xdr:col>
      <xdr:colOff>533402</xdr:colOff>
      <xdr:row>3</xdr:row>
      <xdr:rowOff>83449</xdr:rowOff>
    </xdr:to>
    <xdr:pic>
      <xdr:nvPicPr>
        <xdr:cNvPr id="5" name="Picture 23">
          <a:extLst>
            <a:ext uri="{FF2B5EF4-FFF2-40B4-BE49-F238E27FC236}">
              <a16:creationId xmlns:a16="http://schemas.microsoft.com/office/drawing/2014/main" id="{F0CABC9A-29D2-4D34-93FB-EE0383E55CA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2066251" y="362849"/>
          <a:ext cx="1524000" cy="6731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28</xdr:col>
      <xdr:colOff>317501</xdr:colOff>
      <xdr:row>1</xdr:row>
      <xdr:rowOff>45349</xdr:rowOff>
    </xdr:from>
    <xdr:to>
      <xdr:col>30</xdr:col>
      <xdr:colOff>533400</xdr:colOff>
      <xdr:row>3</xdr:row>
      <xdr:rowOff>83449</xdr:rowOff>
    </xdr:to>
    <xdr:pic>
      <xdr:nvPicPr>
        <xdr:cNvPr id="6" name="Picture 23">
          <a:extLst>
            <a:ext uri="{FF2B5EF4-FFF2-40B4-BE49-F238E27FC236}">
              <a16:creationId xmlns:a16="http://schemas.microsoft.com/office/drawing/2014/main" id="{BE65089B-D8C8-4D7E-9FE0-1E67E6080807}"/>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58301" y="362849"/>
          <a:ext cx="1524000" cy="6731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426356</xdr:colOff>
      <xdr:row>1</xdr:row>
      <xdr:rowOff>99786</xdr:rowOff>
    </xdr:from>
    <xdr:to>
      <xdr:col>4</xdr:col>
      <xdr:colOff>425824</xdr:colOff>
      <xdr:row>5</xdr:row>
      <xdr:rowOff>27214</xdr:rowOff>
    </xdr:to>
    <xdr:sp macro="" textlink="">
      <xdr:nvSpPr>
        <xdr:cNvPr id="3" name="スクロール: 横 2">
          <a:extLst>
            <a:ext uri="{FF2B5EF4-FFF2-40B4-BE49-F238E27FC236}">
              <a16:creationId xmlns:a16="http://schemas.microsoft.com/office/drawing/2014/main" id="{BC10A6A0-6FAC-4E23-AE1E-F7C802C40D30}"/>
            </a:ext>
          </a:extLst>
        </xdr:cNvPr>
        <xdr:cNvSpPr/>
      </xdr:nvSpPr>
      <xdr:spPr>
        <a:xfrm>
          <a:off x="426356" y="385536"/>
          <a:ext cx="3136368" cy="1070428"/>
        </a:xfrm>
        <a:prstGeom prst="horizontalScroll">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latin typeface="Meiryo UI" panose="020B0604030504040204" pitchFamily="50" charset="-128"/>
              <a:ea typeface="Meiryo UI" panose="020B0604030504040204" pitchFamily="50" charset="-128"/>
            </a:rPr>
            <a:t>[Rule]</a:t>
          </a:r>
          <a:endParaRPr kumimoji="1" lang="en-US" altLang="ja-JP" sz="1100">
            <a:solidFill>
              <a:srgbClr val="FF0000"/>
            </a:solidFill>
            <a:latin typeface="Meiryo UI" panose="020B0604030504040204" pitchFamily="50" charset="-128"/>
            <a:ea typeface="Meiryo UI" panose="020B0604030504040204" pitchFamily="50" charset="-128"/>
          </a:endParaRPr>
        </a:p>
        <a:p>
          <a:pPr algn="l"/>
          <a:r>
            <a:rPr kumimoji="1" lang="en-US" altLang="ja-JP" sz="1100">
              <a:latin typeface="Meiryo UI" panose="020B0604030504040204" pitchFamily="50" charset="-128"/>
              <a:ea typeface="Meiryo UI" panose="020B0604030504040204" pitchFamily="50" charset="-128"/>
            </a:rPr>
            <a:t>-</a:t>
          </a:r>
          <a:r>
            <a:rPr kumimoji="1" lang="en-US" altLang="ja-JP" sz="1100" baseline="0">
              <a:latin typeface="Meiryo UI" panose="020B0604030504040204" pitchFamily="50" charset="-128"/>
              <a:ea typeface="Meiryo UI" panose="020B0604030504040204" pitchFamily="50" charset="-128"/>
            </a:rPr>
            <a:t> </a:t>
          </a:r>
          <a:r>
            <a:rPr kumimoji="1" lang="en-US" altLang="ja-JP" sz="1100">
              <a:latin typeface="Meiryo UI" panose="020B0604030504040204" pitchFamily="50" charset="-128"/>
              <a:ea typeface="Meiryo UI" panose="020B0604030504040204" pitchFamily="50" charset="-128"/>
            </a:rPr>
            <a:t>The selected pin cell is yellow. </a:t>
          </a:r>
        </a:p>
        <a:p>
          <a:pPr algn="l"/>
          <a:r>
            <a:rPr kumimoji="1" lang="en-US" altLang="ja-JP" sz="1100">
              <a:latin typeface="Meiryo UI" panose="020B0604030504040204" pitchFamily="50" charset="-128"/>
              <a:ea typeface="Meiryo UI" panose="020B0604030504040204" pitchFamily="50" charset="-128"/>
            </a:rPr>
            <a:t>- Duplicate pin names are red. </a:t>
          </a:r>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editAs="oneCell">
    <xdr:from>
      <xdr:col>66</xdr:col>
      <xdr:colOff>317501</xdr:colOff>
      <xdr:row>1</xdr:row>
      <xdr:rowOff>45349</xdr:rowOff>
    </xdr:from>
    <xdr:to>
      <xdr:col>68</xdr:col>
      <xdr:colOff>533401</xdr:colOff>
      <xdr:row>3</xdr:row>
      <xdr:rowOff>83449</xdr:rowOff>
    </xdr:to>
    <xdr:pic>
      <xdr:nvPicPr>
        <xdr:cNvPr id="4" name="Picture 23">
          <a:extLst>
            <a:ext uri="{FF2B5EF4-FFF2-40B4-BE49-F238E27FC236}">
              <a16:creationId xmlns:a16="http://schemas.microsoft.com/office/drawing/2014/main" id="{940509E1-AA19-47DD-911D-A25458C8BF28}"/>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58301" y="362849"/>
          <a:ext cx="1524000" cy="6731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3</xdr:col>
      <xdr:colOff>190902</xdr:colOff>
      <xdr:row>7</xdr:row>
      <xdr:rowOff>141993</xdr:rowOff>
    </xdr:from>
    <xdr:to>
      <xdr:col>4</xdr:col>
      <xdr:colOff>118331</xdr:colOff>
      <xdr:row>8</xdr:row>
      <xdr:rowOff>132922</xdr:rowOff>
    </xdr:to>
    <xdr:sp macro="" textlink="">
      <xdr:nvSpPr>
        <xdr:cNvPr id="2" name="フローチャート: 結合子 1">
          <a:extLst>
            <a:ext uri="{FF2B5EF4-FFF2-40B4-BE49-F238E27FC236}">
              <a16:creationId xmlns:a16="http://schemas.microsoft.com/office/drawing/2014/main" id="{F2D46D0A-A015-40A4-8DE6-545D0BD0038B}"/>
            </a:ext>
          </a:extLst>
        </xdr:cNvPr>
        <xdr:cNvSpPr/>
      </xdr:nvSpPr>
      <xdr:spPr>
        <a:xfrm>
          <a:off x="2603902" y="2300993"/>
          <a:ext cx="181429" cy="181429"/>
        </a:xfrm>
        <a:prstGeom prst="flowChartConnector">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endParaRPr lang="ja-JP" altLang="en-US"/>
        </a:p>
      </xdr:txBody>
    </xdr:sp>
    <xdr:clientData/>
  </xdr:twoCellAnchor>
  <xdr:twoCellAnchor editAs="oneCell">
    <xdr:from>
      <xdr:col>44</xdr:col>
      <xdr:colOff>317501</xdr:colOff>
      <xdr:row>1</xdr:row>
      <xdr:rowOff>45349</xdr:rowOff>
    </xdr:from>
    <xdr:to>
      <xdr:col>46</xdr:col>
      <xdr:colOff>533402</xdr:colOff>
      <xdr:row>3</xdr:row>
      <xdr:rowOff>146949</xdr:rowOff>
    </xdr:to>
    <xdr:pic>
      <xdr:nvPicPr>
        <xdr:cNvPr id="5" name="Picture 23">
          <a:extLst>
            <a:ext uri="{FF2B5EF4-FFF2-40B4-BE49-F238E27FC236}">
              <a16:creationId xmlns:a16="http://schemas.microsoft.com/office/drawing/2014/main" id="{948EC168-4FE9-419C-B7F3-7D7A3FF3E11C}"/>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58301" y="362849"/>
          <a:ext cx="1524000" cy="6731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28</xdr:col>
      <xdr:colOff>317501</xdr:colOff>
      <xdr:row>1</xdr:row>
      <xdr:rowOff>45349</xdr:rowOff>
    </xdr:from>
    <xdr:to>
      <xdr:col>30</xdr:col>
      <xdr:colOff>533403</xdr:colOff>
      <xdr:row>3</xdr:row>
      <xdr:rowOff>83449</xdr:rowOff>
    </xdr:to>
    <xdr:pic>
      <xdr:nvPicPr>
        <xdr:cNvPr id="10" name="Picture 23">
          <a:extLst>
            <a:ext uri="{FF2B5EF4-FFF2-40B4-BE49-F238E27FC236}">
              <a16:creationId xmlns:a16="http://schemas.microsoft.com/office/drawing/2014/main" id="{F387AC9D-C614-4BCD-B6A8-8E3F4641100B}"/>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39251" y="362849"/>
          <a:ext cx="1524000" cy="6731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426356</xdr:colOff>
      <xdr:row>1</xdr:row>
      <xdr:rowOff>99786</xdr:rowOff>
    </xdr:from>
    <xdr:to>
      <xdr:col>4</xdr:col>
      <xdr:colOff>425824</xdr:colOff>
      <xdr:row>5</xdr:row>
      <xdr:rowOff>27214</xdr:rowOff>
    </xdr:to>
    <xdr:sp macro="" textlink="">
      <xdr:nvSpPr>
        <xdr:cNvPr id="3" name="スクロール: 横 2">
          <a:extLst>
            <a:ext uri="{FF2B5EF4-FFF2-40B4-BE49-F238E27FC236}">
              <a16:creationId xmlns:a16="http://schemas.microsoft.com/office/drawing/2014/main" id="{504CD9D3-4213-48A3-8BE0-2517363E08F8}"/>
            </a:ext>
          </a:extLst>
        </xdr:cNvPr>
        <xdr:cNvSpPr/>
      </xdr:nvSpPr>
      <xdr:spPr>
        <a:xfrm>
          <a:off x="426356" y="385536"/>
          <a:ext cx="3136368" cy="1070428"/>
        </a:xfrm>
        <a:prstGeom prst="horizontalScroll">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latin typeface="Meiryo UI" panose="020B0604030504040204" pitchFamily="50" charset="-128"/>
              <a:ea typeface="Meiryo UI" panose="020B0604030504040204" pitchFamily="50" charset="-128"/>
            </a:rPr>
            <a:t>[Rule]</a:t>
          </a:r>
          <a:endParaRPr kumimoji="1" lang="en-US" altLang="ja-JP" sz="1100">
            <a:solidFill>
              <a:srgbClr val="FF0000"/>
            </a:solidFill>
            <a:latin typeface="Meiryo UI" panose="020B0604030504040204" pitchFamily="50" charset="-128"/>
            <a:ea typeface="Meiryo UI" panose="020B0604030504040204" pitchFamily="50" charset="-128"/>
          </a:endParaRPr>
        </a:p>
        <a:p>
          <a:pPr algn="l"/>
          <a:r>
            <a:rPr kumimoji="1" lang="en-US" altLang="ja-JP" sz="1100">
              <a:latin typeface="Meiryo UI" panose="020B0604030504040204" pitchFamily="50" charset="-128"/>
              <a:ea typeface="Meiryo UI" panose="020B0604030504040204" pitchFamily="50" charset="-128"/>
            </a:rPr>
            <a:t>-</a:t>
          </a:r>
          <a:r>
            <a:rPr kumimoji="1" lang="en-US" altLang="ja-JP" sz="1100" baseline="0">
              <a:latin typeface="Meiryo UI" panose="020B0604030504040204" pitchFamily="50" charset="-128"/>
              <a:ea typeface="Meiryo UI" panose="020B0604030504040204" pitchFamily="50" charset="-128"/>
            </a:rPr>
            <a:t> </a:t>
          </a:r>
          <a:r>
            <a:rPr kumimoji="1" lang="en-US" altLang="ja-JP" sz="1100">
              <a:latin typeface="Meiryo UI" panose="020B0604030504040204" pitchFamily="50" charset="-128"/>
              <a:ea typeface="Meiryo UI" panose="020B0604030504040204" pitchFamily="50" charset="-128"/>
            </a:rPr>
            <a:t>The selected pin cell is yellow. </a:t>
          </a:r>
        </a:p>
        <a:p>
          <a:pPr algn="l"/>
          <a:r>
            <a:rPr kumimoji="1" lang="en-US" altLang="ja-JP" sz="1100">
              <a:latin typeface="Meiryo UI" panose="020B0604030504040204" pitchFamily="50" charset="-128"/>
              <a:ea typeface="Meiryo UI" panose="020B0604030504040204" pitchFamily="50" charset="-128"/>
            </a:rPr>
            <a:t>- Duplicate pin names are red. </a:t>
          </a:r>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editAs="oneCell">
    <xdr:from>
      <xdr:col>66</xdr:col>
      <xdr:colOff>317501</xdr:colOff>
      <xdr:row>1</xdr:row>
      <xdr:rowOff>45349</xdr:rowOff>
    </xdr:from>
    <xdr:to>
      <xdr:col>68</xdr:col>
      <xdr:colOff>533401</xdr:colOff>
      <xdr:row>3</xdr:row>
      <xdr:rowOff>83449</xdr:rowOff>
    </xdr:to>
    <xdr:pic>
      <xdr:nvPicPr>
        <xdr:cNvPr id="4" name="Picture 23">
          <a:extLst>
            <a:ext uri="{FF2B5EF4-FFF2-40B4-BE49-F238E27FC236}">
              <a16:creationId xmlns:a16="http://schemas.microsoft.com/office/drawing/2014/main" id="{6D9C35FC-1A42-416A-BA37-B0022D105859}"/>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39251" y="362849"/>
          <a:ext cx="1524000" cy="6731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3</xdr:col>
      <xdr:colOff>190902</xdr:colOff>
      <xdr:row>7</xdr:row>
      <xdr:rowOff>141993</xdr:rowOff>
    </xdr:from>
    <xdr:to>
      <xdr:col>4</xdr:col>
      <xdr:colOff>118331</xdr:colOff>
      <xdr:row>8</xdr:row>
      <xdr:rowOff>132922</xdr:rowOff>
    </xdr:to>
    <xdr:sp macro="" textlink="">
      <xdr:nvSpPr>
        <xdr:cNvPr id="2" name="フローチャート: 結合子 1">
          <a:extLst>
            <a:ext uri="{FF2B5EF4-FFF2-40B4-BE49-F238E27FC236}">
              <a16:creationId xmlns:a16="http://schemas.microsoft.com/office/drawing/2014/main" id="{60E36C02-C894-4C47-9EF3-63F2C0F28892}"/>
            </a:ext>
          </a:extLst>
        </xdr:cNvPr>
        <xdr:cNvSpPr/>
      </xdr:nvSpPr>
      <xdr:spPr>
        <a:xfrm>
          <a:off x="2502302" y="2300993"/>
          <a:ext cx="181429" cy="181429"/>
        </a:xfrm>
        <a:prstGeom prst="flowChartConnector">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endParaRPr lang="ja-JP" altLang="en-US"/>
        </a:p>
      </xdr:txBody>
    </xdr:sp>
    <xdr:clientData/>
  </xdr:twoCellAnchor>
  <xdr:twoCellAnchor editAs="oneCell">
    <xdr:from>
      <xdr:col>33</xdr:col>
      <xdr:colOff>317501</xdr:colOff>
      <xdr:row>1</xdr:row>
      <xdr:rowOff>45349</xdr:rowOff>
    </xdr:from>
    <xdr:to>
      <xdr:col>35</xdr:col>
      <xdr:colOff>533401</xdr:colOff>
      <xdr:row>3</xdr:row>
      <xdr:rowOff>83449</xdr:rowOff>
    </xdr:to>
    <xdr:pic>
      <xdr:nvPicPr>
        <xdr:cNvPr id="5" name="Picture 23">
          <a:extLst>
            <a:ext uri="{FF2B5EF4-FFF2-40B4-BE49-F238E27FC236}">
              <a16:creationId xmlns:a16="http://schemas.microsoft.com/office/drawing/2014/main" id="{1958F950-DEDC-48F4-A512-679DC38BD9EB}"/>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39251" y="362849"/>
          <a:ext cx="1524000" cy="6731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4.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3.xml"/><Relationship Id="rId1" Type="http://schemas.openxmlformats.org/officeDocument/2006/relationships/printerSettings" Target="../printerSettings/printerSettings13.bin"/><Relationship Id="rId4" Type="http://schemas.openxmlformats.org/officeDocument/2006/relationships/comments" Target="../comments5.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7F5F5-0728-4E2A-A115-2D6A720D8D9B}">
  <dimension ref="A1:AE204"/>
  <sheetViews>
    <sheetView zoomScale="70" zoomScaleNormal="70" workbookViewId="0">
      <pane xSplit="3" ySplit="9" topLeftCell="N193" activePane="bottomRight" state="frozen"/>
      <selection pane="topRight" activeCell="D1" sqref="D1"/>
      <selection pane="bottomLeft" activeCell="A6" sqref="A6"/>
      <selection pane="bottomRight" activeCell="Q3" sqref="Q3"/>
    </sheetView>
  </sheetViews>
  <sheetFormatPr defaultColWidth="8.58203125" defaultRowHeight="10" x14ac:dyDescent="0.55000000000000004"/>
  <cols>
    <col min="1" max="1" width="4.58203125" style="10" customWidth="1"/>
    <col min="2" max="2" width="6.83203125" style="10" bestFit="1" customWidth="1"/>
    <col min="3" max="3" width="3.5" style="10" bestFit="1" customWidth="1"/>
    <col min="4" max="4" width="6.33203125" style="10" bestFit="1" customWidth="1"/>
    <col min="5" max="5" width="9.4140625" style="10" bestFit="1" customWidth="1"/>
    <col min="6" max="6" width="11.1640625" style="10" bestFit="1" customWidth="1"/>
    <col min="7" max="8" width="11.58203125" style="10" bestFit="1" customWidth="1"/>
    <col min="9" max="9" width="11.5" style="10" bestFit="1" customWidth="1"/>
    <col min="10" max="11" width="10.4140625" style="10" bestFit="1" customWidth="1"/>
    <col min="12" max="12" width="11" style="10" bestFit="1" customWidth="1"/>
    <col min="13" max="13" width="7.25" style="10" bestFit="1" customWidth="1"/>
    <col min="14" max="14" width="8.83203125" style="10" bestFit="1" customWidth="1"/>
    <col min="15" max="15" width="8.75" style="10" bestFit="1" customWidth="1"/>
    <col min="16" max="16" width="14.1640625" style="10" bestFit="1" customWidth="1"/>
    <col min="17" max="17" width="10.4140625" style="10" bestFit="1" customWidth="1"/>
    <col min="18" max="18" width="14.08203125" style="10" bestFit="1" customWidth="1"/>
    <col min="19" max="19" width="11" style="10" bestFit="1" customWidth="1"/>
    <col min="20" max="20" width="17.1640625" style="10" bestFit="1" customWidth="1"/>
    <col min="21" max="21" width="16.33203125" style="10" bestFit="1" customWidth="1"/>
    <col min="22" max="22" width="10" style="10" bestFit="1" customWidth="1"/>
    <col min="23" max="23" width="24.83203125" style="10" bestFit="1" customWidth="1"/>
    <col min="24" max="24" width="24.83203125" style="10" customWidth="1"/>
    <col min="25" max="25" width="7.83203125" style="10" bestFit="1" customWidth="1"/>
    <col min="26" max="26" width="6.83203125" style="10" bestFit="1" customWidth="1"/>
    <col min="27" max="28" width="12.58203125" style="10" customWidth="1"/>
    <col min="29" max="31" width="8.58203125" style="10" customWidth="1"/>
    <col min="32" max="16384" width="8.58203125" style="10"/>
  </cols>
  <sheetData>
    <row r="1" spans="1:31" ht="25" customHeight="1" x14ac:dyDescent="0.55000000000000004">
      <c r="A1" s="9" t="s">
        <v>368</v>
      </c>
      <c r="AC1" s="36"/>
      <c r="AD1" s="36"/>
      <c r="AE1" s="36"/>
    </row>
    <row r="2" spans="1:31" ht="25" customHeight="1" x14ac:dyDescent="0.55000000000000004">
      <c r="A2" s="9"/>
      <c r="AC2" s="36"/>
      <c r="AD2" s="36"/>
      <c r="AE2" s="36"/>
    </row>
    <row r="3" spans="1:31" ht="25" customHeight="1" x14ac:dyDescent="0.55000000000000004">
      <c r="A3" s="9"/>
      <c r="AC3" s="36"/>
      <c r="AD3" s="36"/>
      <c r="AE3" s="36"/>
    </row>
    <row r="4" spans="1:31" ht="25" customHeight="1" x14ac:dyDescent="0.55000000000000004">
      <c r="A4" s="9"/>
      <c r="AC4" s="36"/>
      <c r="AD4" s="36"/>
      <c r="AE4" s="36"/>
    </row>
    <row r="5" spans="1:31" ht="25" customHeight="1" x14ac:dyDescent="0.55000000000000004">
      <c r="A5" s="9"/>
      <c r="AB5" s="11"/>
      <c r="AC5" s="36"/>
      <c r="AD5" s="36"/>
      <c r="AE5" s="37" t="s">
        <v>814</v>
      </c>
    </row>
    <row r="6" spans="1:31" x14ac:dyDescent="0.55000000000000004">
      <c r="B6" s="10" t="s">
        <v>532</v>
      </c>
      <c r="E6" s="10" t="s">
        <v>542</v>
      </c>
      <c r="F6" s="10" t="s">
        <v>542</v>
      </c>
      <c r="G6" s="10" t="s">
        <v>533</v>
      </c>
      <c r="H6" s="10" t="s">
        <v>533</v>
      </c>
      <c r="I6" s="10" t="s">
        <v>542</v>
      </c>
      <c r="J6" s="10" t="s">
        <v>534</v>
      </c>
      <c r="K6" s="10" t="s">
        <v>535</v>
      </c>
      <c r="L6" s="10" t="s">
        <v>536</v>
      </c>
      <c r="M6" s="10" t="s">
        <v>537</v>
      </c>
      <c r="N6" s="10" t="s">
        <v>538</v>
      </c>
      <c r="O6" s="10" t="s">
        <v>539</v>
      </c>
      <c r="P6" s="10" t="s">
        <v>539</v>
      </c>
      <c r="Q6" s="10" t="s">
        <v>535</v>
      </c>
      <c r="R6" s="10" t="s">
        <v>540</v>
      </c>
      <c r="S6" s="10" t="s">
        <v>536</v>
      </c>
      <c r="T6" s="10" t="s">
        <v>541</v>
      </c>
    </row>
    <row r="7" spans="1:31" ht="10.5" x14ac:dyDescent="0.55000000000000004">
      <c r="B7" s="118" t="s">
        <v>0</v>
      </c>
      <c r="C7" s="118" t="s">
        <v>255</v>
      </c>
      <c r="D7" s="121" t="s">
        <v>383</v>
      </c>
      <c r="E7" s="12"/>
      <c r="F7" s="13"/>
      <c r="G7" s="13"/>
      <c r="H7" s="13"/>
      <c r="I7" s="119" t="s">
        <v>1</v>
      </c>
      <c r="J7" s="119"/>
      <c r="K7" s="119"/>
      <c r="L7" s="13"/>
      <c r="M7" s="13"/>
      <c r="N7" s="13"/>
      <c r="O7" s="13"/>
      <c r="P7" s="14"/>
      <c r="Q7" s="118" t="s">
        <v>343</v>
      </c>
      <c r="R7" s="118"/>
      <c r="S7" s="118"/>
      <c r="T7" s="120" t="s">
        <v>352</v>
      </c>
      <c r="U7" s="136" t="s">
        <v>265</v>
      </c>
      <c r="V7" s="137"/>
      <c r="W7" s="137"/>
      <c r="X7" s="138"/>
      <c r="Y7" s="132" t="s">
        <v>557</v>
      </c>
      <c r="Z7" s="133"/>
      <c r="AA7" s="124" t="s">
        <v>382</v>
      </c>
      <c r="AB7" s="125"/>
    </row>
    <row r="8" spans="1:31" ht="10.5" customHeight="1" x14ac:dyDescent="0.55000000000000004">
      <c r="B8" s="118"/>
      <c r="C8" s="118"/>
      <c r="D8" s="122"/>
      <c r="E8" s="15" t="s">
        <v>350</v>
      </c>
      <c r="F8" s="15" t="s">
        <v>2</v>
      </c>
      <c r="G8" s="15" t="s">
        <v>3</v>
      </c>
      <c r="H8" s="15" t="s">
        <v>4</v>
      </c>
      <c r="I8" s="15" t="s">
        <v>5</v>
      </c>
      <c r="J8" s="15" t="s">
        <v>6</v>
      </c>
      <c r="K8" s="15" t="s">
        <v>7</v>
      </c>
      <c r="L8" s="15" t="s">
        <v>8</v>
      </c>
      <c r="M8" s="15" t="s">
        <v>9</v>
      </c>
      <c r="N8" s="15" t="s">
        <v>10</v>
      </c>
      <c r="O8" s="15" t="s">
        <v>11</v>
      </c>
      <c r="P8" s="15" t="s">
        <v>12</v>
      </c>
      <c r="Q8" s="15" t="s">
        <v>344</v>
      </c>
      <c r="R8" s="15" t="s">
        <v>345</v>
      </c>
      <c r="S8" s="15" t="s">
        <v>346</v>
      </c>
      <c r="T8" s="120"/>
      <c r="U8" s="128" t="s">
        <v>266</v>
      </c>
      <c r="V8" s="128" t="s">
        <v>828</v>
      </c>
      <c r="W8" s="130" t="s">
        <v>380</v>
      </c>
      <c r="X8" s="134" t="s">
        <v>829</v>
      </c>
      <c r="Y8" s="121" t="s">
        <v>556</v>
      </c>
      <c r="Z8" s="121" t="s">
        <v>554</v>
      </c>
      <c r="AA8" s="126" t="s">
        <v>812</v>
      </c>
      <c r="AB8" s="126" t="s">
        <v>813</v>
      </c>
    </row>
    <row r="9" spans="1:31" ht="10.4" customHeight="1" x14ac:dyDescent="0.55000000000000004">
      <c r="B9" s="118"/>
      <c r="C9" s="118"/>
      <c r="D9" s="123"/>
      <c r="E9" s="15" t="s">
        <v>351</v>
      </c>
      <c r="F9" s="15" t="s">
        <v>13</v>
      </c>
      <c r="G9" s="15" t="s">
        <v>14</v>
      </c>
      <c r="H9" s="15" t="s">
        <v>15</v>
      </c>
      <c r="I9" s="15" t="s">
        <v>16</v>
      </c>
      <c r="J9" s="15" t="s">
        <v>17</v>
      </c>
      <c r="K9" s="15" t="s">
        <v>18</v>
      </c>
      <c r="L9" s="15" t="s">
        <v>19</v>
      </c>
      <c r="M9" s="15" t="s">
        <v>20</v>
      </c>
      <c r="N9" s="15" t="s">
        <v>21</v>
      </c>
      <c r="O9" s="15" t="s">
        <v>22</v>
      </c>
      <c r="P9" s="15" t="s">
        <v>23</v>
      </c>
      <c r="Q9" s="15" t="s">
        <v>349</v>
      </c>
      <c r="R9" s="15" t="s">
        <v>347</v>
      </c>
      <c r="S9" s="15" t="s">
        <v>348</v>
      </c>
      <c r="T9" s="120"/>
      <c r="U9" s="128"/>
      <c r="V9" s="128"/>
      <c r="W9" s="131"/>
      <c r="X9" s="135"/>
      <c r="Y9" s="129"/>
      <c r="Z9" s="129"/>
      <c r="AA9" s="127"/>
      <c r="AB9" s="127"/>
    </row>
    <row r="10" spans="1:31" x14ac:dyDescent="0.2">
      <c r="B10" s="16" t="s">
        <v>256</v>
      </c>
      <c r="C10" s="17">
        <v>1</v>
      </c>
      <c r="D10" s="18" t="s">
        <v>269</v>
      </c>
      <c r="E10" s="18" t="s">
        <v>269</v>
      </c>
      <c r="F10" s="18" t="s">
        <v>269</v>
      </c>
      <c r="G10" s="18" t="s">
        <v>269</v>
      </c>
      <c r="H10" s="18" t="s">
        <v>269</v>
      </c>
      <c r="I10" s="18" t="s">
        <v>269</v>
      </c>
      <c r="J10" s="18" t="s">
        <v>269</v>
      </c>
      <c r="K10" s="18" t="s">
        <v>269</v>
      </c>
      <c r="L10" s="18" t="s">
        <v>269</v>
      </c>
      <c r="M10" s="18" t="s">
        <v>269</v>
      </c>
      <c r="N10" s="18" t="s">
        <v>269</v>
      </c>
      <c r="O10" s="18" t="s">
        <v>269</v>
      </c>
      <c r="P10" s="18" t="s">
        <v>269</v>
      </c>
      <c r="Q10" s="18" t="s">
        <v>269</v>
      </c>
      <c r="R10" s="18" t="s">
        <v>269</v>
      </c>
      <c r="S10" s="18" t="s">
        <v>269</v>
      </c>
      <c r="T10" s="18" t="s">
        <v>269</v>
      </c>
      <c r="U10" s="16" t="s">
        <v>256</v>
      </c>
      <c r="V10" s="18" t="s">
        <v>269</v>
      </c>
      <c r="W10" s="38"/>
      <c r="X10" s="19" t="s">
        <v>545</v>
      </c>
      <c r="Y10" s="20" t="s">
        <v>555</v>
      </c>
      <c r="Z10" s="20" t="s">
        <v>558</v>
      </c>
      <c r="AA10" s="19"/>
      <c r="AB10" s="19"/>
    </row>
    <row r="11" spans="1:31" x14ac:dyDescent="0.2">
      <c r="B11" s="21" t="s">
        <v>24</v>
      </c>
      <c r="C11" s="22">
        <v>2</v>
      </c>
      <c r="D11" s="21" t="s">
        <v>24</v>
      </c>
      <c r="E11" s="30" t="s">
        <v>851</v>
      </c>
      <c r="F11" s="30" t="s">
        <v>852</v>
      </c>
      <c r="G11" s="30" t="s">
        <v>853</v>
      </c>
      <c r="H11" s="30" t="s">
        <v>854</v>
      </c>
      <c r="I11" s="18" t="s">
        <v>269</v>
      </c>
      <c r="J11" s="23" t="s">
        <v>778</v>
      </c>
      <c r="K11" s="23" t="s">
        <v>789</v>
      </c>
      <c r="L11" s="18" t="s">
        <v>269</v>
      </c>
      <c r="M11" s="21" t="s">
        <v>25</v>
      </c>
      <c r="N11" s="18" t="s">
        <v>269</v>
      </c>
      <c r="O11" s="18" t="s">
        <v>269</v>
      </c>
      <c r="P11" s="18" t="s">
        <v>269</v>
      </c>
      <c r="Q11" s="18" t="s">
        <v>269</v>
      </c>
      <c r="R11" s="18" t="s">
        <v>269</v>
      </c>
      <c r="S11" s="23" t="s">
        <v>582</v>
      </c>
      <c r="T11" s="18" t="s">
        <v>269</v>
      </c>
      <c r="U11" s="24"/>
      <c r="V11" s="18" t="s">
        <v>269</v>
      </c>
      <c r="W11" s="38" t="str">
        <f>_xlfn.IFS(AND(COUNTIF(U11,"SCB0*")=1, 'PCH176'!D60&gt;=2), "See the Notice *2", AND(COUNTIF(U11,"SCB7*")=1, 'PCH176'!K60&gt;=2), "See the Notice *2", TRUE, "")</f>
        <v/>
      </c>
      <c r="X11" s="19"/>
      <c r="Y11" s="20" t="s">
        <v>267</v>
      </c>
      <c r="Z11" s="20" t="s">
        <v>257</v>
      </c>
      <c r="AA11" s="19"/>
      <c r="AB11" s="19"/>
    </row>
    <row r="12" spans="1:31" x14ac:dyDescent="0.2">
      <c r="B12" s="21" t="s">
        <v>26</v>
      </c>
      <c r="C12" s="22">
        <v>3</v>
      </c>
      <c r="D12" s="21" t="s">
        <v>26</v>
      </c>
      <c r="E12" s="30" t="s">
        <v>855</v>
      </c>
      <c r="F12" s="30" t="s">
        <v>856</v>
      </c>
      <c r="G12" s="30" t="s">
        <v>857</v>
      </c>
      <c r="H12" s="30" t="s">
        <v>858</v>
      </c>
      <c r="I12" s="18" t="s">
        <v>269</v>
      </c>
      <c r="J12" s="23" t="s">
        <v>595</v>
      </c>
      <c r="K12" s="23" t="s">
        <v>596</v>
      </c>
      <c r="L12" s="18" t="s">
        <v>269</v>
      </c>
      <c r="M12" s="21" t="s">
        <v>27</v>
      </c>
      <c r="N12" s="18" t="s">
        <v>269</v>
      </c>
      <c r="O12" s="18" t="s">
        <v>269</v>
      </c>
      <c r="P12" s="18" t="s">
        <v>269</v>
      </c>
      <c r="Q12" s="18" t="s">
        <v>269</v>
      </c>
      <c r="R12" s="18" t="s">
        <v>269</v>
      </c>
      <c r="S12" s="23" t="s">
        <v>583</v>
      </c>
      <c r="T12" s="18" t="s">
        <v>269</v>
      </c>
      <c r="U12" s="106"/>
      <c r="V12" s="18" t="s">
        <v>269</v>
      </c>
      <c r="W12" s="38" t="str">
        <f>_xlfn.IFS(AND(COUNTIF(U12,"SCB0*")=1, 'PCH176'!D60&gt;=2), "See the Notice *2", AND(COUNTIF(U12,"SCB7*")=1, 'PCH176'!K60&gt;=2), "See the Notice *2", TRUE, "")</f>
        <v/>
      </c>
      <c r="X12" s="19"/>
      <c r="Y12" s="20" t="s">
        <v>267</v>
      </c>
      <c r="Z12" s="20" t="s">
        <v>257</v>
      </c>
      <c r="AA12" s="19"/>
      <c r="AB12" s="19"/>
    </row>
    <row r="13" spans="1:31" x14ac:dyDescent="0.2">
      <c r="B13" s="21" t="s">
        <v>28</v>
      </c>
      <c r="C13" s="22">
        <v>4</v>
      </c>
      <c r="D13" s="21" t="s">
        <v>28</v>
      </c>
      <c r="E13" s="30" t="s">
        <v>859</v>
      </c>
      <c r="F13" s="30" t="s">
        <v>860</v>
      </c>
      <c r="G13" s="30" t="s">
        <v>861</v>
      </c>
      <c r="H13" s="30" t="s">
        <v>862</v>
      </c>
      <c r="I13" s="18" t="s">
        <v>269</v>
      </c>
      <c r="J13" s="23" t="s">
        <v>597</v>
      </c>
      <c r="K13" s="18" t="s">
        <v>269</v>
      </c>
      <c r="L13" s="18" t="s">
        <v>269</v>
      </c>
      <c r="M13" s="21" t="s">
        <v>29</v>
      </c>
      <c r="N13" s="21" t="s">
        <v>30</v>
      </c>
      <c r="O13" s="18" t="s">
        <v>269</v>
      </c>
      <c r="P13" s="18" t="s">
        <v>269</v>
      </c>
      <c r="Q13" s="23" t="s">
        <v>581</v>
      </c>
      <c r="R13" s="18" t="s">
        <v>269</v>
      </c>
      <c r="S13" s="23" t="s">
        <v>584</v>
      </c>
      <c r="T13" s="18" t="s">
        <v>269</v>
      </c>
      <c r="U13" s="106"/>
      <c r="V13" s="18" t="s">
        <v>269</v>
      </c>
      <c r="W13" s="38" t="str">
        <f>_xlfn.IFS(AND(COUNTIF(U13,"SCB*")=1, 'PCH176'!D60&gt;=2), "See the Notice *2", TRUE, "")</f>
        <v/>
      </c>
      <c r="X13" s="19"/>
      <c r="Y13" s="20" t="s">
        <v>267</v>
      </c>
      <c r="Z13" s="20" t="s">
        <v>257</v>
      </c>
      <c r="AA13" s="19"/>
      <c r="AB13" s="19"/>
    </row>
    <row r="14" spans="1:31" x14ac:dyDescent="0.2">
      <c r="B14" s="21" t="s">
        <v>31</v>
      </c>
      <c r="C14" s="22">
        <v>5</v>
      </c>
      <c r="D14" s="21" t="s">
        <v>31</v>
      </c>
      <c r="E14" s="30" t="s">
        <v>863</v>
      </c>
      <c r="F14" s="30" t="s">
        <v>864</v>
      </c>
      <c r="G14" s="30" t="s">
        <v>865</v>
      </c>
      <c r="H14" s="30" t="s">
        <v>866</v>
      </c>
      <c r="I14" s="18" t="s">
        <v>269</v>
      </c>
      <c r="J14" s="23" t="s">
        <v>598</v>
      </c>
      <c r="K14" s="18" t="s">
        <v>269</v>
      </c>
      <c r="L14" s="18" t="s">
        <v>269</v>
      </c>
      <c r="M14" s="18" t="s">
        <v>269</v>
      </c>
      <c r="N14" s="21" t="s">
        <v>32</v>
      </c>
      <c r="O14" s="18" t="s">
        <v>269</v>
      </c>
      <c r="P14" s="18" t="s">
        <v>269</v>
      </c>
      <c r="Q14" s="23" t="s">
        <v>578</v>
      </c>
      <c r="R14" s="18" t="s">
        <v>269</v>
      </c>
      <c r="S14" s="23" t="s">
        <v>585</v>
      </c>
      <c r="T14" s="18" t="s">
        <v>269</v>
      </c>
      <c r="U14" s="106"/>
      <c r="V14" s="18" t="s">
        <v>269</v>
      </c>
      <c r="W14" s="38" t="str">
        <f>_xlfn.IFS(AND(COUNTIF(U14,"SCB*")=1, 'PCH176'!D60&gt;=2), "See the Notice *2", TRUE, "")</f>
        <v/>
      </c>
      <c r="X14" s="19"/>
      <c r="Y14" s="20" t="s">
        <v>267</v>
      </c>
      <c r="Z14" s="20" t="s">
        <v>257</v>
      </c>
      <c r="AA14" s="19"/>
      <c r="AB14" s="19"/>
    </row>
    <row r="15" spans="1:31" x14ac:dyDescent="0.2">
      <c r="B15" s="21" t="s">
        <v>33</v>
      </c>
      <c r="C15" s="22">
        <v>6</v>
      </c>
      <c r="D15" s="21" t="s">
        <v>33</v>
      </c>
      <c r="E15" s="30" t="s">
        <v>867</v>
      </c>
      <c r="F15" s="30" t="s">
        <v>868</v>
      </c>
      <c r="G15" s="30" t="s">
        <v>869</v>
      </c>
      <c r="H15" s="30" t="s">
        <v>870</v>
      </c>
      <c r="I15" s="18" t="s">
        <v>269</v>
      </c>
      <c r="J15" s="18" t="s">
        <v>269</v>
      </c>
      <c r="K15" s="18" t="s">
        <v>269</v>
      </c>
      <c r="L15" s="18" t="s">
        <v>269</v>
      </c>
      <c r="M15" s="18" t="s">
        <v>269</v>
      </c>
      <c r="N15" s="18" t="s">
        <v>269</v>
      </c>
      <c r="O15" s="18" t="s">
        <v>269</v>
      </c>
      <c r="P15" s="18" t="s">
        <v>269</v>
      </c>
      <c r="Q15" s="23" t="s">
        <v>579</v>
      </c>
      <c r="R15" s="18" t="s">
        <v>269</v>
      </c>
      <c r="S15" s="23" t="s">
        <v>586</v>
      </c>
      <c r="T15" s="18" t="s">
        <v>269</v>
      </c>
      <c r="U15" s="106"/>
      <c r="V15" s="18" t="s">
        <v>269</v>
      </c>
      <c r="W15" s="38" t="str">
        <f>_xlfn.IFS(AND(COUNTIF(U15,"SCB*")=1, 'PCH176'!D60&gt;=2), "See the Notice *2", TRUE, "")</f>
        <v/>
      </c>
      <c r="X15" s="19"/>
      <c r="Y15" s="20" t="s">
        <v>268</v>
      </c>
      <c r="Z15" s="20" t="s">
        <v>257</v>
      </c>
      <c r="AA15" s="19"/>
      <c r="AB15" s="19"/>
    </row>
    <row r="16" spans="1:31" x14ac:dyDescent="0.2">
      <c r="B16" s="21" t="s">
        <v>34</v>
      </c>
      <c r="C16" s="22">
        <v>7</v>
      </c>
      <c r="D16" s="21" t="s">
        <v>34</v>
      </c>
      <c r="E16" s="30" t="s">
        <v>871</v>
      </c>
      <c r="F16" s="30" t="s">
        <v>872</v>
      </c>
      <c r="G16" s="30" t="s">
        <v>873</v>
      </c>
      <c r="H16" s="30" t="s">
        <v>874</v>
      </c>
      <c r="I16" s="18" t="s">
        <v>269</v>
      </c>
      <c r="J16" s="18" t="s">
        <v>269</v>
      </c>
      <c r="K16" s="18" t="s">
        <v>269</v>
      </c>
      <c r="L16" s="18" t="s">
        <v>269</v>
      </c>
      <c r="M16" s="18" t="s">
        <v>269</v>
      </c>
      <c r="N16" s="18" t="s">
        <v>269</v>
      </c>
      <c r="O16" s="18" t="s">
        <v>269</v>
      </c>
      <c r="P16" s="18" t="s">
        <v>269</v>
      </c>
      <c r="Q16" s="23" t="s">
        <v>580</v>
      </c>
      <c r="R16" s="18" t="s">
        <v>269</v>
      </c>
      <c r="S16" s="23" t="s">
        <v>587</v>
      </c>
      <c r="T16" s="18" t="s">
        <v>269</v>
      </c>
      <c r="U16" s="106"/>
      <c r="V16" s="18" t="s">
        <v>269</v>
      </c>
      <c r="W16" s="38" t="str">
        <f>_xlfn.IFS(AND(COUNTIF(U16,"SCB*")=1, 'PCH176'!D60&gt;=2), "See the Notice *2", TRUE, "")</f>
        <v/>
      </c>
      <c r="X16" s="19"/>
      <c r="Y16" s="20" t="s">
        <v>268</v>
      </c>
      <c r="Z16" s="20" t="s">
        <v>257</v>
      </c>
      <c r="AA16" s="19"/>
      <c r="AB16" s="19"/>
    </row>
    <row r="17" spans="2:28" x14ac:dyDescent="0.2">
      <c r="B17" s="21" t="s">
        <v>35</v>
      </c>
      <c r="C17" s="22">
        <v>8</v>
      </c>
      <c r="D17" s="21" t="s">
        <v>35</v>
      </c>
      <c r="E17" s="30" t="s">
        <v>875</v>
      </c>
      <c r="F17" s="30" t="s">
        <v>876</v>
      </c>
      <c r="G17" s="30" t="s">
        <v>877</v>
      </c>
      <c r="H17" s="30" t="s">
        <v>878</v>
      </c>
      <c r="I17" s="18" t="s">
        <v>269</v>
      </c>
      <c r="J17" s="18" t="s">
        <v>269</v>
      </c>
      <c r="K17" s="18" t="s">
        <v>269</v>
      </c>
      <c r="L17" s="18" t="s">
        <v>269</v>
      </c>
      <c r="M17" s="18" t="s">
        <v>269</v>
      </c>
      <c r="N17" s="18" t="s">
        <v>269</v>
      </c>
      <c r="O17" s="21" t="s">
        <v>36</v>
      </c>
      <c r="P17" s="18" t="s">
        <v>269</v>
      </c>
      <c r="Q17" s="18" t="s">
        <v>269</v>
      </c>
      <c r="R17" s="18" t="s">
        <v>269</v>
      </c>
      <c r="S17" s="23" t="s">
        <v>588</v>
      </c>
      <c r="T17" s="18" t="s">
        <v>269</v>
      </c>
      <c r="U17" s="106"/>
      <c r="V17" s="18" t="s">
        <v>269</v>
      </c>
      <c r="W17" s="38" t="str">
        <f>_xlfn.IFS(AND(COUNTIF(U17,"SCB*")=1, 'PCH176'!D60&gt;=2), "See the Notice *2", TRUE, "")</f>
        <v/>
      </c>
      <c r="X17" s="19"/>
      <c r="Y17" s="20" t="s">
        <v>268</v>
      </c>
      <c r="Z17" s="20" t="s">
        <v>257</v>
      </c>
      <c r="AA17" s="19"/>
      <c r="AB17" s="19"/>
    </row>
    <row r="18" spans="2:28" x14ac:dyDescent="0.2">
      <c r="B18" s="21" t="s">
        <v>37</v>
      </c>
      <c r="C18" s="22">
        <v>9</v>
      </c>
      <c r="D18" s="21" t="s">
        <v>37</v>
      </c>
      <c r="E18" s="30" t="s">
        <v>879</v>
      </c>
      <c r="F18" s="30" t="s">
        <v>880</v>
      </c>
      <c r="G18" s="30" t="s">
        <v>881</v>
      </c>
      <c r="H18" s="30" t="s">
        <v>882</v>
      </c>
      <c r="I18" s="18" t="s">
        <v>269</v>
      </c>
      <c r="J18" s="18" t="s">
        <v>269</v>
      </c>
      <c r="K18" s="18" t="s">
        <v>269</v>
      </c>
      <c r="L18" s="18" t="s">
        <v>269</v>
      </c>
      <c r="M18" s="18" t="s">
        <v>269</v>
      </c>
      <c r="N18" s="18" t="s">
        <v>269</v>
      </c>
      <c r="O18" s="21" t="s">
        <v>38</v>
      </c>
      <c r="P18" s="18" t="s">
        <v>269</v>
      </c>
      <c r="Q18" s="18" t="s">
        <v>269</v>
      </c>
      <c r="R18" s="18" t="s">
        <v>269</v>
      </c>
      <c r="S18" s="23" t="s">
        <v>589</v>
      </c>
      <c r="T18" s="18" t="s">
        <v>269</v>
      </c>
      <c r="U18" s="106"/>
      <c r="V18" s="18" t="s">
        <v>269</v>
      </c>
      <c r="W18" s="38" t="str">
        <f>_xlfn.IFS(AND(COUNTIF(U18,"SCB*")=1, 'PCH176'!D60&gt;=2), "See the Notice *2", TRUE, "")</f>
        <v/>
      </c>
      <c r="X18" s="19"/>
      <c r="Y18" s="20" t="s">
        <v>268</v>
      </c>
      <c r="Z18" s="20" t="s">
        <v>257</v>
      </c>
      <c r="AA18" s="19"/>
      <c r="AB18" s="19"/>
    </row>
    <row r="19" spans="2:28" x14ac:dyDescent="0.2">
      <c r="B19" s="21" t="s">
        <v>39</v>
      </c>
      <c r="C19" s="22">
        <v>10</v>
      </c>
      <c r="D19" s="21" t="s">
        <v>39</v>
      </c>
      <c r="E19" s="30" t="s">
        <v>883</v>
      </c>
      <c r="F19" s="30" t="s">
        <v>884</v>
      </c>
      <c r="G19" s="30" t="s">
        <v>885</v>
      </c>
      <c r="H19" s="30" t="s">
        <v>886</v>
      </c>
      <c r="I19" s="18" t="s">
        <v>269</v>
      </c>
      <c r="J19" s="23" t="s">
        <v>779</v>
      </c>
      <c r="K19" s="18" t="s">
        <v>269</v>
      </c>
      <c r="L19" s="26" t="s">
        <v>796</v>
      </c>
      <c r="M19" s="21" t="s">
        <v>40</v>
      </c>
      <c r="N19" s="21" t="s">
        <v>41</v>
      </c>
      <c r="O19" s="21" t="s">
        <v>42</v>
      </c>
      <c r="P19" s="18" t="s">
        <v>269</v>
      </c>
      <c r="Q19" s="18" t="s">
        <v>269</v>
      </c>
      <c r="R19" s="21" t="s">
        <v>270</v>
      </c>
      <c r="S19" s="23" t="s">
        <v>590</v>
      </c>
      <c r="T19" s="18" t="s">
        <v>269</v>
      </c>
      <c r="U19" s="106"/>
      <c r="V19" s="18" t="s">
        <v>269</v>
      </c>
      <c r="W19" s="38" t="str">
        <f>_xlfn.IFS(AND(COUNTIF(U19,"SCB0*")=1, 'PCH176'!D60&gt;=2), "See the Notice *2", AND(COUNTIF(U19,"SCB7*")=1, 'PCH176'!K60&gt;=2), "See the Notice *2", TRUE, "")</f>
        <v/>
      </c>
      <c r="X19" s="19"/>
      <c r="Y19" s="20" t="s">
        <v>268</v>
      </c>
      <c r="Z19" s="20" t="s">
        <v>257</v>
      </c>
      <c r="AA19" s="19"/>
      <c r="AB19" s="19"/>
    </row>
    <row r="20" spans="2:28" x14ac:dyDescent="0.2">
      <c r="B20" s="21" t="s">
        <v>43</v>
      </c>
      <c r="C20" s="22">
        <v>11</v>
      </c>
      <c r="D20" s="21" t="s">
        <v>43</v>
      </c>
      <c r="E20" s="30" t="s">
        <v>887</v>
      </c>
      <c r="F20" s="30" t="s">
        <v>888</v>
      </c>
      <c r="G20" s="30" t="s">
        <v>889</v>
      </c>
      <c r="H20" s="30" t="s">
        <v>890</v>
      </c>
      <c r="I20" s="18" t="s">
        <v>269</v>
      </c>
      <c r="J20" s="23" t="s">
        <v>600</v>
      </c>
      <c r="K20" s="27" t="s">
        <v>601</v>
      </c>
      <c r="L20" s="26" t="s">
        <v>618</v>
      </c>
      <c r="M20" s="21" t="s">
        <v>44</v>
      </c>
      <c r="N20" s="21" t="s">
        <v>45</v>
      </c>
      <c r="O20" s="21" t="s">
        <v>46</v>
      </c>
      <c r="P20" s="18" t="s">
        <v>269</v>
      </c>
      <c r="Q20" s="18" t="s">
        <v>269</v>
      </c>
      <c r="R20" s="18" t="s">
        <v>269</v>
      </c>
      <c r="S20" s="23" t="s">
        <v>591</v>
      </c>
      <c r="T20" s="18" t="s">
        <v>269</v>
      </c>
      <c r="U20" s="106"/>
      <c r="V20" s="18" t="s">
        <v>269</v>
      </c>
      <c r="W20" s="38" t="str">
        <f>_xlfn.IFS(AND(COUNTIF(U20,"SCB0*")=1, 'PCH176'!D60&gt;=2), "See the Notice *2", AND(COUNTIF(U20,"SCB7*")=1, 'PCH176'!K60&gt;=2), "See the Notice *2", TRUE, "")</f>
        <v/>
      </c>
      <c r="X20" s="19"/>
      <c r="Y20" s="20" t="s">
        <v>268</v>
      </c>
      <c r="Z20" s="20" t="s">
        <v>257</v>
      </c>
      <c r="AA20" s="19"/>
      <c r="AB20" s="19"/>
    </row>
    <row r="21" spans="2:28" x14ac:dyDescent="0.2">
      <c r="B21" s="21" t="s">
        <v>47</v>
      </c>
      <c r="C21" s="22">
        <v>12</v>
      </c>
      <c r="D21" s="21" t="s">
        <v>47</v>
      </c>
      <c r="E21" s="30" t="s">
        <v>891</v>
      </c>
      <c r="F21" s="30" t="s">
        <v>892</v>
      </c>
      <c r="G21" s="30" t="s">
        <v>893</v>
      </c>
      <c r="H21" s="30" t="s">
        <v>894</v>
      </c>
      <c r="I21" s="18" t="s">
        <v>269</v>
      </c>
      <c r="J21" s="23" t="s">
        <v>602</v>
      </c>
      <c r="K21" s="27" t="s">
        <v>603</v>
      </c>
      <c r="L21" s="26" t="s">
        <v>619</v>
      </c>
      <c r="M21" s="21" t="s">
        <v>48</v>
      </c>
      <c r="N21" s="18" t="s">
        <v>269</v>
      </c>
      <c r="O21" s="21" t="s">
        <v>49</v>
      </c>
      <c r="P21" s="18" t="s">
        <v>269</v>
      </c>
      <c r="Q21" s="18" t="s">
        <v>269</v>
      </c>
      <c r="R21" s="18" t="s">
        <v>269</v>
      </c>
      <c r="S21" s="23" t="s">
        <v>592</v>
      </c>
      <c r="T21" s="18" t="s">
        <v>269</v>
      </c>
      <c r="U21" s="106"/>
      <c r="V21" s="18" t="s">
        <v>269</v>
      </c>
      <c r="W21" s="38" t="str">
        <f>_xlfn.IFS(AND(COUNTIF(U21,"SCB0*")=1, 'PCH176'!D60&gt;=2), "See the Notice *2", AND(COUNTIF(U21,"SCB7*")=1, 'PCH176'!K60&gt;=2), "See the Notice *2", TRUE, "")</f>
        <v/>
      </c>
      <c r="X21" s="19"/>
      <c r="Y21" s="20" t="s">
        <v>268</v>
      </c>
      <c r="Z21" s="20" t="s">
        <v>257</v>
      </c>
      <c r="AA21" s="19"/>
      <c r="AB21" s="19"/>
    </row>
    <row r="22" spans="2:28" x14ac:dyDescent="0.2">
      <c r="B22" s="21" t="s">
        <v>50</v>
      </c>
      <c r="C22" s="22">
        <v>13</v>
      </c>
      <c r="D22" s="21" t="s">
        <v>50</v>
      </c>
      <c r="E22" s="30" t="s">
        <v>895</v>
      </c>
      <c r="F22" s="30" t="s">
        <v>896</v>
      </c>
      <c r="G22" s="30" t="s">
        <v>897</v>
      </c>
      <c r="H22" s="30" t="s">
        <v>898</v>
      </c>
      <c r="I22" s="18" t="s">
        <v>269</v>
      </c>
      <c r="J22" s="23" t="s">
        <v>604</v>
      </c>
      <c r="K22" s="18" t="s">
        <v>269</v>
      </c>
      <c r="L22" s="26" t="s">
        <v>620</v>
      </c>
      <c r="M22" s="21" t="s">
        <v>51</v>
      </c>
      <c r="N22" s="18" t="s">
        <v>269</v>
      </c>
      <c r="O22" s="21" t="s">
        <v>52</v>
      </c>
      <c r="P22" s="18" t="s">
        <v>269</v>
      </c>
      <c r="Q22" s="18" t="s">
        <v>269</v>
      </c>
      <c r="R22" s="18" t="s">
        <v>269</v>
      </c>
      <c r="S22" s="18" t="s">
        <v>269</v>
      </c>
      <c r="T22" s="18" t="s">
        <v>269</v>
      </c>
      <c r="U22" s="24"/>
      <c r="V22" s="18" t="s">
        <v>269</v>
      </c>
      <c r="W22" s="38" t="str">
        <f>_xlfn.IFS(AND(COUNTIF(U22,"SCB*")=1, 'PCH176'!K60&gt;=2), "See the Notice *2", TRUE, "")</f>
        <v/>
      </c>
      <c r="X22" s="19"/>
      <c r="Y22" s="20" t="s">
        <v>268</v>
      </c>
      <c r="Z22" s="20" t="s">
        <v>257</v>
      </c>
      <c r="AA22" s="19"/>
      <c r="AB22" s="19"/>
    </row>
    <row r="23" spans="2:28" x14ac:dyDescent="0.2">
      <c r="B23" s="21" t="s">
        <v>53</v>
      </c>
      <c r="C23" s="22">
        <v>14</v>
      </c>
      <c r="D23" s="21" t="s">
        <v>53</v>
      </c>
      <c r="E23" s="30" t="s">
        <v>899</v>
      </c>
      <c r="F23" s="30" t="s">
        <v>900</v>
      </c>
      <c r="G23" s="30" t="s">
        <v>901</v>
      </c>
      <c r="H23" s="30" t="s">
        <v>902</v>
      </c>
      <c r="I23" s="18" t="s">
        <v>269</v>
      </c>
      <c r="J23" s="18" t="s">
        <v>269</v>
      </c>
      <c r="K23" s="18" t="s">
        <v>269</v>
      </c>
      <c r="L23" s="26" t="s">
        <v>621</v>
      </c>
      <c r="M23" s="21" t="s">
        <v>54</v>
      </c>
      <c r="N23" s="18" t="s">
        <v>269</v>
      </c>
      <c r="O23" s="21" t="s">
        <v>55</v>
      </c>
      <c r="P23" s="18" t="s">
        <v>269</v>
      </c>
      <c r="Q23" s="18" t="s">
        <v>269</v>
      </c>
      <c r="R23" s="18" t="s">
        <v>269</v>
      </c>
      <c r="S23" s="18" t="s">
        <v>269</v>
      </c>
      <c r="T23" s="18" t="s">
        <v>269</v>
      </c>
      <c r="U23" s="24"/>
      <c r="V23" s="18" t="s">
        <v>269</v>
      </c>
      <c r="W23" s="38" t="str">
        <f>_xlfn.IFS(AND(COUNTIF(U23,"SCB*")=1, 'PCH176'!K60&gt;=2), "See the Notice *2", TRUE, "")</f>
        <v/>
      </c>
      <c r="X23" s="19"/>
      <c r="Y23" s="20" t="s">
        <v>268</v>
      </c>
      <c r="Z23" s="20" t="s">
        <v>257</v>
      </c>
      <c r="AA23" s="19"/>
      <c r="AB23" s="19"/>
    </row>
    <row r="24" spans="2:28" x14ac:dyDescent="0.2">
      <c r="B24" s="21" t="s">
        <v>56</v>
      </c>
      <c r="C24" s="22">
        <v>15</v>
      </c>
      <c r="D24" s="21" t="s">
        <v>56</v>
      </c>
      <c r="E24" s="30" t="s">
        <v>903</v>
      </c>
      <c r="F24" s="30" t="s">
        <v>904</v>
      </c>
      <c r="G24" s="30" t="s">
        <v>905</v>
      </c>
      <c r="H24" s="30" t="s">
        <v>906</v>
      </c>
      <c r="I24" s="18" t="s">
        <v>269</v>
      </c>
      <c r="J24" s="18" t="s">
        <v>269</v>
      </c>
      <c r="K24" s="18" t="s">
        <v>269</v>
      </c>
      <c r="L24" s="26" t="s">
        <v>622</v>
      </c>
      <c r="M24" s="21" t="s">
        <v>57</v>
      </c>
      <c r="N24" s="18" t="s">
        <v>269</v>
      </c>
      <c r="O24" s="21" t="s">
        <v>58</v>
      </c>
      <c r="P24" s="18" t="s">
        <v>269</v>
      </c>
      <c r="Q24" s="18" t="s">
        <v>269</v>
      </c>
      <c r="R24" s="18" t="s">
        <v>269</v>
      </c>
      <c r="S24" s="18" t="s">
        <v>269</v>
      </c>
      <c r="T24" s="18" t="s">
        <v>269</v>
      </c>
      <c r="U24" s="106"/>
      <c r="V24" s="18" t="s">
        <v>269</v>
      </c>
      <c r="W24" s="38" t="str">
        <f>_xlfn.IFS(AND(COUNTIF(U24,"SCB*")=1, 'PCH176'!K60&gt;=2), "See the Notice *2", TRUE, "")</f>
        <v/>
      </c>
      <c r="X24" s="19"/>
      <c r="Y24" s="20" t="s">
        <v>268</v>
      </c>
      <c r="Z24" s="20" t="s">
        <v>257</v>
      </c>
      <c r="AA24" s="19"/>
      <c r="AB24" s="19"/>
    </row>
    <row r="25" spans="2:28" x14ac:dyDescent="0.2">
      <c r="B25" s="21" t="s">
        <v>59</v>
      </c>
      <c r="C25" s="22">
        <v>16</v>
      </c>
      <c r="D25" s="21" t="s">
        <v>59</v>
      </c>
      <c r="E25" s="30" t="s">
        <v>907</v>
      </c>
      <c r="F25" s="30" t="s">
        <v>908</v>
      </c>
      <c r="G25" s="30" t="s">
        <v>909</v>
      </c>
      <c r="H25" s="30" t="s">
        <v>910</v>
      </c>
      <c r="I25" s="18" t="s">
        <v>269</v>
      </c>
      <c r="J25" s="23" t="s">
        <v>605</v>
      </c>
      <c r="K25" s="18" t="s">
        <v>269</v>
      </c>
      <c r="L25" s="26" t="s">
        <v>623</v>
      </c>
      <c r="M25" s="18" t="s">
        <v>269</v>
      </c>
      <c r="N25" s="18" t="s">
        <v>269</v>
      </c>
      <c r="O25" s="18" t="s">
        <v>269</v>
      </c>
      <c r="P25" s="21" t="s">
        <v>60</v>
      </c>
      <c r="Q25" s="18" t="s">
        <v>269</v>
      </c>
      <c r="R25" s="18" t="s">
        <v>269</v>
      </c>
      <c r="S25" s="18" t="s">
        <v>269</v>
      </c>
      <c r="T25" s="18" t="s">
        <v>269</v>
      </c>
      <c r="U25" s="106"/>
      <c r="V25" s="18" t="s">
        <v>269</v>
      </c>
      <c r="W25" s="38" t="str">
        <f>_xlfn.IFS(AND(COUNTIF(U25,"SCB*")=1, 'PCH176'!J60&gt;=2), "See the Notice *2", TRUE, "")</f>
        <v/>
      </c>
      <c r="X25" s="19"/>
      <c r="Y25" s="20" t="s">
        <v>268</v>
      </c>
      <c r="Z25" s="20" t="s">
        <v>257</v>
      </c>
      <c r="AA25" s="19"/>
      <c r="AB25" s="19"/>
    </row>
    <row r="26" spans="2:28" x14ac:dyDescent="0.2">
      <c r="B26" s="21" t="s">
        <v>61</v>
      </c>
      <c r="C26" s="22">
        <v>17</v>
      </c>
      <c r="D26" s="21" t="s">
        <v>61</v>
      </c>
      <c r="E26" s="30" t="s">
        <v>911</v>
      </c>
      <c r="F26" s="30" t="s">
        <v>912</v>
      </c>
      <c r="G26" s="30" t="s">
        <v>913</v>
      </c>
      <c r="H26" s="30" t="s">
        <v>914</v>
      </c>
      <c r="I26" s="18" t="s">
        <v>269</v>
      </c>
      <c r="J26" s="23" t="s">
        <v>606</v>
      </c>
      <c r="K26" s="27" t="s">
        <v>607</v>
      </c>
      <c r="L26" s="26" t="s">
        <v>624</v>
      </c>
      <c r="M26" s="18" t="s">
        <v>269</v>
      </c>
      <c r="N26" s="18" t="s">
        <v>269</v>
      </c>
      <c r="O26" s="18" t="s">
        <v>269</v>
      </c>
      <c r="P26" s="21" t="s">
        <v>62</v>
      </c>
      <c r="Q26" s="18" t="s">
        <v>269</v>
      </c>
      <c r="R26" s="18" t="s">
        <v>269</v>
      </c>
      <c r="S26" s="18" t="s">
        <v>269</v>
      </c>
      <c r="T26" s="18" t="s">
        <v>269</v>
      </c>
      <c r="U26" s="106"/>
      <c r="V26" s="18" t="s">
        <v>269</v>
      </c>
      <c r="W26" s="38" t="str">
        <f>_xlfn.IFS(AND(COUNTIF(U26,"SCB*")=1, 'PCH176'!J60&gt;=2), "See the Notice *2", TRUE, "")</f>
        <v/>
      </c>
      <c r="X26" s="19"/>
      <c r="Y26" s="20" t="s">
        <v>268</v>
      </c>
      <c r="Z26" s="20" t="s">
        <v>257</v>
      </c>
      <c r="AA26" s="19"/>
      <c r="AB26" s="19"/>
    </row>
    <row r="27" spans="2:28" x14ac:dyDescent="0.2">
      <c r="B27" s="21" t="s">
        <v>63</v>
      </c>
      <c r="C27" s="22">
        <v>18</v>
      </c>
      <c r="D27" s="21" t="s">
        <v>63</v>
      </c>
      <c r="E27" s="30" t="s">
        <v>915</v>
      </c>
      <c r="F27" s="30" t="s">
        <v>916</v>
      </c>
      <c r="G27" s="30" t="s">
        <v>917</v>
      </c>
      <c r="H27" s="30" t="s">
        <v>918</v>
      </c>
      <c r="I27" s="18" t="s">
        <v>269</v>
      </c>
      <c r="J27" s="23" t="s">
        <v>608</v>
      </c>
      <c r="K27" s="27" t="s">
        <v>609</v>
      </c>
      <c r="L27" s="26" t="s">
        <v>625</v>
      </c>
      <c r="M27" s="18" t="s">
        <v>269</v>
      </c>
      <c r="N27" s="18" t="s">
        <v>269</v>
      </c>
      <c r="O27" s="18" t="s">
        <v>269</v>
      </c>
      <c r="P27" s="18" t="s">
        <v>269</v>
      </c>
      <c r="Q27" s="18" t="s">
        <v>269</v>
      </c>
      <c r="R27" s="18" t="s">
        <v>269</v>
      </c>
      <c r="S27" s="18" t="s">
        <v>269</v>
      </c>
      <c r="T27" s="18" t="s">
        <v>269</v>
      </c>
      <c r="U27" s="106"/>
      <c r="V27" s="18" t="s">
        <v>269</v>
      </c>
      <c r="W27" s="38" t="str">
        <f>_xlfn.IFS(AND(COUNTIF(U27,"SCB*")=1, 'PCH176'!J60&gt;=2), "See the Notice *2", TRUE, "")</f>
        <v/>
      </c>
      <c r="X27" s="19"/>
      <c r="Y27" s="20" t="s">
        <v>268</v>
      </c>
      <c r="Z27" s="20" t="s">
        <v>257</v>
      </c>
      <c r="AA27" s="19"/>
      <c r="AB27" s="19"/>
    </row>
    <row r="28" spans="2:28" x14ac:dyDescent="0.2">
      <c r="B28" s="21" t="s">
        <v>64</v>
      </c>
      <c r="C28" s="22">
        <v>19</v>
      </c>
      <c r="D28" s="21" t="s">
        <v>64</v>
      </c>
      <c r="E28" s="30" t="s">
        <v>919</v>
      </c>
      <c r="F28" s="30" t="s">
        <v>920</v>
      </c>
      <c r="G28" s="30" t="s">
        <v>921</v>
      </c>
      <c r="H28" s="30" t="s">
        <v>922</v>
      </c>
      <c r="I28" s="18" t="s">
        <v>269</v>
      </c>
      <c r="J28" s="23" t="s">
        <v>610</v>
      </c>
      <c r="K28" s="18" t="s">
        <v>269</v>
      </c>
      <c r="L28" s="26" t="s">
        <v>626</v>
      </c>
      <c r="M28" s="18" t="s">
        <v>269</v>
      </c>
      <c r="N28" s="18" t="s">
        <v>269</v>
      </c>
      <c r="O28" s="18" t="s">
        <v>269</v>
      </c>
      <c r="P28" s="18" t="s">
        <v>269</v>
      </c>
      <c r="Q28" s="18" t="s">
        <v>269</v>
      </c>
      <c r="R28" s="18" t="s">
        <v>269</v>
      </c>
      <c r="S28" s="18" t="s">
        <v>269</v>
      </c>
      <c r="T28" s="18" t="s">
        <v>269</v>
      </c>
      <c r="U28" s="106"/>
      <c r="V28" s="18" t="s">
        <v>269</v>
      </c>
      <c r="W28" s="38" t="str">
        <f>_xlfn.IFS(AND(COUNTIF(U28,"SCB*")=1, 'PCH176'!J60&gt;=2), "See the Notice *2", TRUE, "")</f>
        <v/>
      </c>
      <c r="X28" s="19"/>
      <c r="Y28" s="20" t="s">
        <v>268</v>
      </c>
      <c r="Z28" s="20" t="s">
        <v>257</v>
      </c>
      <c r="AA28" s="19"/>
      <c r="AB28" s="19"/>
    </row>
    <row r="29" spans="2:28" x14ac:dyDescent="0.2">
      <c r="B29" s="21" t="s">
        <v>65</v>
      </c>
      <c r="C29" s="22">
        <v>20</v>
      </c>
      <c r="D29" s="21" t="s">
        <v>65</v>
      </c>
      <c r="E29" s="30" t="s">
        <v>923</v>
      </c>
      <c r="F29" s="30" t="s">
        <v>924</v>
      </c>
      <c r="G29" s="30" t="s">
        <v>925</v>
      </c>
      <c r="H29" s="30" t="s">
        <v>926</v>
      </c>
      <c r="I29" s="18" t="s">
        <v>269</v>
      </c>
      <c r="J29" s="18" t="s">
        <v>269</v>
      </c>
      <c r="K29" s="18" t="s">
        <v>269</v>
      </c>
      <c r="L29" s="26" t="s">
        <v>627</v>
      </c>
      <c r="M29" s="18" t="s">
        <v>269</v>
      </c>
      <c r="N29" s="18" t="s">
        <v>269</v>
      </c>
      <c r="O29" s="18" t="s">
        <v>269</v>
      </c>
      <c r="P29" s="18" t="s">
        <v>269</v>
      </c>
      <c r="Q29" s="18" t="s">
        <v>269</v>
      </c>
      <c r="R29" s="18" t="s">
        <v>269</v>
      </c>
      <c r="S29" s="18" t="s">
        <v>269</v>
      </c>
      <c r="T29" s="18" t="s">
        <v>269</v>
      </c>
      <c r="U29" s="106"/>
      <c r="V29" s="18" t="s">
        <v>269</v>
      </c>
      <c r="W29" s="38" t="str">
        <f>_xlfn.IFS(AND(COUNTIF(U29,"SCB*")=1, 'PCH176'!J60&gt;=2), "See the Notice *2", TRUE, "")</f>
        <v/>
      </c>
      <c r="X29" s="19"/>
      <c r="Y29" s="20" t="s">
        <v>268</v>
      </c>
      <c r="Z29" s="20" t="s">
        <v>257</v>
      </c>
      <c r="AA29" s="19"/>
      <c r="AB29" s="19"/>
    </row>
    <row r="30" spans="2:28" x14ac:dyDescent="0.2">
      <c r="B30" s="21" t="s">
        <v>66</v>
      </c>
      <c r="C30" s="22">
        <v>21</v>
      </c>
      <c r="D30" s="21" t="s">
        <v>66</v>
      </c>
      <c r="E30" s="30" t="s">
        <v>927</v>
      </c>
      <c r="F30" s="30" t="s">
        <v>928</v>
      </c>
      <c r="G30" s="30" t="s">
        <v>929</v>
      </c>
      <c r="H30" s="30" t="s">
        <v>930</v>
      </c>
      <c r="I30" s="18" t="s">
        <v>269</v>
      </c>
      <c r="J30" s="18" t="s">
        <v>269</v>
      </c>
      <c r="K30" s="18" t="s">
        <v>269</v>
      </c>
      <c r="L30" s="26" t="s">
        <v>628</v>
      </c>
      <c r="M30" s="18" t="s">
        <v>269</v>
      </c>
      <c r="N30" s="18" t="s">
        <v>269</v>
      </c>
      <c r="O30" s="18" t="s">
        <v>269</v>
      </c>
      <c r="P30" s="18" t="s">
        <v>269</v>
      </c>
      <c r="Q30" s="18" t="s">
        <v>269</v>
      </c>
      <c r="R30" s="18" t="s">
        <v>269</v>
      </c>
      <c r="S30" s="18" t="s">
        <v>269</v>
      </c>
      <c r="T30" s="18" t="s">
        <v>269</v>
      </c>
      <c r="U30" s="106"/>
      <c r="V30" s="18" t="s">
        <v>269</v>
      </c>
      <c r="W30" s="38" t="str">
        <f>_xlfn.IFS(AND(COUNTIF(U30,"SCB*")=1, 'PCH176'!J60&gt;=2), "See the Notice *2", TRUE, "")</f>
        <v/>
      </c>
      <c r="X30" s="19"/>
      <c r="Y30" s="20" t="s">
        <v>268</v>
      </c>
      <c r="Z30" s="20" t="s">
        <v>257</v>
      </c>
      <c r="AA30" s="19"/>
      <c r="AB30" s="19"/>
    </row>
    <row r="31" spans="2:28" x14ac:dyDescent="0.2">
      <c r="B31" s="28" t="s">
        <v>257</v>
      </c>
      <c r="C31" s="17">
        <v>22</v>
      </c>
      <c r="D31" s="18" t="s">
        <v>269</v>
      </c>
      <c r="E31" s="18" t="s">
        <v>269</v>
      </c>
      <c r="F31" s="18" t="s">
        <v>269</v>
      </c>
      <c r="G31" s="18" t="s">
        <v>269</v>
      </c>
      <c r="H31" s="18" t="s">
        <v>269</v>
      </c>
      <c r="I31" s="18" t="s">
        <v>269</v>
      </c>
      <c r="J31" s="18" t="s">
        <v>269</v>
      </c>
      <c r="K31" s="18" t="s">
        <v>269</v>
      </c>
      <c r="L31" s="18" t="s">
        <v>269</v>
      </c>
      <c r="M31" s="18" t="s">
        <v>269</v>
      </c>
      <c r="N31" s="18" t="s">
        <v>269</v>
      </c>
      <c r="O31" s="18" t="s">
        <v>269</v>
      </c>
      <c r="P31" s="18" t="s">
        <v>269</v>
      </c>
      <c r="Q31" s="18" t="s">
        <v>269</v>
      </c>
      <c r="R31" s="18" t="s">
        <v>269</v>
      </c>
      <c r="S31" s="18" t="s">
        <v>269</v>
      </c>
      <c r="T31" s="18" t="s">
        <v>269</v>
      </c>
      <c r="U31" s="28"/>
      <c r="V31" s="18" t="s">
        <v>269</v>
      </c>
      <c r="W31" s="38"/>
      <c r="X31" s="19" t="s">
        <v>544</v>
      </c>
      <c r="Y31" s="20" t="s">
        <v>558</v>
      </c>
      <c r="Z31" s="19" t="s">
        <v>558</v>
      </c>
      <c r="AA31" s="19"/>
      <c r="AB31" s="19"/>
    </row>
    <row r="32" spans="2:28" x14ac:dyDescent="0.2">
      <c r="B32" s="16" t="s">
        <v>256</v>
      </c>
      <c r="C32" s="17">
        <v>23</v>
      </c>
      <c r="D32" s="18" t="s">
        <v>269</v>
      </c>
      <c r="E32" s="18" t="s">
        <v>269</v>
      </c>
      <c r="F32" s="18" t="s">
        <v>269</v>
      </c>
      <c r="G32" s="18" t="s">
        <v>269</v>
      </c>
      <c r="H32" s="18" t="s">
        <v>269</v>
      </c>
      <c r="I32" s="18" t="s">
        <v>269</v>
      </c>
      <c r="J32" s="18" t="s">
        <v>269</v>
      </c>
      <c r="K32" s="18" t="s">
        <v>269</v>
      </c>
      <c r="L32" s="18" t="s">
        <v>269</v>
      </c>
      <c r="M32" s="18" t="s">
        <v>269</v>
      </c>
      <c r="N32" s="18" t="s">
        <v>269</v>
      </c>
      <c r="O32" s="18" t="s">
        <v>269</v>
      </c>
      <c r="P32" s="18" t="s">
        <v>269</v>
      </c>
      <c r="Q32" s="18" t="s">
        <v>269</v>
      </c>
      <c r="R32" s="18" t="s">
        <v>269</v>
      </c>
      <c r="S32" s="18" t="s">
        <v>269</v>
      </c>
      <c r="T32" s="18" t="s">
        <v>269</v>
      </c>
      <c r="U32" s="16"/>
      <c r="V32" s="18" t="s">
        <v>269</v>
      </c>
      <c r="W32" s="38"/>
      <c r="X32" s="19" t="s">
        <v>545</v>
      </c>
      <c r="Y32" s="20" t="s">
        <v>558</v>
      </c>
      <c r="Z32" s="19" t="s">
        <v>558</v>
      </c>
      <c r="AA32" s="19"/>
      <c r="AB32" s="19"/>
    </row>
    <row r="33" spans="2:28" x14ac:dyDescent="0.2">
      <c r="B33" s="21" t="s">
        <v>67</v>
      </c>
      <c r="C33" s="22">
        <v>24</v>
      </c>
      <c r="D33" s="21" t="s">
        <v>67</v>
      </c>
      <c r="E33" s="30" t="s">
        <v>895</v>
      </c>
      <c r="F33" s="30" t="s">
        <v>931</v>
      </c>
      <c r="G33" s="30" t="s">
        <v>897</v>
      </c>
      <c r="H33" s="103" t="s">
        <v>932</v>
      </c>
      <c r="I33" s="21" t="s">
        <v>68</v>
      </c>
      <c r="J33" s="23" t="s">
        <v>611</v>
      </c>
      <c r="K33" s="18" t="s">
        <v>269</v>
      </c>
      <c r="L33" s="26" t="s">
        <v>629</v>
      </c>
      <c r="M33" s="21" t="s">
        <v>25</v>
      </c>
      <c r="N33" s="18" t="s">
        <v>269</v>
      </c>
      <c r="O33" s="21" t="s">
        <v>69</v>
      </c>
      <c r="P33" s="18" t="s">
        <v>269</v>
      </c>
      <c r="Q33" s="18" t="s">
        <v>269</v>
      </c>
      <c r="R33" s="18" t="s">
        <v>269</v>
      </c>
      <c r="S33" s="18" t="s">
        <v>269</v>
      </c>
      <c r="T33" s="18" t="s">
        <v>269</v>
      </c>
      <c r="U33" s="106"/>
      <c r="V33" s="18" t="s">
        <v>269</v>
      </c>
      <c r="W33" s="38" t="str">
        <f>_xlfn.IFS(AND(COUNTIF(U33,"SCB*")=1, 'PCH176'!I60&gt;=2), "See the Notice *2", TRUE, "")</f>
        <v/>
      </c>
      <c r="X33" s="19"/>
      <c r="Y33" s="20" t="s">
        <v>268</v>
      </c>
      <c r="Z33" s="20" t="s">
        <v>257</v>
      </c>
      <c r="AA33" s="19"/>
      <c r="AB33" s="19"/>
    </row>
    <row r="34" spans="2:28" x14ac:dyDescent="0.2">
      <c r="B34" s="21" t="s">
        <v>70</v>
      </c>
      <c r="C34" s="22">
        <v>25</v>
      </c>
      <c r="D34" s="21" t="s">
        <v>70</v>
      </c>
      <c r="E34" s="30" t="s">
        <v>891</v>
      </c>
      <c r="F34" s="30" t="s">
        <v>900</v>
      </c>
      <c r="G34" s="30" t="s">
        <v>893</v>
      </c>
      <c r="H34" s="103" t="s">
        <v>902</v>
      </c>
      <c r="I34" s="21" t="s">
        <v>71</v>
      </c>
      <c r="J34" s="23" t="s">
        <v>612</v>
      </c>
      <c r="K34" s="27" t="s">
        <v>613</v>
      </c>
      <c r="L34" s="26" t="s">
        <v>630</v>
      </c>
      <c r="M34" s="21" t="s">
        <v>27</v>
      </c>
      <c r="N34" s="18" t="s">
        <v>269</v>
      </c>
      <c r="O34" s="21" t="s">
        <v>72</v>
      </c>
      <c r="P34" s="18" t="s">
        <v>269</v>
      </c>
      <c r="Q34" s="18" t="s">
        <v>269</v>
      </c>
      <c r="R34" s="18" t="s">
        <v>269</v>
      </c>
      <c r="S34" s="18" t="s">
        <v>269</v>
      </c>
      <c r="T34" s="18" t="s">
        <v>269</v>
      </c>
      <c r="U34" s="106"/>
      <c r="V34" s="18" t="s">
        <v>269</v>
      </c>
      <c r="W34" s="38" t="str">
        <f>_xlfn.IFS(AND(COUNTIF(U34,"SCB*")=1, 'PCH176'!I60&gt;=2), "See the Notice *2", TRUE, "")</f>
        <v/>
      </c>
      <c r="X34" s="19"/>
      <c r="Y34" s="20" t="s">
        <v>268</v>
      </c>
      <c r="Z34" s="20" t="s">
        <v>257</v>
      </c>
      <c r="AA34" s="19"/>
      <c r="AB34" s="19"/>
    </row>
    <row r="35" spans="2:28" x14ac:dyDescent="0.2">
      <c r="B35" s="21" t="s">
        <v>73</v>
      </c>
      <c r="C35" s="22">
        <v>26</v>
      </c>
      <c r="D35" s="21" t="s">
        <v>73</v>
      </c>
      <c r="E35" s="30" t="s">
        <v>887</v>
      </c>
      <c r="F35" s="30" t="s">
        <v>896</v>
      </c>
      <c r="G35" s="30" t="s">
        <v>889</v>
      </c>
      <c r="H35" s="103" t="s">
        <v>898</v>
      </c>
      <c r="I35" s="21" t="s">
        <v>74</v>
      </c>
      <c r="J35" s="23" t="s">
        <v>614</v>
      </c>
      <c r="K35" s="27" t="s">
        <v>615</v>
      </c>
      <c r="L35" s="26" t="s">
        <v>631</v>
      </c>
      <c r="M35" s="21" t="s">
        <v>29</v>
      </c>
      <c r="N35" s="18" t="s">
        <v>269</v>
      </c>
      <c r="O35" s="21" t="s">
        <v>75</v>
      </c>
      <c r="P35" s="18" t="s">
        <v>269</v>
      </c>
      <c r="Q35" s="18" t="s">
        <v>269</v>
      </c>
      <c r="R35" s="18" t="s">
        <v>269</v>
      </c>
      <c r="S35" s="18" t="s">
        <v>269</v>
      </c>
      <c r="T35" s="18" t="s">
        <v>269</v>
      </c>
      <c r="U35" s="106"/>
      <c r="V35" s="18" t="s">
        <v>269</v>
      </c>
      <c r="W35" s="38" t="str">
        <f>_xlfn.IFS(AND(COUNTIF(U35,"SCB*")=1, 'PCH176'!I60&gt;=2), "See the Notice *2", TRUE, "")</f>
        <v/>
      </c>
      <c r="X35" s="19"/>
      <c r="Y35" s="20" t="s">
        <v>268</v>
      </c>
      <c r="Z35" s="20" t="s">
        <v>257</v>
      </c>
      <c r="AA35" s="19"/>
      <c r="AB35" s="19"/>
    </row>
    <row r="36" spans="2:28" x14ac:dyDescent="0.2">
      <c r="B36" s="21" t="s">
        <v>76</v>
      </c>
      <c r="C36" s="22">
        <v>27</v>
      </c>
      <c r="D36" s="21" t="s">
        <v>76</v>
      </c>
      <c r="E36" s="30" t="s">
        <v>883</v>
      </c>
      <c r="F36" s="30" t="s">
        <v>892</v>
      </c>
      <c r="G36" s="30" t="s">
        <v>885</v>
      </c>
      <c r="H36" s="103" t="s">
        <v>894</v>
      </c>
      <c r="I36" s="21" t="s">
        <v>77</v>
      </c>
      <c r="J36" s="23" t="s">
        <v>616</v>
      </c>
      <c r="K36" s="18" t="s">
        <v>269</v>
      </c>
      <c r="L36" s="26" t="s">
        <v>632</v>
      </c>
      <c r="M36" s="18" t="s">
        <v>269</v>
      </c>
      <c r="N36" s="21" t="s">
        <v>30</v>
      </c>
      <c r="O36" s="21" t="s">
        <v>78</v>
      </c>
      <c r="P36" s="18" t="s">
        <v>269</v>
      </c>
      <c r="Q36" s="18" t="s">
        <v>269</v>
      </c>
      <c r="R36" s="18" t="s">
        <v>269</v>
      </c>
      <c r="S36" s="18" t="s">
        <v>269</v>
      </c>
      <c r="T36" s="18" t="s">
        <v>269</v>
      </c>
      <c r="U36" s="24"/>
      <c r="V36" s="18" t="s">
        <v>269</v>
      </c>
      <c r="W36" s="38" t="str">
        <f>_xlfn.IFS(AND(COUNTIF(U36,"SCB*")=1, 'PCH176'!I60&gt;=2), "See the Notice *2", TRUE, "")</f>
        <v/>
      </c>
      <c r="X36" s="19"/>
      <c r="Y36" s="20" t="s">
        <v>268</v>
      </c>
      <c r="Z36" s="20" t="s">
        <v>257</v>
      </c>
      <c r="AA36" s="19"/>
      <c r="AB36" s="19"/>
    </row>
    <row r="37" spans="2:28" x14ac:dyDescent="0.2">
      <c r="B37" s="21" t="s">
        <v>79</v>
      </c>
      <c r="C37" s="22">
        <v>28</v>
      </c>
      <c r="D37" s="21" t="s">
        <v>79</v>
      </c>
      <c r="E37" s="30" t="s">
        <v>879</v>
      </c>
      <c r="F37" s="30" t="s">
        <v>888</v>
      </c>
      <c r="G37" s="30" t="s">
        <v>881</v>
      </c>
      <c r="H37" s="30" t="s">
        <v>890</v>
      </c>
      <c r="I37" s="18" t="s">
        <v>269</v>
      </c>
      <c r="J37" s="18" t="s">
        <v>269</v>
      </c>
      <c r="K37" s="18" t="s">
        <v>269</v>
      </c>
      <c r="L37" s="26" t="s">
        <v>633</v>
      </c>
      <c r="M37" s="18" t="s">
        <v>269</v>
      </c>
      <c r="N37" s="21" t="s">
        <v>32</v>
      </c>
      <c r="O37" s="18" t="s">
        <v>269</v>
      </c>
      <c r="P37" s="18" t="s">
        <v>269</v>
      </c>
      <c r="Q37" s="18" t="s">
        <v>269</v>
      </c>
      <c r="R37" s="18" t="s">
        <v>269</v>
      </c>
      <c r="S37" s="18" t="s">
        <v>269</v>
      </c>
      <c r="T37" s="18" t="s">
        <v>269</v>
      </c>
      <c r="U37" s="24"/>
      <c r="V37" s="18" t="s">
        <v>269</v>
      </c>
      <c r="W37" s="38" t="str">
        <f>_xlfn.IFS(AND(COUNTIF(U37,"SCB*")=1, 'PCH176'!I60&gt;=2), "See the Notice *2", TRUE, "")</f>
        <v/>
      </c>
      <c r="X37" s="19"/>
      <c r="Y37" s="20" t="s">
        <v>268</v>
      </c>
      <c r="Z37" s="20" t="s">
        <v>257</v>
      </c>
      <c r="AA37" s="19"/>
      <c r="AB37" s="19"/>
    </row>
    <row r="38" spans="2:28" x14ac:dyDescent="0.2">
      <c r="B38" s="21" t="s">
        <v>80</v>
      </c>
      <c r="C38" s="22">
        <v>29</v>
      </c>
      <c r="D38" s="21" t="s">
        <v>80</v>
      </c>
      <c r="E38" s="30" t="s">
        <v>933</v>
      </c>
      <c r="F38" s="30" t="s">
        <v>884</v>
      </c>
      <c r="G38" s="30" t="s">
        <v>934</v>
      </c>
      <c r="H38" s="30" t="s">
        <v>886</v>
      </c>
      <c r="I38" s="18" t="s">
        <v>269</v>
      </c>
      <c r="J38" s="18" t="s">
        <v>269</v>
      </c>
      <c r="K38" s="18" t="s">
        <v>269</v>
      </c>
      <c r="L38" s="26" t="s">
        <v>634</v>
      </c>
      <c r="M38" s="21" t="s">
        <v>81</v>
      </c>
      <c r="N38" s="18" t="s">
        <v>269</v>
      </c>
      <c r="O38" s="18" t="s">
        <v>269</v>
      </c>
      <c r="P38" s="18" t="s">
        <v>269</v>
      </c>
      <c r="Q38" s="18" t="s">
        <v>269</v>
      </c>
      <c r="R38" s="18" t="s">
        <v>269</v>
      </c>
      <c r="S38" s="18" t="s">
        <v>269</v>
      </c>
      <c r="T38" s="18" t="s">
        <v>269</v>
      </c>
      <c r="U38" s="24"/>
      <c r="V38" s="18" t="s">
        <v>269</v>
      </c>
      <c r="W38" s="38" t="str">
        <f>_xlfn.IFS(AND(COUNTIF(U38,"SCB*")=1, 'PCH176'!I60&gt;=2), "See the Notice *2", TRUE, "")</f>
        <v/>
      </c>
      <c r="X38" s="19"/>
      <c r="Y38" s="20" t="s">
        <v>268</v>
      </c>
      <c r="Z38" s="20" t="s">
        <v>257</v>
      </c>
      <c r="AA38" s="19"/>
      <c r="AB38" s="19"/>
    </row>
    <row r="39" spans="2:28" x14ac:dyDescent="0.2">
      <c r="B39" s="21" t="s">
        <v>82</v>
      </c>
      <c r="C39" s="22">
        <v>30</v>
      </c>
      <c r="D39" s="21" t="s">
        <v>82</v>
      </c>
      <c r="E39" s="30" t="s">
        <v>875</v>
      </c>
      <c r="F39" s="30" t="s">
        <v>935</v>
      </c>
      <c r="G39" s="30" t="s">
        <v>877</v>
      </c>
      <c r="H39" s="30" t="s">
        <v>936</v>
      </c>
      <c r="I39" s="18" t="s">
        <v>269</v>
      </c>
      <c r="J39" s="18" t="s">
        <v>269</v>
      </c>
      <c r="K39" s="18" t="s">
        <v>269</v>
      </c>
      <c r="L39" s="18" t="s">
        <v>269</v>
      </c>
      <c r="M39" s="21" t="s">
        <v>83</v>
      </c>
      <c r="N39" s="18" t="s">
        <v>269</v>
      </c>
      <c r="O39" s="18" t="s">
        <v>269</v>
      </c>
      <c r="P39" s="18" t="s">
        <v>269</v>
      </c>
      <c r="Q39" s="18" t="s">
        <v>269</v>
      </c>
      <c r="R39" s="18" t="s">
        <v>269</v>
      </c>
      <c r="S39" s="18" t="s">
        <v>269</v>
      </c>
      <c r="T39" s="18" t="s">
        <v>269</v>
      </c>
      <c r="U39" s="24"/>
      <c r="V39" s="18" t="s">
        <v>269</v>
      </c>
      <c r="W39" s="38"/>
      <c r="X39" s="19"/>
      <c r="Y39" s="20" t="s">
        <v>268</v>
      </c>
      <c r="Z39" s="20" t="s">
        <v>257</v>
      </c>
      <c r="AA39" s="19"/>
      <c r="AB39" s="19"/>
    </row>
    <row r="40" spans="2:28" x14ac:dyDescent="0.2">
      <c r="B40" s="21" t="s">
        <v>84</v>
      </c>
      <c r="C40" s="22">
        <v>31</v>
      </c>
      <c r="D40" s="21" t="s">
        <v>84</v>
      </c>
      <c r="E40" s="30" t="s">
        <v>871</v>
      </c>
      <c r="F40" s="30" t="s">
        <v>880</v>
      </c>
      <c r="G40" s="30" t="s">
        <v>873</v>
      </c>
      <c r="H40" s="30" t="s">
        <v>882</v>
      </c>
      <c r="I40" s="18" t="s">
        <v>269</v>
      </c>
      <c r="J40" s="18" t="s">
        <v>269</v>
      </c>
      <c r="K40" s="18" t="s">
        <v>269</v>
      </c>
      <c r="L40" s="18" t="s">
        <v>269</v>
      </c>
      <c r="M40" s="21" t="s">
        <v>85</v>
      </c>
      <c r="N40" s="18" t="s">
        <v>269</v>
      </c>
      <c r="O40" s="18" t="s">
        <v>269</v>
      </c>
      <c r="P40" s="18" t="s">
        <v>269</v>
      </c>
      <c r="Q40" s="18" t="s">
        <v>269</v>
      </c>
      <c r="R40" s="18" t="s">
        <v>269</v>
      </c>
      <c r="S40" s="18" t="s">
        <v>269</v>
      </c>
      <c r="T40" s="18" t="s">
        <v>269</v>
      </c>
      <c r="U40" s="24"/>
      <c r="V40" s="18" t="s">
        <v>269</v>
      </c>
      <c r="W40" s="38"/>
      <c r="X40" s="19"/>
      <c r="Y40" s="20" t="s">
        <v>268</v>
      </c>
      <c r="Z40" s="20" t="s">
        <v>257</v>
      </c>
      <c r="AA40" s="19"/>
      <c r="AB40" s="19"/>
    </row>
    <row r="41" spans="2:28" x14ac:dyDescent="0.2">
      <c r="B41" s="21" t="s">
        <v>86</v>
      </c>
      <c r="C41" s="22">
        <v>32</v>
      </c>
      <c r="D41" s="21" t="s">
        <v>86</v>
      </c>
      <c r="E41" s="30" t="s">
        <v>867</v>
      </c>
      <c r="F41" s="30" t="s">
        <v>876</v>
      </c>
      <c r="G41" s="30" t="s">
        <v>869</v>
      </c>
      <c r="H41" s="30" t="s">
        <v>878</v>
      </c>
      <c r="I41" s="18" t="s">
        <v>269</v>
      </c>
      <c r="J41" s="18" t="s">
        <v>269</v>
      </c>
      <c r="K41" s="18" t="s">
        <v>269</v>
      </c>
      <c r="L41" s="18" t="s">
        <v>269</v>
      </c>
      <c r="M41" s="21" t="s">
        <v>87</v>
      </c>
      <c r="N41" s="18" t="s">
        <v>269</v>
      </c>
      <c r="O41" s="18" t="s">
        <v>269</v>
      </c>
      <c r="P41" s="18" t="s">
        <v>269</v>
      </c>
      <c r="Q41" s="18" t="s">
        <v>269</v>
      </c>
      <c r="R41" s="18" t="s">
        <v>269</v>
      </c>
      <c r="S41" s="18" t="s">
        <v>269</v>
      </c>
      <c r="T41" s="18" t="s">
        <v>269</v>
      </c>
      <c r="U41" s="106"/>
      <c r="V41" s="18" t="s">
        <v>269</v>
      </c>
      <c r="W41" s="38"/>
      <c r="X41" s="19"/>
      <c r="Y41" s="20" t="s">
        <v>268</v>
      </c>
      <c r="Z41" s="20" t="s">
        <v>257</v>
      </c>
      <c r="AA41" s="19"/>
      <c r="AB41" s="19"/>
    </row>
    <row r="42" spans="2:28" x14ac:dyDescent="0.2">
      <c r="B42" s="21" t="s">
        <v>88</v>
      </c>
      <c r="C42" s="22">
        <v>33</v>
      </c>
      <c r="D42" s="21" t="s">
        <v>88</v>
      </c>
      <c r="E42" s="30" t="s">
        <v>863</v>
      </c>
      <c r="F42" s="30" t="s">
        <v>872</v>
      </c>
      <c r="G42" s="30" t="s">
        <v>865</v>
      </c>
      <c r="H42" s="30" t="s">
        <v>874</v>
      </c>
      <c r="I42" s="18" t="s">
        <v>269</v>
      </c>
      <c r="J42" s="18" t="s">
        <v>269</v>
      </c>
      <c r="K42" s="18" t="s">
        <v>269</v>
      </c>
      <c r="L42" s="18" t="s">
        <v>269</v>
      </c>
      <c r="M42" s="21" t="s">
        <v>89</v>
      </c>
      <c r="N42" s="18" t="s">
        <v>269</v>
      </c>
      <c r="O42" s="18" t="s">
        <v>269</v>
      </c>
      <c r="P42" s="18" t="s">
        <v>269</v>
      </c>
      <c r="Q42" s="18" t="s">
        <v>269</v>
      </c>
      <c r="R42" s="18" t="s">
        <v>269</v>
      </c>
      <c r="S42" s="18" t="s">
        <v>269</v>
      </c>
      <c r="T42" s="18" t="s">
        <v>269</v>
      </c>
      <c r="U42" s="106"/>
      <c r="V42" s="18" t="s">
        <v>269</v>
      </c>
      <c r="W42" s="38"/>
      <c r="X42" s="19"/>
      <c r="Y42" s="20" t="s">
        <v>268</v>
      </c>
      <c r="Z42" s="20" t="s">
        <v>257</v>
      </c>
      <c r="AA42" s="19"/>
      <c r="AB42" s="19"/>
    </row>
    <row r="43" spans="2:28" x14ac:dyDescent="0.2">
      <c r="B43" s="21" t="s">
        <v>90</v>
      </c>
      <c r="C43" s="22">
        <v>34</v>
      </c>
      <c r="D43" s="21" t="s">
        <v>90</v>
      </c>
      <c r="E43" s="30" t="s">
        <v>859</v>
      </c>
      <c r="F43" s="30" t="s">
        <v>868</v>
      </c>
      <c r="G43" s="30" t="s">
        <v>861</v>
      </c>
      <c r="H43" s="30" t="s">
        <v>870</v>
      </c>
      <c r="I43" s="18" t="s">
        <v>269</v>
      </c>
      <c r="J43" s="18" t="s">
        <v>269</v>
      </c>
      <c r="K43" s="18" t="s">
        <v>269</v>
      </c>
      <c r="L43" s="18" t="s">
        <v>269</v>
      </c>
      <c r="M43" s="21" t="s">
        <v>91</v>
      </c>
      <c r="N43" s="18" t="s">
        <v>269</v>
      </c>
      <c r="O43" s="18" t="s">
        <v>269</v>
      </c>
      <c r="P43" s="18" t="s">
        <v>269</v>
      </c>
      <c r="Q43" s="18" t="s">
        <v>269</v>
      </c>
      <c r="R43" s="18" t="s">
        <v>269</v>
      </c>
      <c r="S43" s="18" t="s">
        <v>269</v>
      </c>
      <c r="T43" s="18" t="s">
        <v>269</v>
      </c>
      <c r="U43" s="106"/>
      <c r="V43" s="18" t="s">
        <v>269</v>
      </c>
      <c r="W43" s="38"/>
      <c r="X43" s="19"/>
      <c r="Y43" s="20" t="s">
        <v>268</v>
      </c>
      <c r="Z43" s="20" t="s">
        <v>257</v>
      </c>
      <c r="AA43" s="19"/>
      <c r="AB43" s="19"/>
    </row>
    <row r="44" spans="2:28" x14ac:dyDescent="0.2">
      <c r="B44" s="21" t="s">
        <v>92</v>
      </c>
      <c r="C44" s="22">
        <v>35</v>
      </c>
      <c r="D44" s="21" t="s">
        <v>92</v>
      </c>
      <c r="E44" s="30" t="s">
        <v>927</v>
      </c>
      <c r="F44" s="30" t="s">
        <v>864</v>
      </c>
      <c r="G44" s="30" t="s">
        <v>929</v>
      </c>
      <c r="H44" s="30" t="s">
        <v>866</v>
      </c>
      <c r="I44" s="18" t="s">
        <v>269</v>
      </c>
      <c r="J44" s="23" t="s">
        <v>635</v>
      </c>
      <c r="K44" s="18" t="s">
        <v>269</v>
      </c>
      <c r="L44" s="23" t="s">
        <v>636</v>
      </c>
      <c r="M44" s="21" t="s">
        <v>93</v>
      </c>
      <c r="N44" s="18" t="s">
        <v>269</v>
      </c>
      <c r="O44" s="18" t="s">
        <v>269</v>
      </c>
      <c r="P44" s="18" t="s">
        <v>269</v>
      </c>
      <c r="Q44" s="18" t="s">
        <v>269</v>
      </c>
      <c r="R44" s="18" t="s">
        <v>269</v>
      </c>
      <c r="S44" s="18" t="s">
        <v>269</v>
      </c>
      <c r="T44" s="21" t="s">
        <v>271</v>
      </c>
      <c r="U44" s="106"/>
      <c r="V44" s="18" t="s">
        <v>269</v>
      </c>
      <c r="W44" s="38" t="str">
        <f>_xlfn.IFS(AND(COUNTIF(U44,"SCB*")=1, 'PCH176'!H60&gt;=2), "See the Notice *2", TRUE, "")</f>
        <v/>
      </c>
      <c r="X44" s="19"/>
      <c r="Y44" s="20" t="s">
        <v>268</v>
      </c>
      <c r="Z44" s="20" t="s">
        <v>258</v>
      </c>
      <c r="AA44" s="19"/>
      <c r="AB44" s="19"/>
    </row>
    <row r="45" spans="2:28" x14ac:dyDescent="0.2">
      <c r="B45" s="21" t="s">
        <v>94</v>
      </c>
      <c r="C45" s="22">
        <v>36</v>
      </c>
      <c r="D45" s="21" t="s">
        <v>94</v>
      </c>
      <c r="E45" s="30" t="s">
        <v>911</v>
      </c>
      <c r="F45" s="30" t="s">
        <v>931</v>
      </c>
      <c r="G45" s="30" t="s">
        <v>913</v>
      </c>
      <c r="H45" s="30" t="s">
        <v>932</v>
      </c>
      <c r="I45" s="18" t="s">
        <v>269</v>
      </c>
      <c r="J45" s="23" t="s">
        <v>637</v>
      </c>
      <c r="K45" s="23" t="s">
        <v>638</v>
      </c>
      <c r="L45" s="23" t="s">
        <v>639</v>
      </c>
      <c r="M45" s="21" t="s">
        <v>95</v>
      </c>
      <c r="N45" s="18" t="s">
        <v>269</v>
      </c>
      <c r="O45" s="18" t="s">
        <v>269</v>
      </c>
      <c r="P45" s="18" t="s">
        <v>269</v>
      </c>
      <c r="Q45" s="18" t="s">
        <v>269</v>
      </c>
      <c r="R45" s="18" t="s">
        <v>269</v>
      </c>
      <c r="S45" s="18" t="s">
        <v>269</v>
      </c>
      <c r="T45" s="21" t="s">
        <v>272</v>
      </c>
      <c r="U45" s="106"/>
      <c r="V45" s="18" t="s">
        <v>269</v>
      </c>
      <c r="W45" s="38" t="str">
        <f>_xlfn.IFS(AND(COUNTIF(U45,"SCB*")=1, 'PCH176'!H60&gt;=2), "See the Notice *2", TRUE, "")</f>
        <v/>
      </c>
      <c r="X45" s="19"/>
      <c r="Y45" s="20" t="s">
        <v>268</v>
      </c>
      <c r="Z45" s="20" t="s">
        <v>258</v>
      </c>
      <c r="AA45" s="19"/>
      <c r="AB45" s="19"/>
    </row>
    <row r="46" spans="2:28" x14ac:dyDescent="0.2">
      <c r="B46" s="21" t="s">
        <v>96</v>
      </c>
      <c r="C46" s="22">
        <v>37</v>
      </c>
      <c r="D46" s="21" t="s">
        <v>96</v>
      </c>
      <c r="E46" s="30" t="s">
        <v>923</v>
      </c>
      <c r="F46" s="30" t="s">
        <v>916</v>
      </c>
      <c r="G46" s="30" t="s">
        <v>925</v>
      </c>
      <c r="H46" s="30" t="s">
        <v>918</v>
      </c>
      <c r="I46" s="18" t="s">
        <v>269</v>
      </c>
      <c r="J46" s="23" t="s">
        <v>640</v>
      </c>
      <c r="K46" s="23" t="s">
        <v>641</v>
      </c>
      <c r="L46" s="23" t="s">
        <v>642</v>
      </c>
      <c r="M46" s="21" t="s">
        <v>97</v>
      </c>
      <c r="N46" s="21" t="s">
        <v>98</v>
      </c>
      <c r="O46" s="18" t="s">
        <v>269</v>
      </c>
      <c r="P46" s="18" t="s">
        <v>269</v>
      </c>
      <c r="Q46" s="18" t="s">
        <v>269</v>
      </c>
      <c r="R46" s="18" t="s">
        <v>269</v>
      </c>
      <c r="S46" s="18" t="s">
        <v>269</v>
      </c>
      <c r="T46" s="21" t="s">
        <v>273</v>
      </c>
      <c r="U46" s="106"/>
      <c r="V46" s="18" t="s">
        <v>269</v>
      </c>
      <c r="W46" s="38" t="str">
        <f>_xlfn.IFS(AND(COUNTIF(U46,"SCB*")=1, 'PCH176'!H60&gt;=2), "See the Notice *2", TRUE, "")</f>
        <v/>
      </c>
      <c r="X46" s="19"/>
      <c r="Y46" s="20" t="s">
        <v>268</v>
      </c>
      <c r="Z46" s="20" t="s">
        <v>258</v>
      </c>
      <c r="AA46" s="19"/>
      <c r="AB46" s="19"/>
    </row>
    <row r="47" spans="2:28" x14ac:dyDescent="0.2">
      <c r="B47" s="21" t="s">
        <v>99</v>
      </c>
      <c r="C47" s="22">
        <v>38</v>
      </c>
      <c r="D47" s="21" t="s">
        <v>99</v>
      </c>
      <c r="E47" s="30" t="s">
        <v>907</v>
      </c>
      <c r="F47" s="30" t="s">
        <v>928</v>
      </c>
      <c r="G47" s="30" t="s">
        <v>909</v>
      </c>
      <c r="H47" s="30" t="s">
        <v>930</v>
      </c>
      <c r="I47" s="18" t="s">
        <v>269</v>
      </c>
      <c r="J47" s="23" t="s">
        <v>643</v>
      </c>
      <c r="K47" s="18" t="s">
        <v>269</v>
      </c>
      <c r="L47" s="23" t="s">
        <v>644</v>
      </c>
      <c r="M47" s="21" t="s">
        <v>100</v>
      </c>
      <c r="N47" s="21" t="s">
        <v>101</v>
      </c>
      <c r="O47" s="18" t="s">
        <v>269</v>
      </c>
      <c r="P47" s="21" t="s">
        <v>102</v>
      </c>
      <c r="Q47" s="18" t="s">
        <v>269</v>
      </c>
      <c r="R47" s="18" t="s">
        <v>269</v>
      </c>
      <c r="S47" s="18" t="s">
        <v>269</v>
      </c>
      <c r="T47" s="21" t="s">
        <v>274</v>
      </c>
      <c r="U47" s="106"/>
      <c r="V47" s="18" t="s">
        <v>269</v>
      </c>
      <c r="W47" s="38" t="str">
        <f>_xlfn.IFS(AND(COUNTIF(U47,"SCB*")=1, 'PCH176'!H60&gt;=2), "See the Notice *2", TRUE, "")</f>
        <v/>
      </c>
      <c r="X47" s="19"/>
      <c r="Y47" s="20" t="s">
        <v>268</v>
      </c>
      <c r="Z47" s="20" t="s">
        <v>258</v>
      </c>
      <c r="AA47" s="19"/>
      <c r="AB47" s="19"/>
    </row>
    <row r="48" spans="2:28" x14ac:dyDescent="0.2">
      <c r="B48" s="21" t="s">
        <v>103</v>
      </c>
      <c r="C48" s="22">
        <v>39</v>
      </c>
      <c r="D48" s="21" t="s">
        <v>103</v>
      </c>
      <c r="E48" s="30" t="s">
        <v>919</v>
      </c>
      <c r="F48" s="30" t="s">
        <v>912</v>
      </c>
      <c r="G48" s="30" t="s">
        <v>921</v>
      </c>
      <c r="H48" s="30" t="s">
        <v>914</v>
      </c>
      <c r="I48" s="18" t="s">
        <v>269</v>
      </c>
      <c r="J48" s="18" t="s">
        <v>269</v>
      </c>
      <c r="K48" s="18" t="s">
        <v>269</v>
      </c>
      <c r="L48" s="23" t="s">
        <v>645</v>
      </c>
      <c r="M48" s="21" t="s">
        <v>104</v>
      </c>
      <c r="N48" s="18" t="s">
        <v>269</v>
      </c>
      <c r="O48" s="18" t="s">
        <v>269</v>
      </c>
      <c r="P48" s="18" t="s">
        <v>269</v>
      </c>
      <c r="Q48" s="18" t="s">
        <v>269</v>
      </c>
      <c r="R48" s="18" t="s">
        <v>269</v>
      </c>
      <c r="S48" s="18" t="s">
        <v>269</v>
      </c>
      <c r="T48" s="21" t="s">
        <v>275</v>
      </c>
      <c r="U48" s="106"/>
      <c r="V48" s="18" t="s">
        <v>269</v>
      </c>
      <c r="W48" s="38" t="str">
        <f>_xlfn.IFS(AND(COUNTIF(U48,"SCB*")=1, 'PCH176'!H60&gt;=2), "See the Notice *2", TRUE, "")</f>
        <v/>
      </c>
      <c r="X48" s="19"/>
      <c r="Y48" s="20" t="s">
        <v>268</v>
      </c>
      <c r="Z48" s="20" t="s">
        <v>258</v>
      </c>
      <c r="AA48" s="19"/>
      <c r="AB48" s="19"/>
    </row>
    <row r="49" spans="2:28" x14ac:dyDescent="0.2">
      <c r="B49" s="21" t="s">
        <v>105</v>
      </c>
      <c r="C49" s="22">
        <v>40</v>
      </c>
      <c r="D49" s="21" t="s">
        <v>105</v>
      </c>
      <c r="E49" s="30" t="s">
        <v>903</v>
      </c>
      <c r="F49" s="30" t="s">
        <v>924</v>
      </c>
      <c r="G49" s="30" t="s">
        <v>905</v>
      </c>
      <c r="H49" s="30" t="s">
        <v>926</v>
      </c>
      <c r="I49" s="18" t="s">
        <v>269</v>
      </c>
      <c r="J49" s="18" t="s">
        <v>269</v>
      </c>
      <c r="K49" s="18" t="s">
        <v>269</v>
      </c>
      <c r="L49" s="23" t="s">
        <v>646</v>
      </c>
      <c r="M49" s="21" t="s">
        <v>106</v>
      </c>
      <c r="N49" s="18" t="s">
        <v>269</v>
      </c>
      <c r="O49" s="18" t="s">
        <v>269</v>
      </c>
      <c r="P49" s="18" t="s">
        <v>269</v>
      </c>
      <c r="Q49" s="18" t="s">
        <v>269</v>
      </c>
      <c r="R49" s="18" t="s">
        <v>269</v>
      </c>
      <c r="S49" s="18" t="s">
        <v>269</v>
      </c>
      <c r="T49" s="21" t="s">
        <v>276</v>
      </c>
      <c r="U49" s="106"/>
      <c r="V49" s="18" t="s">
        <v>269</v>
      </c>
      <c r="W49" s="38" t="str">
        <f>_xlfn.IFS(AND(COUNTIF(U49,"SCB*")=1, 'PCH176'!H60&gt;=2), "See the Notice *2", TRUE, "")</f>
        <v/>
      </c>
      <c r="X49" s="19"/>
      <c r="Y49" s="20" t="s">
        <v>268</v>
      </c>
      <c r="Z49" s="20" t="s">
        <v>258</v>
      </c>
      <c r="AA49" s="19"/>
      <c r="AB49" s="19"/>
    </row>
    <row r="50" spans="2:28" x14ac:dyDescent="0.2">
      <c r="B50" s="21" t="s">
        <v>107</v>
      </c>
      <c r="C50" s="22">
        <v>41</v>
      </c>
      <c r="D50" s="21" t="s">
        <v>107</v>
      </c>
      <c r="E50" s="30" t="s">
        <v>915</v>
      </c>
      <c r="F50" s="30" t="s">
        <v>908</v>
      </c>
      <c r="G50" s="30" t="s">
        <v>917</v>
      </c>
      <c r="H50" s="30" t="s">
        <v>910</v>
      </c>
      <c r="I50" s="18" t="s">
        <v>269</v>
      </c>
      <c r="J50" s="18" t="s">
        <v>269</v>
      </c>
      <c r="K50" s="18" t="s">
        <v>269</v>
      </c>
      <c r="L50" s="23" t="s">
        <v>647</v>
      </c>
      <c r="M50" s="18" t="s">
        <v>269</v>
      </c>
      <c r="N50" s="18" t="s">
        <v>269</v>
      </c>
      <c r="O50" s="21" t="s">
        <v>108</v>
      </c>
      <c r="P50" s="18" t="s">
        <v>269</v>
      </c>
      <c r="Q50" s="18" t="s">
        <v>269</v>
      </c>
      <c r="R50" s="18" t="s">
        <v>269</v>
      </c>
      <c r="S50" s="18" t="s">
        <v>269</v>
      </c>
      <c r="T50" s="21" t="s">
        <v>277</v>
      </c>
      <c r="U50" s="29"/>
      <c r="V50" s="18" t="s">
        <v>269</v>
      </c>
      <c r="W50" s="38" t="str">
        <f>_xlfn.IFS(AND(COUNTIF(U50,"SCB*")=1, 'PCH176'!H60&gt;=2), "See the Notice *2", TRUE, "")</f>
        <v/>
      </c>
      <c r="X50" s="19"/>
      <c r="Y50" s="20" t="s">
        <v>268</v>
      </c>
      <c r="Z50" s="20" t="s">
        <v>258</v>
      </c>
      <c r="AA50" s="19"/>
      <c r="AB50" s="19"/>
    </row>
    <row r="51" spans="2:28" x14ac:dyDescent="0.2">
      <c r="B51" s="21" t="s">
        <v>109</v>
      </c>
      <c r="C51" s="22">
        <v>42</v>
      </c>
      <c r="D51" s="21" t="s">
        <v>109</v>
      </c>
      <c r="E51" s="30" t="s">
        <v>899</v>
      </c>
      <c r="F51" s="30" t="s">
        <v>920</v>
      </c>
      <c r="G51" s="30" t="s">
        <v>901</v>
      </c>
      <c r="H51" s="30" t="s">
        <v>922</v>
      </c>
      <c r="I51" s="18" t="s">
        <v>269</v>
      </c>
      <c r="J51" s="18" t="s">
        <v>269</v>
      </c>
      <c r="K51" s="18" t="s">
        <v>269</v>
      </c>
      <c r="L51" s="18" t="s">
        <v>269</v>
      </c>
      <c r="M51" s="18" t="s">
        <v>269</v>
      </c>
      <c r="N51" s="18" t="s">
        <v>269</v>
      </c>
      <c r="O51" s="21" t="s">
        <v>110</v>
      </c>
      <c r="P51" s="18" t="s">
        <v>269</v>
      </c>
      <c r="Q51" s="18" t="s">
        <v>269</v>
      </c>
      <c r="R51" s="18" t="s">
        <v>269</v>
      </c>
      <c r="S51" s="18" t="s">
        <v>269</v>
      </c>
      <c r="T51" s="21" t="s">
        <v>278</v>
      </c>
      <c r="U51" s="29"/>
      <c r="V51" s="18" t="s">
        <v>269</v>
      </c>
      <c r="W51" s="38"/>
      <c r="X51" s="19"/>
      <c r="Y51" s="20" t="s">
        <v>268</v>
      </c>
      <c r="Z51" s="20" t="s">
        <v>258</v>
      </c>
      <c r="AA51" s="19"/>
      <c r="AB51" s="19"/>
    </row>
    <row r="52" spans="2:28" x14ac:dyDescent="0.2">
      <c r="B52" s="28" t="s">
        <v>257</v>
      </c>
      <c r="C52" s="17">
        <v>43</v>
      </c>
      <c r="D52" s="18" t="s">
        <v>269</v>
      </c>
      <c r="E52" s="18" t="s">
        <v>269</v>
      </c>
      <c r="F52" s="18" t="s">
        <v>269</v>
      </c>
      <c r="G52" s="18" t="s">
        <v>269</v>
      </c>
      <c r="H52" s="18" t="s">
        <v>269</v>
      </c>
      <c r="I52" s="18" t="s">
        <v>269</v>
      </c>
      <c r="J52" s="18" t="s">
        <v>269</v>
      </c>
      <c r="K52" s="18" t="s">
        <v>269</v>
      </c>
      <c r="L52" s="18" t="s">
        <v>269</v>
      </c>
      <c r="M52" s="18" t="s">
        <v>269</v>
      </c>
      <c r="N52" s="18" t="s">
        <v>269</v>
      </c>
      <c r="O52" s="18" t="s">
        <v>269</v>
      </c>
      <c r="P52" s="18" t="s">
        <v>269</v>
      </c>
      <c r="Q52" s="18" t="s">
        <v>269</v>
      </c>
      <c r="R52" s="18" t="s">
        <v>269</v>
      </c>
      <c r="S52" s="18" t="s">
        <v>269</v>
      </c>
      <c r="T52" s="18" t="s">
        <v>269</v>
      </c>
      <c r="U52" s="28"/>
      <c r="V52" s="18" t="s">
        <v>269</v>
      </c>
      <c r="W52" s="38"/>
      <c r="X52" s="19" t="s">
        <v>544</v>
      </c>
      <c r="Y52" s="20" t="s">
        <v>558</v>
      </c>
      <c r="Z52" s="19" t="s">
        <v>558</v>
      </c>
      <c r="AA52" s="19"/>
      <c r="AB52" s="19"/>
    </row>
    <row r="53" spans="2:28" x14ac:dyDescent="0.2">
      <c r="B53" s="28" t="s">
        <v>258</v>
      </c>
      <c r="C53" s="17">
        <v>44</v>
      </c>
      <c r="D53" s="18" t="s">
        <v>269</v>
      </c>
      <c r="E53" s="18" t="s">
        <v>269</v>
      </c>
      <c r="F53" s="18" t="s">
        <v>269</v>
      </c>
      <c r="G53" s="18" t="s">
        <v>269</v>
      </c>
      <c r="H53" s="18" t="s">
        <v>269</v>
      </c>
      <c r="I53" s="18" t="s">
        <v>269</v>
      </c>
      <c r="J53" s="18" t="s">
        <v>269</v>
      </c>
      <c r="K53" s="18" t="s">
        <v>269</v>
      </c>
      <c r="L53" s="18" t="s">
        <v>269</v>
      </c>
      <c r="M53" s="18" t="s">
        <v>269</v>
      </c>
      <c r="N53" s="18" t="s">
        <v>269</v>
      </c>
      <c r="O53" s="18" t="s">
        <v>269</v>
      </c>
      <c r="P53" s="18" t="s">
        <v>269</v>
      </c>
      <c r="Q53" s="18" t="s">
        <v>269</v>
      </c>
      <c r="R53" s="18" t="s">
        <v>269</v>
      </c>
      <c r="S53" s="18" t="s">
        <v>269</v>
      </c>
      <c r="T53" s="18" t="s">
        <v>269</v>
      </c>
      <c r="U53" s="28"/>
      <c r="V53" s="18" t="s">
        <v>269</v>
      </c>
      <c r="W53" s="38"/>
      <c r="X53" s="19" t="s">
        <v>546</v>
      </c>
      <c r="Y53" s="20" t="s">
        <v>558</v>
      </c>
      <c r="Z53" s="19" t="s">
        <v>558</v>
      </c>
      <c r="AA53" s="19"/>
      <c r="AB53" s="19"/>
    </row>
    <row r="54" spans="2:28" x14ac:dyDescent="0.2">
      <c r="B54" s="16" t="s">
        <v>256</v>
      </c>
      <c r="C54" s="17">
        <v>45</v>
      </c>
      <c r="D54" s="18" t="s">
        <v>269</v>
      </c>
      <c r="E54" s="18" t="s">
        <v>269</v>
      </c>
      <c r="F54" s="18" t="s">
        <v>269</v>
      </c>
      <c r="G54" s="18" t="s">
        <v>269</v>
      </c>
      <c r="H54" s="18" t="s">
        <v>269</v>
      </c>
      <c r="I54" s="18" t="s">
        <v>269</v>
      </c>
      <c r="J54" s="18" t="s">
        <v>269</v>
      </c>
      <c r="K54" s="18" t="s">
        <v>269</v>
      </c>
      <c r="L54" s="18" t="s">
        <v>269</v>
      </c>
      <c r="M54" s="18" t="s">
        <v>269</v>
      </c>
      <c r="N54" s="18" t="s">
        <v>269</v>
      </c>
      <c r="O54" s="18" t="s">
        <v>269</v>
      </c>
      <c r="P54" s="18" t="s">
        <v>269</v>
      </c>
      <c r="Q54" s="18" t="s">
        <v>269</v>
      </c>
      <c r="R54" s="18" t="s">
        <v>269</v>
      </c>
      <c r="S54" s="18" t="s">
        <v>269</v>
      </c>
      <c r="T54" s="18" t="s">
        <v>269</v>
      </c>
      <c r="U54" s="16"/>
      <c r="V54" s="18" t="s">
        <v>269</v>
      </c>
      <c r="W54" s="38"/>
      <c r="X54" s="19" t="s">
        <v>545</v>
      </c>
      <c r="Y54" s="20" t="s">
        <v>558</v>
      </c>
      <c r="Z54" s="19" t="s">
        <v>558</v>
      </c>
      <c r="AA54" s="19"/>
      <c r="AB54" s="19"/>
    </row>
    <row r="55" spans="2:28" x14ac:dyDescent="0.2">
      <c r="B55" s="16" t="s">
        <v>256</v>
      </c>
      <c r="C55" s="17">
        <v>46</v>
      </c>
      <c r="D55" s="18" t="s">
        <v>269</v>
      </c>
      <c r="E55" s="18" t="s">
        <v>269</v>
      </c>
      <c r="F55" s="18" t="s">
        <v>269</v>
      </c>
      <c r="G55" s="18" t="s">
        <v>269</v>
      </c>
      <c r="H55" s="18" t="s">
        <v>269</v>
      </c>
      <c r="I55" s="18" t="s">
        <v>269</v>
      </c>
      <c r="J55" s="18" t="s">
        <v>269</v>
      </c>
      <c r="K55" s="18" t="s">
        <v>269</v>
      </c>
      <c r="L55" s="18" t="s">
        <v>269</v>
      </c>
      <c r="M55" s="18" t="s">
        <v>269</v>
      </c>
      <c r="N55" s="18" t="s">
        <v>269</v>
      </c>
      <c r="O55" s="18" t="s">
        <v>269</v>
      </c>
      <c r="P55" s="18" t="s">
        <v>269</v>
      </c>
      <c r="Q55" s="18" t="s">
        <v>269</v>
      </c>
      <c r="R55" s="18" t="s">
        <v>269</v>
      </c>
      <c r="S55" s="18" t="s">
        <v>269</v>
      </c>
      <c r="T55" s="18" t="s">
        <v>269</v>
      </c>
      <c r="U55" s="16"/>
      <c r="V55" s="18" t="s">
        <v>269</v>
      </c>
      <c r="W55" s="38"/>
      <c r="X55" s="19" t="s">
        <v>545</v>
      </c>
      <c r="Y55" s="20" t="s">
        <v>558</v>
      </c>
      <c r="Z55" s="19" t="s">
        <v>558</v>
      </c>
      <c r="AA55" s="19"/>
      <c r="AB55" s="19"/>
    </row>
    <row r="56" spans="2:28" x14ac:dyDescent="0.2">
      <c r="B56" s="28" t="s">
        <v>259</v>
      </c>
      <c r="C56" s="17">
        <v>47</v>
      </c>
      <c r="D56" s="18" t="s">
        <v>269</v>
      </c>
      <c r="E56" s="18" t="s">
        <v>269</v>
      </c>
      <c r="F56" s="18" t="s">
        <v>269</v>
      </c>
      <c r="G56" s="18" t="s">
        <v>269</v>
      </c>
      <c r="H56" s="18" t="s">
        <v>269</v>
      </c>
      <c r="I56" s="18" t="s">
        <v>269</v>
      </c>
      <c r="J56" s="18" t="s">
        <v>269</v>
      </c>
      <c r="K56" s="18" t="s">
        <v>269</v>
      </c>
      <c r="L56" s="18" t="s">
        <v>269</v>
      </c>
      <c r="M56" s="18" t="s">
        <v>269</v>
      </c>
      <c r="N56" s="18" t="s">
        <v>269</v>
      </c>
      <c r="O56" s="18" t="s">
        <v>269</v>
      </c>
      <c r="P56" s="18" t="s">
        <v>269</v>
      </c>
      <c r="Q56" s="18" t="s">
        <v>269</v>
      </c>
      <c r="R56" s="18" t="s">
        <v>269</v>
      </c>
      <c r="S56" s="18" t="s">
        <v>269</v>
      </c>
      <c r="T56" s="18" t="s">
        <v>269</v>
      </c>
      <c r="U56" s="28"/>
      <c r="V56" s="18" t="s">
        <v>269</v>
      </c>
      <c r="W56" s="38"/>
      <c r="X56" s="19" t="s">
        <v>547</v>
      </c>
      <c r="Y56" s="20" t="s">
        <v>558</v>
      </c>
      <c r="Z56" s="19" t="s">
        <v>558</v>
      </c>
      <c r="AA56" s="19"/>
      <c r="AB56" s="19"/>
    </row>
    <row r="57" spans="2:28" x14ac:dyDescent="0.2">
      <c r="B57" s="21" t="s">
        <v>111</v>
      </c>
      <c r="C57" s="22">
        <v>48</v>
      </c>
      <c r="D57" s="21" t="s">
        <v>111</v>
      </c>
      <c r="E57" s="30" t="s">
        <v>937</v>
      </c>
      <c r="F57" s="30" t="s">
        <v>904</v>
      </c>
      <c r="G57" s="30" t="s">
        <v>938</v>
      </c>
      <c r="H57" s="30" t="s">
        <v>906</v>
      </c>
      <c r="I57" s="18" t="s">
        <v>269</v>
      </c>
      <c r="J57" s="23" t="s">
        <v>648</v>
      </c>
      <c r="K57" s="18" t="s">
        <v>269</v>
      </c>
      <c r="L57" s="23" t="s">
        <v>649</v>
      </c>
      <c r="M57" s="21" t="s">
        <v>100</v>
      </c>
      <c r="N57" s="18" t="s">
        <v>269</v>
      </c>
      <c r="O57" s="18" t="s">
        <v>269</v>
      </c>
      <c r="P57" s="18" t="s">
        <v>269</v>
      </c>
      <c r="Q57" s="18" t="s">
        <v>269</v>
      </c>
      <c r="R57" s="18" t="s">
        <v>269</v>
      </c>
      <c r="S57" s="18" t="s">
        <v>269</v>
      </c>
      <c r="T57" s="21" t="s">
        <v>279</v>
      </c>
      <c r="U57" s="29"/>
      <c r="V57" s="18" t="s">
        <v>269</v>
      </c>
      <c r="W57" s="38" t="str">
        <f>_xlfn.IFS(AND(COUNTIF(U57,"SCB*")=1, 'PCH176'!I60&gt;=2), "See the Notice *2", TRUE, "")</f>
        <v/>
      </c>
      <c r="X57" s="19"/>
      <c r="Y57" s="20" t="s">
        <v>268</v>
      </c>
      <c r="Z57" s="20" t="s">
        <v>258</v>
      </c>
      <c r="AA57" s="19"/>
      <c r="AB57" s="19"/>
    </row>
    <row r="58" spans="2:28" x14ac:dyDescent="0.2">
      <c r="B58" s="21" t="s">
        <v>112</v>
      </c>
      <c r="C58" s="22">
        <v>49</v>
      </c>
      <c r="D58" s="21" t="s">
        <v>112</v>
      </c>
      <c r="E58" s="30" t="s">
        <v>939</v>
      </c>
      <c r="F58" s="30" t="s">
        <v>940</v>
      </c>
      <c r="G58" s="30" t="s">
        <v>941</v>
      </c>
      <c r="H58" s="30" t="s">
        <v>942</v>
      </c>
      <c r="I58" s="18" t="s">
        <v>269</v>
      </c>
      <c r="J58" s="23" t="s">
        <v>650</v>
      </c>
      <c r="K58" s="23" t="s">
        <v>651</v>
      </c>
      <c r="L58" s="23" t="s">
        <v>652</v>
      </c>
      <c r="M58" s="21" t="s">
        <v>104</v>
      </c>
      <c r="N58" s="18" t="s">
        <v>269</v>
      </c>
      <c r="O58" s="18" t="s">
        <v>269</v>
      </c>
      <c r="P58" s="18" t="s">
        <v>269</v>
      </c>
      <c r="Q58" s="18" t="s">
        <v>269</v>
      </c>
      <c r="R58" s="18" t="s">
        <v>269</v>
      </c>
      <c r="S58" s="18" t="s">
        <v>269</v>
      </c>
      <c r="T58" s="21" t="s">
        <v>280</v>
      </c>
      <c r="U58" s="24"/>
      <c r="V58" s="18" t="s">
        <v>269</v>
      </c>
      <c r="W58" s="38" t="str">
        <f>_xlfn.IFS(AND(COUNTIF(U58,"SCB*")=1, 'PCH176'!I60&gt;=2), "See the Notice *2", TRUE, "")</f>
        <v/>
      </c>
      <c r="X58" s="19"/>
      <c r="Y58" s="20" t="s">
        <v>268</v>
      </c>
      <c r="Z58" s="20" t="s">
        <v>258</v>
      </c>
      <c r="AA58" s="19"/>
      <c r="AB58" s="19"/>
    </row>
    <row r="59" spans="2:28" x14ac:dyDescent="0.2">
      <c r="B59" s="21" t="s">
        <v>113</v>
      </c>
      <c r="C59" s="22">
        <v>50</v>
      </c>
      <c r="D59" s="21" t="s">
        <v>113</v>
      </c>
      <c r="E59" s="30" t="s">
        <v>943</v>
      </c>
      <c r="F59" s="30" t="s">
        <v>944</v>
      </c>
      <c r="G59" s="30" t="s">
        <v>945</v>
      </c>
      <c r="H59" s="30" t="s">
        <v>946</v>
      </c>
      <c r="I59" s="18" t="s">
        <v>269</v>
      </c>
      <c r="J59" s="23" t="s">
        <v>653</v>
      </c>
      <c r="K59" s="23" t="s">
        <v>654</v>
      </c>
      <c r="L59" s="23" t="s">
        <v>655</v>
      </c>
      <c r="M59" s="21" t="s">
        <v>106</v>
      </c>
      <c r="N59" s="18" t="s">
        <v>269</v>
      </c>
      <c r="O59" s="18" t="s">
        <v>269</v>
      </c>
      <c r="P59" s="18" t="s">
        <v>269</v>
      </c>
      <c r="Q59" s="18" t="s">
        <v>269</v>
      </c>
      <c r="R59" s="18" t="s">
        <v>269</v>
      </c>
      <c r="S59" s="18" t="s">
        <v>269</v>
      </c>
      <c r="T59" s="21" t="s">
        <v>281</v>
      </c>
      <c r="U59" s="24"/>
      <c r="V59" s="18" t="s">
        <v>269</v>
      </c>
      <c r="W59" s="38" t="str">
        <f>_xlfn.IFS(AND(COUNTIF(U59,"SCB*")=1, 'PCH176'!I60&gt;=2), "See the Notice *2", TRUE, "")</f>
        <v/>
      </c>
      <c r="X59" s="19"/>
      <c r="Y59" s="20" t="s">
        <v>268</v>
      </c>
      <c r="Z59" s="20" t="s">
        <v>258</v>
      </c>
      <c r="AA59" s="19"/>
      <c r="AB59" s="19"/>
    </row>
    <row r="60" spans="2:28" x14ac:dyDescent="0.2">
      <c r="B60" s="21" t="s">
        <v>114</v>
      </c>
      <c r="C60" s="22">
        <v>51</v>
      </c>
      <c r="D60" s="21" t="s">
        <v>114</v>
      </c>
      <c r="E60" s="30" t="s">
        <v>947</v>
      </c>
      <c r="F60" s="30" t="s">
        <v>948</v>
      </c>
      <c r="G60" s="30" t="s">
        <v>949</v>
      </c>
      <c r="H60" s="30" t="s">
        <v>950</v>
      </c>
      <c r="I60" s="18" t="s">
        <v>269</v>
      </c>
      <c r="J60" s="23" t="s">
        <v>656</v>
      </c>
      <c r="K60" s="18" t="s">
        <v>269</v>
      </c>
      <c r="L60" s="23" t="s">
        <v>657</v>
      </c>
      <c r="M60" s="18" t="s">
        <v>269</v>
      </c>
      <c r="N60" s="18" t="s">
        <v>269</v>
      </c>
      <c r="O60" s="18" t="s">
        <v>269</v>
      </c>
      <c r="P60" s="18" t="s">
        <v>269</v>
      </c>
      <c r="Q60" s="18" t="s">
        <v>269</v>
      </c>
      <c r="R60" s="18" t="s">
        <v>269</v>
      </c>
      <c r="S60" s="18" t="s">
        <v>269</v>
      </c>
      <c r="T60" s="21" t="s">
        <v>282</v>
      </c>
      <c r="U60" s="24"/>
      <c r="V60" s="18" t="s">
        <v>269</v>
      </c>
      <c r="W60" s="38" t="str">
        <f>_xlfn.IFS(AND(COUNTIF(U60,"SCB*")=1, 'PCH176'!I60&gt;=2), "See the Notice *2", TRUE, "")</f>
        <v/>
      </c>
      <c r="X60" s="19"/>
      <c r="Y60" s="20" t="s">
        <v>268</v>
      </c>
      <c r="Z60" s="20" t="s">
        <v>258</v>
      </c>
      <c r="AA60" s="19"/>
      <c r="AB60" s="19"/>
    </row>
    <row r="61" spans="2:28" x14ac:dyDescent="0.2">
      <c r="B61" s="21" t="s">
        <v>115</v>
      </c>
      <c r="C61" s="22">
        <v>52</v>
      </c>
      <c r="D61" s="21" t="s">
        <v>115</v>
      </c>
      <c r="E61" s="30" t="s">
        <v>951</v>
      </c>
      <c r="F61" s="30" t="s">
        <v>952</v>
      </c>
      <c r="G61" s="30" t="s">
        <v>953</v>
      </c>
      <c r="H61" s="30" t="s">
        <v>954</v>
      </c>
      <c r="I61" s="18" t="s">
        <v>269</v>
      </c>
      <c r="J61" s="18" t="s">
        <v>269</v>
      </c>
      <c r="K61" s="18" t="s">
        <v>269</v>
      </c>
      <c r="L61" s="23" t="s">
        <v>658</v>
      </c>
      <c r="M61" s="18" t="s">
        <v>269</v>
      </c>
      <c r="N61" s="18" t="s">
        <v>269</v>
      </c>
      <c r="O61" s="18" t="s">
        <v>269</v>
      </c>
      <c r="P61" s="18" t="s">
        <v>269</v>
      </c>
      <c r="Q61" s="18" t="s">
        <v>269</v>
      </c>
      <c r="R61" s="18" t="s">
        <v>269</v>
      </c>
      <c r="S61" s="18" t="s">
        <v>269</v>
      </c>
      <c r="T61" s="21" t="s">
        <v>283</v>
      </c>
      <c r="U61" s="24"/>
      <c r="V61" s="18" t="s">
        <v>269</v>
      </c>
      <c r="W61" s="38" t="str">
        <f>_xlfn.IFS(AND(COUNTIF(U61,"SCB*")=1, 'PCH176'!I60&gt;=2), "See the Notice *2", TRUE, "")</f>
        <v/>
      </c>
      <c r="X61" s="19"/>
      <c r="Y61" s="20" t="s">
        <v>268</v>
      </c>
      <c r="Z61" s="20" t="s">
        <v>258</v>
      </c>
      <c r="AA61" s="19"/>
      <c r="AB61" s="19"/>
    </row>
    <row r="62" spans="2:28" x14ac:dyDescent="0.2">
      <c r="B62" s="21" t="s">
        <v>116</v>
      </c>
      <c r="C62" s="22">
        <v>53</v>
      </c>
      <c r="D62" s="21" t="s">
        <v>116</v>
      </c>
      <c r="E62" s="30" t="s">
        <v>855</v>
      </c>
      <c r="F62" s="30" t="s">
        <v>955</v>
      </c>
      <c r="G62" s="30" t="s">
        <v>857</v>
      </c>
      <c r="H62" s="30" t="s">
        <v>956</v>
      </c>
      <c r="I62" s="18" t="s">
        <v>269</v>
      </c>
      <c r="J62" s="18" t="s">
        <v>269</v>
      </c>
      <c r="K62" s="18" t="s">
        <v>269</v>
      </c>
      <c r="L62" s="23" t="s">
        <v>659</v>
      </c>
      <c r="M62" s="18" t="s">
        <v>269</v>
      </c>
      <c r="N62" s="18" t="s">
        <v>269</v>
      </c>
      <c r="O62" s="18" t="s">
        <v>269</v>
      </c>
      <c r="P62" s="18" t="s">
        <v>269</v>
      </c>
      <c r="Q62" s="18" t="s">
        <v>269</v>
      </c>
      <c r="R62" s="18" t="s">
        <v>269</v>
      </c>
      <c r="S62" s="18" t="s">
        <v>269</v>
      </c>
      <c r="T62" s="21" t="s">
        <v>284</v>
      </c>
      <c r="U62" s="106"/>
      <c r="V62" s="18" t="s">
        <v>269</v>
      </c>
      <c r="W62" s="38" t="str">
        <f>_xlfn.IFS(AND(COUNTIF(U62,"SCB*")=1, 'PCH176'!I60&gt;=2), "See the Notice *2", TRUE, "")</f>
        <v/>
      </c>
      <c r="X62" s="19"/>
      <c r="Y62" s="20" t="s">
        <v>268</v>
      </c>
      <c r="Z62" s="20" t="s">
        <v>258</v>
      </c>
      <c r="AA62" s="19"/>
      <c r="AB62" s="19"/>
    </row>
    <row r="63" spans="2:28" x14ac:dyDescent="0.2">
      <c r="B63" s="21" t="s">
        <v>117</v>
      </c>
      <c r="C63" s="22">
        <v>54</v>
      </c>
      <c r="D63" s="21" t="s">
        <v>117</v>
      </c>
      <c r="E63" s="30" t="s">
        <v>957</v>
      </c>
      <c r="F63" s="30" t="s">
        <v>860</v>
      </c>
      <c r="G63" s="30" t="s">
        <v>958</v>
      </c>
      <c r="H63" s="30" t="s">
        <v>862</v>
      </c>
      <c r="I63" s="18" t="s">
        <v>269</v>
      </c>
      <c r="J63" s="18" t="s">
        <v>269</v>
      </c>
      <c r="K63" s="18" t="s">
        <v>269</v>
      </c>
      <c r="L63" s="18" t="s">
        <v>269</v>
      </c>
      <c r="M63" s="18" t="s">
        <v>269</v>
      </c>
      <c r="N63" s="18" t="s">
        <v>269</v>
      </c>
      <c r="O63" s="21" t="s">
        <v>118</v>
      </c>
      <c r="P63" s="18" t="s">
        <v>269</v>
      </c>
      <c r="Q63" s="18" t="s">
        <v>269</v>
      </c>
      <c r="R63" s="18" t="s">
        <v>269</v>
      </c>
      <c r="S63" s="18" t="s">
        <v>269</v>
      </c>
      <c r="T63" s="21" t="s">
        <v>285</v>
      </c>
      <c r="U63" s="106"/>
      <c r="V63" s="18" t="s">
        <v>269</v>
      </c>
      <c r="W63" s="38"/>
      <c r="X63" s="19"/>
      <c r="Y63" s="20" t="s">
        <v>268</v>
      </c>
      <c r="Z63" s="20" t="s">
        <v>258</v>
      </c>
      <c r="AA63" s="19"/>
      <c r="AB63" s="19"/>
    </row>
    <row r="64" spans="2:28" x14ac:dyDescent="0.2">
      <c r="B64" s="21" t="s">
        <v>119</v>
      </c>
      <c r="C64" s="22">
        <v>55</v>
      </c>
      <c r="D64" s="21" t="s">
        <v>119</v>
      </c>
      <c r="E64" s="30" t="s">
        <v>851</v>
      </c>
      <c r="F64" s="30" t="s">
        <v>959</v>
      </c>
      <c r="G64" s="30" t="s">
        <v>853</v>
      </c>
      <c r="H64" s="30" t="s">
        <v>960</v>
      </c>
      <c r="I64" s="18" t="s">
        <v>269</v>
      </c>
      <c r="J64" s="18" t="s">
        <v>269</v>
      </c>
      <c r="K64" s="18" t="s">
        <v>269</v>
      </c>
      <c r="L64" s="18" t="s">
        <v>269</v>
      </c>
      <c r="M64" s="18" t="s">
        <v>269</v>
      </c>
      <c r="N64" s="18" t="s">
        <v>269</v>
      </c>
      <c r="O64" s="21" t="s">
        <v>120</v>
      </c>
      <c r="P64" s="18" t="s">
        <v>269</v>
      </c>
      <c r="Q64" s="18" t="s">
        <v>269</v>
      </c>
      <c r="R64" s="18" t="s">
        <v>269</v>
      </c>
      <c r="S64" s="18" t="s">
        <v>269</v>
      </c>
      <c r="T64" s="21" t="s">
        <v>286</v>
      </c>
      <c r="U64" s="106"/>
      <c r="V64" s="18" t="s">
        <v>269</v>
      </c>
      <c r="W64" s="38"/>
      <c r="X64" s="19"/>
      <c r="Y64" s="20" t="s">
        <v>268</v>
      </c>
      <c r="Z64" s="20" t="s">
        <v>258</v>
      </c>
      <c r="AA64" s="19"/>
      <c r="AB64" s="19"/>
    </row>
    <row r="65" spans="2:28" x14ac:dyDescent="0.2">
      <c r="B65" s="21" t="s">
        <v>121</v>
      </c>
      <c r="C65" s="22">
        <v>56</v>
      </c>
      <c r="D65" s="21" t="s">
        <v>121</v>
      </c>
      <c r="E65" s="30" t="s">
        <v>961</v>
      </c>
      <c r="F65" s="30" t="s">
        <v>856</v>
      </c>
      <c r="G65" s="30" t="s">
        <v>962</v>
      </c>
      <c r="H65" s="30" t="s">
        <v>858</v>
      </c>
      <c r="I65" s="18" t="s">
        <v>269</v>
      </c>
      <c r="J65" s="18" t="s">
        <v>269</v>
      </c>
      <c r="K65" s="18" t="s">
        <v>269</v>
      </c>
      <c r="L65" s="18" t="s">
        <v>269</v>
      </c>
      <c r="M65" s="21" t="s">
        <v>87</v>
      </c>
      <c r="N65" s="21" t="s">
        <v>41</v>
      </c>
      <c r="O65" s="18" t="s">
        <v>269</v>
      </c>
      <c r="P65" s="18" t="s">
        <v>269</v>
      </c>
      <c r="Q65" s="18" t="s">
        <v>269</v>
      </c>
      <c r="R65" s="18" t="s">
        <v>269</v>
      </c>
      <c r="S65" s="18" t="s">
        <v>269</v>
      </c>
      <c r="T65" s="18" t="s">
        <v>269</v>
      </c>
      <c r="U65" s="106"/>
      <c r="V65" s="18" t="s">
        <v>269</v>
      </c>
      <c r="W65" s="38"/>
      <c r="X65" s="19"/>
      <c r="Y65" s="20" t="s">
        <v>268</v>
      </c>
      <c r="Z65" s="20" t="s">
        <v>258</v>
      </c>
      <c r="AA65" s="19"/>
      <c r="AB65" s="19"/>
    </row>
    <row r="66" spans="2:28" x14ac:dyDescent="0.2">
      <c r="B66" s="21" t="s">
        <v>122</v>
      </c>
      <c r="C66" s="22">
        <v>57</v>
      </c>
      <c r="D66" s="21" t="s">
        <v>122</v>
      </c>
      <c r="E66" s="30" t="s">
        <v>963</v>
      </c>
      <c r="F66" s="30" t="s">
        <v>964</v>
      </c>
      <c r="G66" s="30" t="s">
        <v>965</v>
      </c>
      <c r="H66" s="30" t="s">
        <v>966</v>
      </c>
      <c r="I66" s="18" t="s">
        <v>269</v>
      </c>
      <c r="J66" s="18" t="s">
        <v>269</v>
      </c>
      <c r="K66" s="18" t="s">
        <v>269</v>
      </c>
      <c r="L66" s="18" t="s">
        <v>269</v>
      </c>
      <c r="M66" s="21" t="s">
        <v>89</v>
      </c>
      <c r="N66" s="21" t="s">
        <v>45</v>
      </c>
      <c r="O66" s="21" t="s">
        <v>123</v>
      </c>
      <c r="P66" s="18" t="s">
        <v>269</v>
      </c>
      <c r="Q66" s="18" t="s">
        <v>269</v>
      </c>
      <c r="R66" s="18" t="s">
        <v>269</v>
      </c>
      <c r="S66" s="18" t="s">
        <v>269</v>
      </c>
      <c r="T66" s="21" t="s">
        <v>287</v>
      </c>
      <c r="U66" s="106"/>
      <c r="V66" s="18" t="s">
        <v>269</v>
      </c>
      <c r="W66" s="38"/>
      <c r="X66" s="19"/>
      <c r="Y66" s="20" t="s">
        <v>268</v>
      </c>
      <c r="Z66" s="20" t="s">
        <v>258</v>
      </c>
      <c r="AA66" s="19"/>
      <c r="AB66" s="19"/>
    </row>
    <row r="67" spans="2:28" x14ac:dyDescent="0.2">
      <c r="B67" s="21" t="s">
        <v>124</v>
      </c>
      <c r="C67" s="22">
        <v>58</v>
      </c>
      <c r="D67" s="21" t="s">
        <v>124</v>
      </c>
      <c r="E67" s="30" t="s">
        <v>967</v>
      </c>
      <c r="F67" s="30" t="s">
        <v>968</v>
      </c>
      <c r="G67" s="30" t="s">
        <v>969</v>
      </c>
      <c r="H67" s="30" t="s">
        <v>970</v>
      </c>
      <c r="I67" s="18" t="s">
        <v>269</v>
      </c>
      <c r="J67" s="18" t="s">
        <v>269</v>
      </c>
      <c r="K67" s="18" t="s">
        <v>269</v>
      </c>
      <c r="L67" s="18" t="s">
        <v>269</v>
      </c>
      <c r="M67" s="21" t="s">
        <v>91</v>
      </c>
      <c r="N67" s="18" t="s">
        <v>269</v>
      </c>
      <c r="O67" s="21" t="s">
        <v>125</v>
      </c>
      <c r="P67" s="18" t="s">
        <v>269</v>
      </c>
      <c r="Q67" s="18" t="s">
        <v>269</v>
      </c>
      <c r="R67" s="18" t="s">
        <v>269</v>
      </c>
      <c r="S67" s="18" t="s">
        <v>269</v>
      </c>
      <c r="T67" s="21" t="s">
        <v>288</v>
      </c>
      <c r="U67" s="24"/>
      <c r="V67" s="18" t="s">
        <v>269</v>
      </c>
      <c r="W67" s="38"/>
      <c r="X67" s="19"/>
      <c r="Y67" s="20" t="s">
        <v>268</v>
      </c>
      <c r="Z67" s="20" t="s">
        <v>258</v>
      </c>
      <c r="AA67" s="19"/>
      <c r="AB67" s="19"/>
    </row>
    <row r="68" spans="2:28" x14ac:dyDescent="0.2">
      <c r="B68" s="21" t="s">
        <v>126</v>
      </c>
      <c r="C68" s="22">
        <v>59</v>
      </c>
      <c r="D68" s="21" t="s">
        <v>126</v>
      </c>
      <c r="E68" s="30" t="s">
        <v>971</v>
      </c>
      <c r="F68" s="30" t="s">
        <v>972</v>
      </c>
      <c r="G68" s="30" t="s">
        <v>973</v>
      </c>
      <c r="H68" s="30" t="s">
        <v>974</v>
      </c>
      <c r="I68" s="18" t="s">
        <v>269</v>
      </c>
      <c r="J68" s="18" t="s">
        <v>269</v>
      </c>
      <c r="K68" s="18" t="s">
        <v>269</v>
      </c>
      <c r="L68" s="18" t="s">
        <v>269</v>
      </c>
      <c r="M68" s="18" t="s">
        <v>269</v>
      </c>
      <c r="N68" s="18" t="s">
        <v>269</v>
      </c>
      <c r="O68" s="18" t="s">
        <v>269</v>
      </c>
      <c r="P68" s="21" t="s">
        <v>60</v>
      </c>
      <c r="Q68" s="18" t="s">
        <v>269</v>
      </c>
      <c r="R68" s="18" t="s">
        <v>269</v>
      </c>
      <c r="S68" s="18" t="s">
        <v>269</v>
      </c>
      <c r="T68" s="21" t="s">
        <v>289</v>
      </c>
      <c r="U68" s="24"/>
      <c r="V68" s="18" t="s">
        <v>269</v>
      </c>
      <c r="W68" s="38"/>
      <c r="X68" s="19"/>
      <c r="Y68" s="20" t="s">
        <v>268</v>
      </c>
      <c r="Z68" s="20" t="s">
        <v>258</v>
      </c>
      <c r="AA68" s="19"/>
      <c r="AB68" s="19"/>
    </row>
    <row r="69" spans="2:28" x14ac:dyDescent="0.2">
      <c r="B69" s="21" t="s">
        <v>127</v>
      </c>
      <c r="C69" s="22">
        <v>60</v>
      </c>
      <c r="D69" s="21" t="s">
        <v>127</v>
      </c>
      <c r="E69" s="30" t="s">
        <v>975</v>
      </c>
      <c r="F69" s="30" t="s">
        <v>852</v>
      </c>
      <c r="G69" s="30" t="s">
        <v>976</v>
      </c>
      <c r="H69" s="30" t="s">
        <v>854</v>
      </c>
      <c r="I69" s="18" t="s">
        <v>269</v>
      </c>
      <c r="J69" s="18" t="s">
        <v>269</v>
      </c>
      <c r="K69" s="18" t="s">
        <v>269</v>
      </c>
      <c r="L69" s="18" t="s">
        <v>269</v>
      </c>
      <c r="M69" s="18" t="s">
        <v>269</v>
      </c>
      <c r="N69" s="18" t="s">
        <v>269</v>
      </c>
      <c r="O69" s="18" t="s">
        <v>269</v>
      </c>
      <c r="P69" s="21" t="s">
        <v>62</v>
      </c>
      <c r="Q69" s="18" t="s">
        <v>269</v>
      </c>
      <c r="R69" s="18" t="s">
        <v>269</v>
      </c>
      <c r="S69" s="18" t="s">
        <v>269</v>
      </c>
      <c r="T69" s="21" t="s">
        <v>290</v>
      </c>
      <c r="U69" s="24"/>
      <c r="V69" s="18" t="s">
        <v>269</v>
      </c>
      <c r="W69" s="38"/>
      <c r="X69" s="19"/>
      <c r="Y69" s="20" t="s">
        <v>268</v>
      </c>
      <c r="Z69" s="20" t="s">
        <v>258</v>
      </c>
      <c r="AA69" s="19"/>
      <c r="AB69" s="19"/>
    </row>
    <row r="70" spans="2:28" x14ac:dyDescent="0.2">
      <c r="B70" s="21" t="s">
        <v>128</v>
      </c>
      <c r="C70" s="22">
        <v>61</v>
      </c>
      <c r="D70" s="21" t="s">
        <v>128</v>
      </c>
      <c r="E70" s="30" t="s">
        <v>977</v>
      </c>
      <c r="F70" s="30" t="s">
        <v>978</v>
      </c>
      <c r="G70" s="30" t="s">
        <v>979</v>
      </c>
      <c r="H70" s="30" t="s">
        <v>980</v>
      </c>
      <c r="I70" s="18" t="s">
        <v>269</v>
      </c>
      <c r="J70" s="18" t="s">
        <v>269</v>
      </c>
      <c r="K70" s="18" t="s">
        <v>269</v>
      </c>
      <c r="L70" s="18" t="s">
        <v>269</v>
      </c>
      <c r="M70" s="18" t="s">
        <v>269</v>
      </c>
      <c r="N70" s="18" t="s">
        <v>269</v>
      </c>
      <c r="O70" s="18" t="s">
        <v>269</v>
      </c>
      <c r="P70" s="18" t="s">
        <v>269</v>
      </c>
      <c r="Q70" s="18" t="s">
        <v>269</v>
      </c>
      <c r="R70" s="18" t="s">
        <v>269</v>
      </c>
      <c r="S70" s="18" t="s">
        <v>269</v>
      </c>
      <c r="T70" s="21" t="s">
        <v>291</v>
      </c>
      <c r="U70" s="106"/>
      <c r="V70" s="18" t="s">
        <v>269</v>
      </c>
      <c r="W70" s="38"/>
      <c r="X70" s="19"/>
      <c r="Y70" s="20" t="s">
        <v>268</v>
      </c>
      <c r="Z70" s="20" t="s">
        <v>258</v>
      </c>
      <c r="AA70" s="19"/>
      <c r="AB70" s="19"/>
    </row>
    <row r="71" spans="2:28" x14ac:dyDescent="0.2">
      <c r="B71" s="21" t="s">
        <v>129</v>
      </c>
      <c r="C71" s="22">
        <v>62</v>
      </c>
      <c r="D71" s="21" t="s">
        <v>129</v>
      </c>
      <c r="E71" s="30" t="s">
        <v>981</v>
      </c>
      <c r="F71" s="30" t="s">
        <v>982</v>
      </c>
      <c r="G71" s="30" t="s">
        <v>983</v>
      </c>
      <c r="H71" s="30" t="s">
        <v>984</v>
      </c>
      <c r="I71" s="18" t="s">
        <v>269</v>
      </c>
      <c r="J71" s="18" t="s">
        <v>269</v>
      </c>
      <c r="K71" s="18" t="s">
        <v>269</v>
      </c>
      <c r="L71" s="18" t="s">
        <v>269</v>
      </c>
      <c r="M71" s="18" t="s">
        <v>269</v>
      </c>
      <c r="N71" s="18" t="s">
        <v>269</v>
      </c>
      <c r="O71" s="18" t="s">
        <v>269</v>
      </c>
      <c r="P71" s="18" t="s">
        <v>269</v>
      </c>
      <c r="Q71" s="18" t="s">
        <v>269</v>
      </c>
      <c r="R71" s="18" t="s">
        <v>269</v>
      </c>
      <c r="S71" s="18" t="s">
        <v>269</v>
      </c>
      <c r="T71" s="21" t="s">
        <v>292</v>
      </c>
      <c r="U71" s="106"/>
      <c r="V71" s="18" t="s">
        <v>269</v>
      </c>
      <c r="W71" s="38"/>
      <c r="X71" s="19"/>
      <c r="Y71" s="20" t="s">
        <v>268</v>
      </c>
      <c r="Z71" s="20" t="s">
        <v>258</v>
      </c>
      <c r="AA71" s="19"/>
      <c r="AB71" s="19"/>
    </row>
    <row r="72" spans="2:28" x14ac:dyDescent="0.2">
      <c r="B72" s="21" t="s">
        <v>130</v>
      </c>
      <c r="C72" s="22">
        <v>63</v>
      </c>
      <c r="D72" s="21" t="s">
        <v>130</v>
      </c>
      <c r="E72" s="30" t="s">
        <v>985</v>
      </c>
      <c r="F72" s="30" t="s">
        <v>986</v>
      </c>
      <c r="G72" s="30" t="s">
        <v>987</v>
      </c>
      <c r="H72" s="30" t="s">
        <v>988</v>
      </c>
      <c r="I72" s="18" t="s">
        <v>269</v>
      </c>
      <c r="J72" s="18" t="s">
        <v>269</v>
      </c>
      <c r="K72" s="18" t="s">
        <v>269</v>
      </c>
      <c r="L72" s="18" t="s">
        <v>269</v>
      </c>
      <c r="M72" s="18" t="s">
        <v>269</v>
      </c>
      <c r="N72" s="18" t="s">
        <v>269</v>
      </c>
      <c r="O72" s="18" t="s">
        <v>269</v>
      </c>
      <c r="P72" s="18" t="s">
        <v>269</v>
      </c>
      <c r="Q72" s="18" t="s">
        <v>269</v>
      </c>
      <c r="R72" s="18" t="s">
        <v>269</v>
      </c>
      <c r="S72" s="18" t="s">
        <v>269</v>
      </c>
      <c r="T72" s="21" t="s">
        <v>293</v>
      </c>
      <c r="U72" s="106"/>
      <c r="V72" s="18" t="s">
        <v>269</v>
      </c>
      <c r="W72" s="38"/>
      <c r="X72" s="19"/>
      <c r="Y72" s="20" t="s">
        <v>268</v>
      </c>
      <c r="Z72" s="20" t="s">
        <v>258</v>
      </c>
      <c r="AA72" s="19"/>
      <c r="AB72" s="19"/>
    </row>
    <row r="73" spans="2:28" x14ac:dyDescent="0.2">
      <c r="B73" s="21" t="s">
        <v>131</v>
      </c>
      <c r="C73" s="22">
        <v>64</v>
      </c>
      <c r="D73" s="21" t="s">
        <v>131</v>
      </c>
      <c r="E73" s="30" t="s">
        <v>989</v>
      </c>
      <c r="F73" s="30" t="s">
        <v>990</v>
      </c>
      <c r="G73" s="30" t="s">
        <v>991</v>
      </c>
      <c r="H73" s="30" t="s">
        <v>992</v>
      </c>
      <c r="I73" s="18" t="s">
        <v>269</v>
      </c>
      <c r="J73" s="18" t="s">
        <v>269</v>
      </c>
      <c r="K73" s="18" t="s">
        <v>269</v>
      </c>
      <c r="L73" s="18" t="s">
        <v>269</v>
      </c>
      <c r="M73" s="18" t="s">
        <v>269</v>
      </c>
      <c r="N73" s="18" t="s">
        <v>269</v>
      </c>
      <c r="O73" s="18" t="s">
        <v>269</v>
      </c>
      <c r="P73" s="18" t="s">
        <v>269</v>
      </c>
      <c r="Q73" s="18" t="s">
        <v>269</v>
      </c>
      <c r="R73" s="18" t="s">
        <v>269</v>
      </c>
      <c r="S73" s="18" t="s">
        <v>269</v>
      </c>
      <c r="T73" s="21" t="s">
        <v>294</v>
      </c>
      <c r="U73" s="106"/>
      <c r="V73" s="18" t="s">
        <v>269</v>
      </c>
      <c r="W73" s="38"/>
      <c r="X73" s="19"/>
      <c r="Y73" s="20" t="s">
        <v>268</v>
      </c>
      <c r="Z73" s="20" t="s">
        <v>258</v>
      </c>
      <c r="AA73" s="19"/>
      <c r="AB73" s="19"/>
    </row>
    <row r="74" spans="2:28" x14ac:dyDescent="0.2">
      <c r="B74" s="21" t="s">
        <v>132</v>
      </c>
      <c r="C74" s="22">
        <v>65</v>
      </c>
      <c r="D74" s="21" t="s">
        <v>132</v>
      </c>
      <c r="E74" s="30" t="s">
        <v>993</v>
      </c>
      <c r="F74" s="30" t="s">
        <v>994</v>
      </c>
      <c r="G74" s="30" t="s">
        <v>995</v>
      </c>
      <c r="H74" s="30" t="s">
        <v>996</v>
      </c>
      <c r="I74" s="18" t="s">
        <v>269</v>
      </c>
      <c r="J74" s="23" t="s">
        <v>660</v>
      </c>
      <c r="K74" s="18" t="s">
        <v>269</v>
      </c>
      <c r="L74" s="23" t="s">
        <v>661</v>
      </c>
      <c r="M74" s="18" t="s">
        <v>269</v>
      </c>
      <c r="N74" s="18" t="s">
        <v>269</v>
      </c>
      <c r="O74" s="21" t="s">
        <v>133</v>
      </c>
      <c r="P74" s="18" t="s">
        <v>269</v>
      </c>
      <c r="Q74" s="18" t="s">
        <v>269</v>
      </c>
      <c r="R74" s="18" t="s">
        <v>269</v>
      </c>
      <c r="S74" s="18" t="s">
        <v>269</v>
      </c>
      <c r="T74" s="18" t="s">
        <v>269</v>
      </c>
      <c r="U74" s="106"/>
      <c r="V74" s="18" t="s">
        <v>269</v>
      </c>
      <c r="W74" s="38" t="str">
        <f>_xlfn.IFS(AND(COUNTIF(U74,"SCB*")=1, 'PCH176'!H60&gt;=2), "See the Notice *2", TRUE, "")</f>
        <v/>
      </c>
      <c r="X74" s="19"/>
      <c r="Y74" s="20" t="s">
        <v>268</v>
      </c>
      <c r="Z74" s="20" t="s">
        <v>363</v>
      </c>
      <c r="AA74" s="19"/>
      <c r="AB74" s="19"/>
    </row>
    <row r="75" spans="2:28" x14ac:dyDescent="0.2">
      <c r="B75" s="21" t="s">
        <v>134</v>
      </c>
      <c r="C75" s="22">
        <v>66</v>
      </c>
      <c r="D75" s="21" t="s">
        <v>134</v>
      </c>
      <c r="E75" s="30" t="s">
        <v>997</v>
      </c>
      <c r="F75" s="30" t="s">
        <v>998</v>
      </c>
      <c r="G75" s="30" t="s">
        <v>999</v>
      </c>
      <c r="H75" s="30" t="s">
        <v>1000</v>
      </c>
      <c r="I75" s="18" t="s">
        <v>269</v>
      </c>
      <c r="J75" s="23" t="s">
        <v>662</v>
      </c>
      <c r="K75" s="23" t="s">
        <v>663</v>
      </c>
      <c r="L75" s="23" t="s">
        <v>664</v>
      </c>
      <c r="M75" s="18" t="s">
        <v>269</v>
      </c>
      <c r="N75" s="18" t="s">
        <v>269</v>
      </c>
      <c r="O75" s="21" t="s">
        <v>135</v>
      </c>
      <c r="P75" s="18" t="s">
        <v>269</v>
      </c>
      <c r="Q75" s="18" t="s">
        <v>269</v>
      </c>
      <c r="R75" s="18" t="s">
        <v>269</v>
      </c>
      <c r="S75" s="18" t="s">
        <v>269</v>
      </c>
      <c r="T75" s="18" t="s">
        <v>269</v>
      </c>
      <c r="U75" s="106"/>
      <c r="V75" s="18" t="s">
        <v>269</v>
      </c>
      <c r="W75" s="38" t="str">
        <f>_xlfn.IFS(AND(COUNTIF(U75,"SCB*")=1, 'PCH176'!H60&gt;=2), "See the Notice *2", TRUE, "")</f>
        <v/>
      </c>
      <c r="X75" s="19"/>
      <c r="Y75" s="20" t="s">
        <v>268</v>
      </c>
      <c r="Z75" s="20" t="s">
        <v>363</v>
      </c>
      <c r="AA75" s="19"/>
      <c r="AB75" s="19"/>
    </row>
    <row r="76" spans="2:28" x14ac:dyDescent="0.2">
      <c r="B76" s="21" t="s">
        <v>136</v>
      </c>
      <c r="C76" s="22">
        <v>67</v>
      </c>
      <c r="D76" s="21" t="s">
        <v>136</v>
      </c>
      <c r="E76" s="30" t="s">
        <v>1001</v>
      </c>
      <c r="F76" s="30" t="s">
        <v>1002</v>
      </c>
      <c r="G76" s="30" t="s">
        <v>1003</v>
      </c>
      <c r="H76" s="30" t="s">
        <v>1004</v>
      </c>
      <c r="I76" s="18" t="s">
        <v>269</v>
      </c>
      <c r="J76" s="23" t="s">
        <v>665</v>
      </c>
      <c r="K76" s="23" t="s">
        <v>666</v>
      </c>
      <c r="L76" s="23" t="s">
        <v>667</v>
      </c>
      <c r="M76" s="18" t="s">
        <v>269</v>
      </c>
      <c r="N76" s="18" t="s">
        <v>269</v>
      </c>
      <c r="O76" s="18" t="s">
        <v>269</v>
      </c>
      <c r="P76" s="18" t="s">
        <v>269</v>
      </c>
      <c r="Q76" s="18" t="s">
        <v>269</v>
      </c>
      <c r="R76" s="18" t="s">
        <v>269</v>
      </c>
      <c r="S76" s="18" t="s">
        <v>269</v>
      </c>
      <c r="T76" s="18" t="s">
        <v>269</v>
      </c>
      <c r="U76" s="106"/>
      <c r="V76" s="18" t="s">
        <v>269</v>
      </c>
      <c r="W76" s="38" t="str">
        <f>_xlfn.IFS(AND(COUNTIF(U76,"SCB*")=1, 'PCH176'!H60&gt;=2), "See the Notice *2", TRUE, "")</f>
        <v/>
      </c>
      <c r="X76" s="19"/>
      <c r="Y76" s="20" t="s">
        <v>268</v>
      </c>
      <c r="Z76" s="20" t="s">
        <v>363</v>
      </c>
      <c r="AA76" s="19"/>
      <c r="AB76" s="19"/>
    </row>
    <row r="77" spans="2:28" x14ac:dyDescent="0.2">
      <c r="B77" s="21" t="s">
        <v>137</v>
      </c>
      <c r="C77" s="22">
        <v>68</v>
      </c>
      <c r="D77" s="21" t="s">
        <v>137</v>
      </c>
      <c r="E77" s="30" t="s">
        <v>1005</v>
      </c>
      <c r="F77" s="30" t="s">
        <v>1006</v>
      </c>
      <c r="G77" s="30" t="s">
        <v>1007</v>
      </c>
      <c r="H77" s="30" t="s">
        <v>1008</v>
      </c>
      <c r="I77" s="18" t="s">
        <v>269</v>
      </c>
      <c r="J77" s="23" t="s">
        <v>668</v>
      </c>
      <c r="K77" s="18" t="s">
        <v>269</v>
      </c>
      <c r="L77" s="23" t="s">
        <v>669</v>
      </c>
      <c r="M77" s="18" t="s">
        <v>269</v>
      </c>
      <c r="N77" s="18" t="s">
        <v>269</v>
      </c>
      <c r="O77" s="18" t="s">
        <v>269</v>
      </c>
      <c r="P77" s="18" t="s">
        <v>269</v>
      </c>
      <c r="Q77" s="18" t="s">
        <v>269</v>
      </c>
      <c r="R77" s="18" t="s">
        <v>269</v>
      </c>
      <c r="S77" s="18" t="s">
        <v>269</v>
      </c>
      <c r="T77" s="18" t="s">
        <v>269</v>
      </c>
      <c r="U77" s="106"/>
      <c r="V77" s="18" t="s">
        <v>269</v>
      </c>
      <c r="W77" s="38" t="str">
        <f>_xlfn.IFS(AND(COUNTIF(U77,"SCB*")=1, 'PCH176'!H60&gt;=2), "See the Notice *2", TRUE, "")</f>
        <v/>
      </c>
      <c r="X77" s="19"/>
      <c r="Y77" s="20" t="s">
        <v>268</v>
      </c>
      <c r="Z77" s="20" t="s">
        <v>363</v>
      </c>
      <c r="AA77" s="19"/>
      <c r="AB77" s="19"/>
    </row>
    <row r="78" spans="2:28" x14ac:dyDescent="0.2">
      <c r="B78" s="21" t="s">
        <v>138</v>
      </c>
      <c r="C78" s="22">
        <v>69</v>
      </c>
      <c r="D78" s="21" t="s">
        <v>138</v>
      </c>
      <c r="E78" s="30" t="s">
        <v>1009</v>
      </c>
      <c r="F78" s="30" t="s">
        <v>1010</v>
      </c>
      <c r="G78" s="30" t="s">
        <v>1011</v>
      </c>
      <c r="H78" s="30" t="s">
        <v>1012</v>
      </c>
      <c r="I78" s="18" t="s">
        <v>269</v>
      </c>
      <c r="J78" s="18" t="s">
        <v>269</v>
      </c>
      <c r="K78" s="18" t="s">
        <v>269</v>
      </c>
      <c r="L78" s="23" t="s">
        <v>670</v>
      </c>
      <c r="M78" s="18" t="s">
        <v>269</v>
      </c>
      <c r="N78" s="18" t="s">
        <v>269</v>
      </c>
      <c r="O78" s="18" t="s">
        <v>269</v>
      </c>
      <c r="P78" s="18" t="s">
        <v>269</v>
      </c>
      <c r="Q78" s="18" t="s">
        <v>269</v>
      </c>
      <c r="R78" s="18" t="s">
        <v>269</v>
      </c>
      <c r="S78" s="18" t="s">
        <v>269</v>
      </c>
      <c r="T78" s="21" t="s">
        <v>295</v>
      </c>
      <c r="U78" s="106"/>
      <c r="V78" s="18" t="s">
        <v>269</v>
      </c>
      <c r="W78" s="38" t="str">
        <f>_xlfn.IFS(AND(COUNTIF(U78,"SCB*")=1, 'PCH176'!H60&gt;=2), "See the Notice *2", TRUE, "")</f>
        <v/>
      </c>
      <c r="X78" s="19"/>
      <c r="Y78" s="20" t="s">
        <v>268</v>
      </c>
      <c r="Z78" s="20" t="s">
        <v>363</v>
      </c>
      <c r="AA78" s="19"/>
      <c r="AB78" s="19"/>
    </row>
    <row r="79" spans="2:28" x14ac:dyDescent="0.2">
      <c r="B79" s="21" t="s">
        <v>139</v>
      </c>
      <c r="C79" s="22">
        <v>70</v>
      </c>
      <c r="D79" s="21" t="s">
        <v>139</v>
      </c>
      <c r="E79" s="30" t="s">
        <v>1013</v>
      </c>
      <c r="F79" s="30" t="s">
        <v>1014</v>
      </c>
      <c r="G79" s="30" t="s">
        <v>1015</v>
      </c>
      <c r="H79" s="30" t="s">
        <v>1016</v>
      </c>
      <c r="I79" s="18" t="s">
        <v>269</v>
      </c>
      <c r="J79" s="18" t="s">
        <v>269</v>
      </c>
      <c r="K79" s="18" t="s">
        <v>269</v>
      </c>
      <c r="L79" s="23" t="s">
        <v>671</v>
      </c>
      <c r="M79" s="18" t="s">
        <v>269</v>
      </c>
      <c r="N79" s="18" t="s">
        <v>269</v>
      </c>
      <c r="O79" s="18" t="s">
        <v>269</v>
      </c>
      <c r="P79" s="18" t="s">
        <v>269</v>
      </c>
      <c r="Q79" s="18" t="s">
        <v>269</v>
      </c>
      <c r="R79" s="18" t="s">
        <v>269</v>
      </c>
      <c r="S79" s="18" t="s">
        <v>269</v>
      </c>
      <c r="T79" s="21" t="s">
        <v>296</v>
      </c>
      <c r="U79" s="106"/>
      <c r="V79" s="18" t="s">
        <v>269</v>
      </c>
      <c r="W79" s="38" t="str">
        <f>_xlfn.IFS(AND(COUNTIF(U79,"SCB*")=1, 'PCH176'!H60&gt;=2), "See the Notice *2", TRUE, "")</f>
        <v/>
      </c>
      <c r="X79" s="19"/>
      <c r="Y79" s="20" t="s">
        <v>268</v>
      </c>
      <c r="Z79" s="20" t="s">
        <v>363</v>
      </c>
      <c r="AA79" s="19"/>
      <c r="AB79" s="19"/>
    </row>
    <row r="80" spans="2:28" x14ac:dyDescent="0.2">
      <c r="B80" s="21" t="s">
        <v>140</v>
      </c>
      <c r="C80" s="22">
        <v>71</v>
      </c>
      <c r="D80" s="21" t="s">
        <v>140</v>
      </c>
      <c r="E80" s="30" t="s">
        <v>1017</v>
      </c>
      <c r="F80" s="30" t="s">
        <v>1018</v>
      </c>
      <c r="G80" s="30" t="s">
        <v>1019</v>
      </c>
      <c r="H80" s="30" t="s">
        <v>1020</v>
      </c>
      <c r="I80" s="18" t="s">
        <v>269</v>
      </c>
      <c r="J80" s="18" t="s">
        <v>269</v>
      </c>
      <c r="K80" s="18" t="s">
        <v>269</v>
      </c>
      <c r="L80" s="18" t="s">
        <v>269</v>
      </c>
      <c r="M80" s="18" t="s">
        <v>269</v>
      </c>
      <c r="N80" s="18" t="s">
        <v>269</v>
      </c>
      <c r="O80" s="18" t="s">
        <v>269</v>
      </c>
      <c r="P80" s="18" t="s">
        <v>269</v>
      </c>
      <c r="Q80" s="18" t="s">
        <v>269</v>
      </c>
      <c r="R80" s="18" t="s">
        <v>269</v>
      </c>
      <c r="S80" s="18" t="s">
        <v>269</v>
      </c>
      <c r="T80" s="21" t="s">
        <v>297</v>
      </c>
      <c r="U80" s="106"/>
      <c r="V80" s="18" t="s">
        <v>269</v>
      </c>
      <c r="W80" s="38"/>
      <c r="X80" s="19"/>
      <c r="Y80" s="20" t="s">
        <v>268</v>
      </c>
      <c r="Z80" s="20" t="s">
        <v>363</v>
      </c>
      <c r="AA80" s="19"/>
      <c r="AB80" s="19"/>
    </row>
    <row r="81" spans="2:28" x14ac:dyDescent="0.2">
      <c r="B81" s="21" t="s">
        <v>141</v>
      </c>
      <c r="C81" s="22">
        <v>72</v>
      </c>
      <c r="D81" s="21" t="s">
        <v>141</v>
      </c>
      <c r="E81" s="30" t="s">
        <v>1021</v>
      </c>
      <c r="F81" s="30" t="s">
        <v>1022</v>
      </c>
      <c r="G81" s="30" t="s">
        <v>1023</v>
      </c>
      <c r="H81" s="30" t="s">
        <v>1024</v>
      </c>
      <c r="I81" s="18" t="s">
        <v>269</v>
      </c>
      <c r="J81" s="18" t="s">
        <v>269</v>
      </c>
      <c r="K81" s="18" t="s">
        <v>269</v>
      </c>
      <c r="L81" s="18" t="s">
        <v>269</v>
      </c>
      <c r="M81" s="18" t="s">
        <v>269</v>
      </c>
      <c r="N81" s="18" t="s">
        <v>269</v>
      </c>
      <c r="O81" s="18" t="s">
        <v>269</v>
      </c>
      <c r="P81" s="18" t="s">
        <v>269</v>
      </c>
      <c r="Q81" s="18" t="s">
        <v>269</v>
      </c>
      <c r="R81" s="18" t="s">
        <v>269</v>
      </c>
      <c r="S81" s="18" t="s">
        <v>269</v>
      </c>
      <c r="T81" s="21" t="s">
        <v>298</v>
      </c>
      <c r="U81" s="106"/>
      <c r="V81" s="18" t="s">
        <v>269</v>
      </c>
      <c r="W81" s="38"/>
      <c r="X81" s="19"/>
      <c r="Y81" s="20" t="s">
        <v>268</v>
      </c>
      <c r="Z81" s="20" t="s">
        <v>363</v>
      </c>
      <c r="AA81" s="19"/>
      <c r="AB81" s="19"/>
    </row>
    <row r="82" spans="2:28" x14ac:dyDescent="0.2">
      <c r="B82" s="21" t="s">
        <v>815</v>
      </c>
      <c r="C82" s="22">
        <v>73</v>
      </c>
      <c r="D82" s="30" t="s">
        <v>562</v>
      </c>
      <c r="E82" s="18" t="s">
        <v>269</v>
      </c>
      <c r="F82" s="18" t="s">
        <v>269</v>
      </c>
      <c r="G82" s="18" t="s">
        <v>269</v>
      </c>
      <c r="H82" s="18" t="s">
        <v>269</v>
      </c>
      <c r="I82" s="18" t="s">
        <v>269</v>
      </c>
      <c r="J82" s="18" t="s">
        <v>269</v>
      </c>
      <c r="K82" s="18" t="s">
        <v>269</v>
      </c>
      <c r="L82" s="18" t="s">
        <v>269</v>
      </c>
      <c r="M82" s="18" t="s">
        <v>269</v>
      </c>
      <c r="N82" s="18" t="s">
        <v>269</v>
      </c>
      <c r="O82" s="18" t="s">
        <v>269</v>
      </c>
      <c r="P82" s="18" t="s">
        <v>269</v>
      </c>
      <c r="Q82" s="18" t="s">
        <v>269</v>
      </c>
      <c r="R82" s="18" t="s">
        <v>269</v>
      </c>
      <c r="S82" s="18" t="s">
        <v>269</v>
      </c>
      <c r="T82" s="21" t="s">
        <v>299</v>
      </c>
      <c r="U82" s="106"/>
      <c r="V82" s="18" t="s">
        <v>269</v>
      </c>
      <c r="W82" s="38"/>
      <c r="X82" s="19"/>
      <c r="Y82" s="20" t="s">
        <v>268</v>
      </c>
      <c r="Z82" s="20" t="s">
        <v>363</v>
      </c>
      <c r="AA82" s="19"/>
      <c r="AB82" s="19"/>
    </row>
    <row r="83" spans="2:28" x14ac:dyDescent="0.2">
      <c r="B83" s="21" t="s">
        <v>816</v>
      </c>
      <c r="C83" s="22">
        <v>74</v>
      </c>
      <c r="D83" s="30" t="s">
        <v>776</v>
      </c>
      <c r="E83" s="18" t="s">
        <v>269</v>
      </c>
      <c r="F83" s="18" t="s">
        <v>269</v>
      </c>
      <c r="G83" s="18" t="s">
        <v>269</v>
      </c>
      <c r="H83" s="18" t="s">
        <v>269</v>
      </c>
      <c r="I83" s="18" t="s">
        <v>269</v>
      </c>
      <c r="J83" s="18" t="s">
        <v>269</v>
      </c>
      <c r="K83" s="18" t="s">
        <v>269</v>
      </c>
      <c r="L83" s="18" t="s">
        <v>269</v>
      </c>
      <c r="M83" s="18" t="s">
        <v>269</v>
      </c>
      <c r="N83" s="18" t="s">
        <v>269</v>
      </c>
      <c r="O83" s="18" t="s">
        <v>269</v>
      </c>
      <c r="P83" s="18" t="s">
        <v>269</v>
      </c>
      <c r="Q83" s="18" t="s">
        <v>269</v>
      </c>
      <c r="R83" s="18" t="s">
        <v>269</v>
      </c>
      <c r="S83" s="18" t="s">
        <v>269</v>
      </c>
      <c r="T83" s="21" t="s">
        <v>300</v>
      </c>
      <c r="U83" s="106"/>
      <c r="V83" s="18" t="s">
        <v>269</v>
      </c>
      <c r="W83" s="38"/>
      <c r="X83" s="19"/>
      <c r="Y83" s="20" t="s">
        <v>268</v>
      </c>
      <c r="Z83" s="20" t="s">
        <v>363</v>
      </c>
      <c r="AA83" s="19"/>
      <c r="AB83" s="19"/>
    </row>
    <row r="84" spans="2:28" x14ac:dyDescent="0.2">
      <c r="B84" s="21" t="s">
        <v>817</v>
      </c>
      <c r="C84" s="22">
        <v>75</v>
      </c>
      <c r="D84" s="30" t="s">
        <v>777</v>
      </c>
      <c r="E84" s="18" t="s">
        <v>269</v>
      </c>
      <c r="F84" s="18" t="s">
        <v>269</v>
      </c>
      <c r="G84" s="18" t="s">
        <v>269</v>
      </c>
      <c r="H84" s="18" t="s">
        <v>269</v>
      </c>
      <c r="I84" s="18" t="s">
        <v>269</v>
      </c>
      <c r="J84" s="18" t="s">
        <v>269</v>
      </c>
      <c r="K84" s="18" t="s">
        <v>269</v>
      </c>
      <c r="L84" s="18" t="s">
        <v>269</v>
      </c>
      <c r="M84" s="18" t="s">
        <v>269</v>
      </c>
      <c r="N84" s="18" t="s">
        <v>269</v>
      </c>
      <c r="O84" s="18" t="s">
        <v>269</v>
      </c>
      <c r="P84" s="18" t="s">
        <v>269</v>
      </c>
      <c r="Q84" s="18" t="s">
        <v>269</v>
      </c>
      <c r="R84" s="18" t="s">
        <v>269</v>
      </c>
      <c r="S84" s="18" t="s">
        <v>269</v>
      </c>
      <c r="T84" s="21" t="s">
        <v>301</v>
      </c>
      <c r="U84" s="106"/>
      <c r="V84" s="18" t="s">
        <v>269</v>
      </c>
      <c r="W84" s="38"/>
      <c r="X84" s="19"/>
      <c r="Y84" s="20" t="s">
        <v>268</v>
      </c>
      <c r="Z84" s="20" t="s">
        <v>363</v>
      </c>
      <c r="AA84" s="19"/>
      <c r="AB84" s="19"/>
    </row>
    <row r="85" spans="2:28" x14ac:dyDescent="0.2">
      <c r="B85" s="31" t="s">
        <v>260</v>
      </c>
      <c r="C85" s="17">
        <v>76</v>
      </c>
      <c r="D85" s="18" t="s">
        <v>269</v>
      </c>
      <c r="E85" s="18" t="s">
        <v>269</v>
      </c>
      <c r="F85" s="18" t="s">
        <v>269</v>
      </c>
      <c r="G85" s="18" t="s">
        <v>269</v>
      </c>
      <c r="H85" s="18" t="s">
        <v>269</v>
      </c>
      <c r="I85" s="18" t="s">
        <v>269</v>
      </c>
      <c r="J85" s="18" t="s">
        <v>269</v>
      </c>
      <c r="K85" s="18" t="s">
        <v>269</v>
      </c>
      <c r="L85" s="18" t="s">
        <v>269</v>
      </c>
      <c r="M85" s="18" t="s">
        <v>269</v>
      </c>
      <c r="N85" s="18" t="s">
        <v>269</v>
      </c>
      <c r="O85" s="18" t="s">
        <v>269</v>
      </c>
      <c r="P85" s="18" t="s">
        <v>269</v>
      </c>
      <c r="Q85" s="18" t="s">
        <v>269</v>
      </c>
      <c r="R85" s="18" t="s">
        <v>269</v>
      </c>
      <c r="S85" s="18" t="s">
        <v>269</v>
      </c>
      <c r="T85" s="18" t="s">
        <v>269</v>
      </c>
      <c r="U85" s="31" t="s">
        <v>260</v>
      </c>
      <c r="V85" s="18" t="s">
        <v>269</v>
      </c>
      <c r="W85" s="38"/>
      <c r="X85" s="19" t="s">
        <v>548</v>
      </c>
      <c r="Y85" s="20" t="s">
        <v>558</v>
      </c>
      <c r="Z85" s="19" t="s">
        <v>558</v>
      </c>
      <c r="AA85" s="19"/>
      <c r="AB85" s="19"/>
    </row>
    <row r="86" spans="2:28" x14ac:dyDescent="0.2">
      <c r="B86" s="16" t="s">
        <v>261</v>
      </c>
      <c r="C86" s="17">
        <v>77</v>
      </c>
      <c r="D86" s="18" t="s">
        <v>269</v>
      </c>
      <c r="E86" s="18" t="s">
        <v>269</v>
      </c>
      <c r="F86" s="18" t="s">
        <v>269</v>
      </c>
      <c r="G86" s="18" t="s">
        <v>269</v>
      </c>
      <c r="H86" s="18" t="s">
        <v>269</v>
      </c>
      <c r="I86" s="18" t="s">
        <v>269</v>
      </c>
      <c r="J86" s="18" t="s">
        <v>269</v>
      </c>
      <c r="K86" s="18" t="s">
        <v>269</v>
      </c>
      <c r="L86" s="18" t="s">
        <v>269</v>
      </c>
      <c r="M86" s="18" t="s">
        <v>269</v>
      </c>
      <c r="N86" s="18" t="s">
        <v>269</v>
      </c>
      <c r="O86" s="18" t="s">
        <v>269</v>
      </c>
      <c r="P86" s="18" t="s">
        <v>269</v>
      </c>
      <c r="Q86" s="18" t="s">
        <v>269</v>
      </c>
      <c r="R86" s="18" t="s">
        <v>269</v>
      </c>
      <c r="S86" s="18" t="s">
        <v>269</v>
      </c>
      <c r="T86" s="18" t="s">
        <v>269</v>
      </c>
      <c r="U86" s="16" t="s">
        <v>261</v>
      </c>
      <c r="V86" s="18" t="s">
        <v>269</v>
      </c>
      <c r="W86" s="38"/>
      <c r="X86" s="19" t="s">
        <v>550</v>
      </c>
      <c r="Y86" s="20" t="s">
        <v>558</v>
      </c>
      <c r="Z86" s="19" t="s">
        <v>558</v>
      </c>
      <c r="AA86" s="19"/>
      <c r="AB86" s="19"/>
    </row>
    <row r="87" spans="2:28" x14ac:dyDescent="0.2">
      <c r="B87" s="28" t="s">
        <v>262</v>
      </c>
      <c r="C87" s="17">
        <v>78</v>
      </c>
      <c r="D87" s="18" t="s">
        <v>269</v>
      </c>
      <c r="E87" s="18" t="s">
        <v>269</v>
      </c>
      <c r="F87" s="18" t="s">
        <v>269</v>
      </c>
      <c r="G87" s="18" t="s">
        <v>269</v>
      </c>
      <c r="H87" s="18" t="s">
        <v>269</v>
      </c>
      <c r="I87" s="18" t="s">
        <v>269</v>
      </c>
      <c r="J87" s="18" t="s">
        <v>269</v>
      </c>
      <c r="K87" s="18" t="s">
        <v>269</v>
      </c>
      <c r="L87" s="18" t="s">
        <v>269</v>
      </c>
      <c r="M87" s="18" t="s">
        <v>269</v>
      </c>
      <c r="N87" s="18" t="s">
        <v>269</v>
      </c>
      <c r="O87" s="18" t="s">
        <v>269</v>
      </c>
      <c r="P87" s="18" t="s">
        <v>269</v>
      </c>
      <c r="Q87" s="18" t="s">
        <v>269</v>
      </c>
      <c r="R87" s="18" t="s">
        <v>269</v>
      </c>
      <c r="S87" s="18" t="s">
        <v>269</v>
      </c>
      <c r="T87" s="18" t="s">
        <v>269</v>
      </c>
      <c r="U87" s="28" t="s">
        <v>262</v>
      </c>
      <c r="V87" s="18" t="s">
        <v>269</v>
      </c>
      <c r="W87" s="38"/>
      <c r="X87" s="19" t="s">
        <v>551</v>
      </c>
      <c r="Y87" s="20" t="s">
        <v>558</v>
      </c>
      <c r="Z87" s="19" t="s">
        <v>558</v>
      </c>
      <c r="AA87" s="19"/>
      <c r="AB87" s="19"/>
    </row>
    <row r="88" spans="2:28" x14ac:dyDescent="0.2">
      <c r="B88" s="31" t="s">
        <v>263</v>
      </c>
      <c r="C88" s="17">
        <v>79</v>
      </c>
      <c r="D88" s="18" t="s">
        <v>269</v>
      </c>
      <c r="E88" s="18" t="s">
        <v>269</v>
      </c>
      <c r="F88" s="18" t="s">
        <v>269</v>
      </c>
      <c r="G88" s="18" t="s">
        <v>269</v>
      </c>
      <c r="H88" s="18" t="s">
        <v>269</v>
      </c>
      <c r="I88" s="18" t="s">
        <v>269</v>
      </c>
      <c r="J88" s="18" t="s">
        <v>269</v>
      </c>
      <c r="K88" s="18" t="s">
        <v>269</v>
      </c>
      <c r="L88" s="18" t="s">
        <v>269</v>
      </c>
      <c r="M88" s="18" t="s">
        <v>269</v>
      </c>
      <c r="N88" s="18" t="s">
        <v>269</v>
      </c>
      <c r="O88" s="18" t="s">
        <v>269</v>
      </c>
      <c r="P88" s="18" t="s">
        <v>269</v>
      </c>
      <c r="Q88" s="18" t="s">
        <v>269</v>
      </c>
      <c r="R88" s="18" t="s">
        <v>269</v>
      </c>
      <c r="S88" s="18" t="s">
        <v>269</v>
      </c>
      <c r="T88" s="18" t="s">
        <v>269</v>
      </c>
      <c r="U88" s="31" t="s">
        <v>263</v>
      </c>
      <c r="V88" s="18" t="s">
        <v>269</v>
      </c>
      <c r="W88" s="38"/>
      <c r="X88" s="19" t="s">
        <v>549</v>
      </c>
      <c r="Y88" s="20" t="s">
        <v>558</v>
      </c>
      <c r="Z88" s="19" t="s">
        <v>558</v>
      </c>
      <c r="AA88" s="19"/>
      <c r="AB88" s="19"/>
    </row>
    <row r="89" spans="2:28" x14ac:dyDescent="0.2">
      <c r="B89" s="21" t="s">
        <v>142</v>
      </c>
      <c r="C89" s="22">
        <v>80</v>
      </c>
      <c r="D89" s="21" t="s">
        <v>142</v>
      </c>
      <c r="E89" s="30" t="s">
        <v>1025</v>
      </c>
      <c r="F89" s="30" t="s">
        <v>1026</v>
      </c>
      <c r="G89" s="30" t="s">
        <v>1027</v>
      </c>
      <c r="H89" s="30" t="s">
        <v>1028</v>
      </c>
      <c r="I89" s="18" t="s">
        <v>269</v>
      </c>
      <c r="J89" s="18" t="s">
        <v>269</v>
      </c>
      <c r="K89" s="18" t="s">
        <v>269</v>
      </c>
      <c r="L89" s="18" t="s">
        <v>269</v>
      </c>
      <c r="M89" s="18" t="s">
        <v>269</v>
      </c>
      <c r="N89" s="21" t="s">
        <v>98</v>
      </c>
      <c r="O89" s="21" t="s">
        <v>143</v>
      </c>
      <c r="P89" s="18" t="s">
        <v>269</v>
      </c>
      <c r="Q89" s="18" t="s">
        <v>269</v>
      </c>
      <c r="R89" s="18" t="s">
        <v>269</v>
      </c>
      <c r="S89" s="18" t="s">
        <v>269</v>
      </c>
      <c r="T89" s="21" t="s">
        <v>302</v>
      </c>
      <c r="U89" s="106"/>
      <c r="V89" s="107"/>
      <c r="W89" s="38"/>
      <c r="X89" s="19"/>
      <c r="Y89" s="20" t="s">
        <v>268</v>
      </c>
      <c r="Z89" s="20" t="s">
        <v>363</v>
      </c>
      <c r="AA89" s="19"/>
      <c r="AB89" s="19"/>
    </row>
    <row r="90" spans="2:28" x14ac:dyDescent="0.2">
      <c r="B90" s="21" t="s">
        <v>144</v>
      </c>
      <c r="C90" s="22">
        <v>81</v>
      </c>
      <c r="D90" s="21" t="s">
        <v>144</v>
      </c>
      <c r="E90" s="30" t="s">
        <v>1029</v>
      </c>
      <c r="F90" s="30" t="s">
        <v>1030</v>
      </c>
      <c r="G90" s="30" t="s">
        <v>1031</v>
      </c>
      <c r="H90" s="30" t="s">
        <v>1032</v>
      </c>
      <c r="I90" s="18" t="s">
        <v>269</v>
      </c>
      <c r="J90" s="18" t="s">
        <v>269</v>
      </c>
      <c r="K90" s="18" t="s">
        <v>269</v>
      </c>
      <c r="L90" s="18" t="s">
        <v>269</v>
      </c>
      <c r="M90" s="21" t="s">
        <v>145</v>
      </c>
      <c r="N90" s="21" t="s">
        <v>101</v>
      </c>
      <c r="O90" s="21" t="s">
        <v>146</v>
      </c>
      <c r="P90" s="18" t="s">
        <v>269</v>
      </c>
      <c r="Q90" s="18" t="s">
        <v>269</v>
      </c>
      <c r="R90" s="18" t="s">
        <v>269</v>
      </c>
      <c r="S90" s="18" t="s">
        <v>269</v>
      </c>
      <c r="T90" s="21" t="s">
        <v>303</v>
      </c>
      <c r="U90" s="106"/>
      <c r="V90" s="107"/>
      <c r="W90" s="38"/>
      <c r="X90" s="19"/>
      <c r="Y90" s="20" t="s">
        <v>268</v>
      </c>
      <c r="Z90" s="20" t="s">
        <v>363</v>
      </c>
      <c r="AA90" s="19"/>
      <c r="AB90" s="19"/>
    </row>
    <row r="91" spans="2:28" x14ac:dyDescent="0.2">
      <c r="B91" s="21" t="s">
        <v>147</v>
      </c>
      <c r="C91" s="22">
        <v>82</v>
      </c>
      <c r="D91" s="21" t="s">
        <v>147</v>
      </c>
      <c r="E91" s="30" t="s">
        <v>1033</v>
      </c>
      <c r="F91" s="30" t="s">
        <v>1034</v>
      </c>
      <c r="G91" s="30" t="s">
        <v>1035</v>
      </c>
      <c r="H91" s="103" t="s">
        <v>1036</v>
      </c>
      <c r="I91" s="21" t="s">
        <v>148</v>
      </c>
      <c r="J91" s="18" t="s">
        <v>269</v>
      </c>
      <c r="K91" s="18" t="s">
        <v>269</v>
      </c>
      <c r="L91" s="18" t="s">
        <v>269</v>
      </c>
      <c r="M91" s="21" t="s">
        <v>149</v>
      </c>
      <c r="N91" s="18" t="s">
        <v>269</v>
      </c>
      <c r="O91" s="18" t="s">
        <v>269</v>
      </c>
      <c r="P91" s="18" t="s">
        <v>269</v>
      </c>
      <c r="Q91" s="18" t="s">
        <v>269</v>
      </c>
      <c r="R91" s="18" t="s">
        <v>269</v>
      </c>
      <c r="S91" s="18" t="s">
        <v>269</v>
      </c>
      <c r="T91" s="21" t="s">
        <v>304</v>
      </c>
      <c r="U91" s="106"/>
      <c r="V91" s="107"/>
      <c r="W91" s="38"/>
      <c r="X91" s="19"/>
      <c r="Y91" s="20" t="s">
        <v>268</v>
      </c>
      <c r="Z91" s="20" t="s">
        <v>363</v>
      </c>
      <c r="AA91" s="19"/>
      <c r="AB91" s="19"/>
    </row>
    <row r="92" spans="2:28" x14ac:dyDescent="0.2">
      <c r="B92" s="21" t="s">
        <v>150</v>
      </c>
      <c r="C92" s="22">
        <v>83</v>
      </c>
      <c r="D92" s="21" t="s">
        <v>150</v>
      </c>
      <c r="E92" s="30" t="s">
        <v>1037</v>
      </c>
      <c r="F92" s="30" t="s">
        <v>1038</v>
      </c>
      <c r="G92" s="30" t="s">
        <v>1039</v>
      </c>
      <c r="H92" s="103" t="s">
        <v>1040</v>
      </c>
      <c r="I92" s="21" t="s">
        <v>151</v>
      </c>
      <c r="J92" s="18" t="s">
        <v>269</v>
      </c>
      <c r="K92" s="18" t="s">
        <v>269</v>
      </c>
      <c r="L92" s="18" t="s">
        <v>269</v>
      </c>
      <c r="M92" s="21" t="s">
        <v>152</v>
      </c>
      <c r="N92" s="18" t="s">
        <v>269</v>
      </c>
      <c r="O92" s="18" t="s">
        <v>269</v>
      </c>
      <c r="P92" s="18" t="s">
        <v>269</v>
      </c>
      <c r="Q92" s="18" t="s">
        <v>269</v>
      </c>
      <c r="R92" s="18" t="s">
        <v>269</v>
      </c>
      <c r="S92" s="18" t="s">
        <v>269</v>
      </c>
      <c r="T92" s="21" t="s">
        <v>305</v>
      </c>
      <c r="U92" s="106"/>
      <c r="V92" s="107"/>
      <c r="W92" s="38"/>
      <c r="X92" s="19"/>
      <c r="Y92" s="20" t="s">
        <v>268</v>
      </c>
      <c r="Z92" s="20" t="s">
        <v>363</v>
      </c>
      <c r="AA92" s="19"/>
      <c r="AB92" s="19"/>
    </row>
    <row r="93" spans="2:28" x14ac:dyDescent="0.2">
      <c r="B93" s="21" t="s">
        <v>153</v>
      </c>
      <c r="C93" s="22">
        <v>84</v>
      </c>
      <c r="D93" s="21" t="s">
        <v>153</v>
      </c>
      <c r="E93" s="30" t="s">
        <v>1041</v>
      </c>
      <c r="F93" s="30" t="s">
        <v>1042</v>
      </c>
      <c r="G93" s="30" t="s">
        <v>1043</v>
      </c>
      <c r="H93" s="103" t="s">
        <v>1044</v>
      </c>
      <c r="I93" s="21" t="s">
        <v>154</v>
      </c>
      <c r="J93" s="18" t="s">
        <v>269</v>
      </c>
      <c r="K93" s="18" t="s">
        <v>269</v>
      </c>
      <c r="L93" s="18" t="s">
        <v>269</v>
      </c>
      <c r="M93" s="18" t="s">
        <v>269</v>
      </c>
      <c r="N93" s="18" t="s">
        <v>269</v>
      </c>
      <c r="O93" s="18" t="s">
        <v>269</v>
      </c>
      <c r="P93" s="18" t="s">
        <v>269</v>
      </c>
      <c r="Q93" s="18" t="s">
        <v>269</v>
      </c>
      <c r="R93" s="18" t="s">
        <v>269</v>
      </c>
      <c r="S93" s="18" t="s">
        <v>269</v>
      </c>
      <c r="T93" s="21" t="s">
        <v>306</v>
      </c>
      <c r="U93" s="106"/>
      <c r="V93" s="107"/>
      <c r="W93" s="38"/>
      <c r="X93" s="19"/>
      <c r="Y93" s="20" t="s">
        <v>268</v>
      </c>
      <c r="Z93" s="20" t="s">
        <v>363</v>
      </c>
      <c r="AA93" s="19"/>
      <c r="AB93" s="19"/>
    </row>
    <row r="94" spans="2:28" x14ac:dyDescent="0.2">
      <c r="B94" s="21" t="s">
        <v>155</v>
      </c>
      <c r="C94" s="22">
        <v>85</v>
      </c>
      <c r="D94" s="21" t="s">
        <v>155</v>
      </c>
      <c r="E94" s="30" t="s">
        <v>1045</v>
      </c>
      <c r="F94" s="30" t="s">
        <v>1046</v>
      </c>
      <c r="G94" s="30" t="s">
        <v>1047</v>
      </c>
      <c r="H94" s="103" t="s">
        <v>1048</v>
      </c>
      <c r="I94" s="21" t="s">
        <v>156</v>
      </c>
      <c r="J94" s="18" t="s">
        <v>269</v>
      </c>
      <c r="K94" s="18" t="s">
        <v>269</v>
      </c>
      <c r="L94" s="18" t="s">
        <v>269</v>
      </c>
      <c r="M94" s="18" t="s">
        <v>269</v>
      </c>
      <c r="N94" s="18" t="s">
        <v>269</v>
      </c>
      <c r="O94" s="18" t="s">
        <v>269</v>
      </c>
      <c r="P94" s="18" t="s">
        <v>269</v>
      </c>
      <c r="Q94" s="18" t="s">
        <v>269</v>
      </c>
      <c r="R94" s="18" t="s">
        <v>269</v>
      </c>
      <c r="S94" s="18" t="s">
        <v>269</v>
      </c>
      <c r="T94" s="21" t="s">
        <v>307</v>
      </c>
      <c r="U94" s="106"/>
      <c r="V94" s="107"/>
      <c r="W94" s="38"/>
      <c r="X94" s="19"/>
      <c r="Y94" s="20" t="s">
        <v>268</v>
      </c>
      <c r="Z94" s="20" t="s">
        <v>363</v>
      </c>
      <c r="AA94" s="19"/>
      <c r="AB94" s="19"/>
    </row>
    <row r="95" spans="2:28" x14ac:dyDescent="0.2">
      <c r="B95" s="21" t="s">
        <v>157</v>
      </c>
      <c r="C95" s="22">
        <v>86</v>
      </c>
      <c r="D95" s="21" t="s">
        <v>157</v>
      </c>
      <c r="E95" s="30" t="s">
        <v>1049</v>
      </c>
      <c r="F95" s="30" t="s">
        <v>1050</v>
      </c>
      <c r="G95" s="30" t="s">
        <v>1051</v>
      </c>
      <c r="H95" s="30" t="s">
        <v>1052</v>
      </c>
      <c r="I95" s="18" t="s">
        <v>269</v>
      </c>
      <c r="J95" s="18" t="s">
        <v>269</v>
      </c>
      <c r="K95" s="18" t="s">
        <v>269</v>
      </c>
      <c r="L95" s="18" t="s">
        <v>269</v>
      </c>
      <c r="M95" s="18" t="s">
        <v>269</v>
      </c>
      <c r="N95" s="18" t="s">
        <v>269</v>
      </c>
      <c r="O95" s="18" t="s">
        <v>269</v>
      </c>
      <c r="P95" s="18" t="s">
        <v>269</v>
      </c>
      <c r="Q95" s="18" t="s">
        <v>269</v>
      </c>
      <c r="R95" s="18" t="s">
        <v>269</v>
      </c>
      <c r="S95" s="18" t="s">
        <v>269</v>
      </c>
      <c r="T95" s="21" t="s">
        <v>308</v>
      </c>
      <c r="U95" s="106"/>
      <c r="V95" s="107"/>
      <c r="W95" s="38"/>
      <c r="X95" s="19"/>
      <c r="Y95" s="20" t="s">
        <v>268</v>
      </c>
      <c r="Z95" s="20" t="s">
        <v>363</v>
      </c>
      <c r="AA95" s="19"/>
      <c r="AB95" s="19"/>
    </row>
    <row r="96" spans="2:28" x14ac:dyDescent="0.2">
      <c r="B96" s="21" t="s">
        <v>158</v>
      </c>
      <c r="C96" s="22">
        <v>87</v>
      </c>
      <c r="D96" s="21" t="s">
        <v>158</v>
      </c>
      <c r="E96" s="30" t="s">
        <v>1053</v>
      </c>
      <c r="F96" s="30" t="s">
        <v>1054</v>
      </c>
      <c r="G96" s="30" t="s">
        <v>1055</v>
      </c>
      <c r="H96" s="30" t="s">
        <v>1056</v>
      </c>
      <c r="I96" s="18" t="s">
        <v>269</v>
      </c>
      <c r="J96" s="18" t="s">
        <v>269</v>
      </c>
      <c r="K96" s="18" t="s">
        <v>269</v>
      </c>
      <c r="L96" s="18" t="s">
        <v>269</v>
      </c>
      <c r="M96" s="18" t="s">
        <v>269</v>
      </c>
      <c r="N96" s="18" t="s">
        <v>269</v>
      </c>
      <c r="O96" s="18" t="s">
        <v>269</v>
      </c>
      <c r="P96" s="18" t="s">
        <v>269</v>
      </c>
      <c r="Q96" s="18" t="s">
        <v>269</v>
      </c>
      <c r="R96" s="18" t="s">
        <v>269</v>
      </c>
      <c r="S96" s="18" t="s">
        <v>269</v>
      </c>
      <c r="T96" s="21" t="s">
        <v>309</v>
      </c>
      <c r="U96" s="24"/>
      <c r="V96" s="107"/>
      <c r="W96" s="38"/>
      <c r="X96" s="19"/>
      <c r="Y96" s="20" t="s">
        <v>268</v>
      </c>
      <c r="Z96" s="20" t="s">
        <v>363</v>
      </c>
      <c r="AA96" s="19"/>
      <c r="AB96" s="19"/>
    </row>
    <row r="97" spans="2:28" x14ac:dyDescent="0.2">
      <c r="B97" s="28" t="s">
        <v>363</v>
      </c>
      <c r="C97" s="17">
        <v>88</v>
      </c>
      <c r="D97" s="18" t="s">
        <v>269</v>
      </c>
      <c r="E97" s="18" t="s">
        <v>269</v>
      </c>
      <c r="F97" s="18" t="s">
        <v>269</v>
      </c>
      <c r="G97" s="18" t="s">
        <v>269</v>
      </c>
      <c r="H97" s="18" t="s">
        <v>269</v>
      </c>
      <c r="I97" s="18" t="s">
        <v>269</v>
      </c>
      <c r="J97" s="18" t="s">
        <v>269</v>
      </c>
      <c r="K97" s="18" t="s">
        <v>269</v>
      </c>
      <c r="L97" s="18" t="s">
        <v>269</v>
      </c>
      <c r="M97" s="18" t="s">
        <v>269</v>
      </c>
      <c r="N97" s="18" t="s">
        <v>269</v>
      </c>
      <c r="O97" s="18" t="s">
        <v>269</v>
      </c>
      <c r="P97" s="18" t="s">
        <v>269</v>
      </c>
      <c r="Q97" s="18" t="s">
        <v>269</v>
      </c>
      <c r="R97" s="18" t="s">
        <v>269</v>
      </c>
      <c r="S97" s="18" t="s">
        <v>269</v>
      </c>
      <c r="T97" s="18" t="s">
        <v>269</v>
      </c>
      <c r="U97" s="28" t="s">
        <v>363</v>
      </c>
      <c r="V97" s="18" t="s">
        <v>269</v>
      </c>
      <c r="W97" s="38"/>
      <c r="X97" s="19" t="s">
        <v>546</v>
      </c>
      <c r="Y97" s="20" t="s">
        <v>558</v>
      </c>
      <c r="Z97" s="19" t="s">
        <v>558</v>
      </c>
      <c r="AA97" s="19"/>
      <c r="AB97" s="19"/>
    </row>
    <row r="98" spans="2:28" x14ac:dyDescent="0.2">
      <c r="B98" s="16" t="s">
        <v>256</v>
      </c>
      <c r="C98" s="17">
        <v>89</v>
      </c>
      <c r="D98" s="18" t="s">
        <v>269</v>
      </c>
      <c r="E98" s="18" t="s">
        <v>269</v>
      </c>
      <c r="F98" s="18" t="s">
        <v>269</v>
      </c>
      <c r="G98" s="18" t="s">
        <v>269</v>
      </c>
      <c r="H98" s="18" t="s">
        <v>269</v>
      </c>
      <c r="I98" s="18" t="s">
        <v>269</v>
      </c>
      <c r="J98" s="18" t="s">
        <v>269</v>
      </c>
      <c r="K98" s="18" t="s">
        <v>269</v>
      </c>
      <c r="L98" s="18" t="s">
        <v>269</v>
      </c>
      <c r="M98" s="18" t="s">
        <v>269</v>
      </c>
      <c r="N98" s="18" t="s">
        <v>269</v>
      </c>
      <c r="O98" s="18" t="s">
        <v>269</v>
      </c>
      <c r="P98" s="18" t="s">
        <v>269</v>
      </c>
      <c r="Q98" s="18" t="s">
        <v>269</v>
      </c>
      <c r="R98" s="18" t="s">
        <v>269</v>
      </c>
      <c r="S98" s="18" t="s">
        <v>269</v>
      </c>
      <c r="T98" s="18" t="s">
        <v>269</v>
      </c>
      <c r="U98" s="16" t="s">
        <v>256</v>
      </c>
      <c r="V98" s="18" t="s">
        <v>269</v>
      </c>
      <c r="W98" s="38"/>
      <c r="X98" s="19" t="s">
        <v>545</v>
      </c>
      <c r="Y98" s="20" t="s">
        <v>558</v>
      </c>
      <c r="Z98" s="19" t="s">
        <v>558</v>
      </c>
      <c r="AA98" s="19"/>
      <c r="AB98" s="19"/>
    </row>
    <row r="99" spans="2:28" x14ac:dyDescent="0.2">
      <c r="B99" s="21" t="s">
        <v>159</v>
      </c>
      <c r="C99" s="22">
        <v>90</v>
      </c>
      <c r="D99" s="21" t="s">
        <v>159</v>
      </c>
      <c r="E99" s="30" t="s">
        <v>1057</v>
      </c>
      <c r="F99" s="30" t="s">
        <v>1058</v>
      </c>
      <c r="G99" s="30" t="s">
        <v>1059</v>
      </c>
      <c r="H99" s="103" t="s">
        <v>1060</v>
      </c>
      <c r="I99" s="21" t="s">
        <v>160</v>
      </c>
      <c r="J99" s="23" t="s">
        <v>672</v>
      </c>
      <c r="K99" s="18" t="s">
        <v>269</v>
      </c>
      <c r="L99" s="23" t="s">
        <v>673</v>
      </c>
      <c r="M99" s="18" t="s">
        <v>269</v>
      </c>
      <c r="N99" s="18" t="s">
        <v>269</v>
      </c>
      <c r="O99" s="18" t="s">
        <v>269</v>
      </c>
      <c r="P99" s="18" t="s">
        <v>269</v>
      </c>
      <c r="Q99" s="18" t="s">
        <v>269</v>
      </c>
      <c r="R99" s="18" t="s">
        <v>269</v>
      </c>
      <c r="S99" s="18" t="s">
        <v>269</v>
      </c>
      <c r="T99" s="21" t="s">
        <v>310</v>
      </c>
      <c r="U99" s="24"/>
      <c r="V99" s="107"/>
      <c r="W99" s="38" t="str">
        <f>_xlfn.IFS(AND(COUNTIF(U99,"SCB*")=1, 'PCH176'!G60&gt;=2), "See the Notice *2", TRUE, "")</f>
        <v/>
      </c>
      <c r="X99" s="19"/>
      <c r="Y99" s="20" t="s">
        <v>268</v>
      </c>
      <c r="Z99" s="20" t="s">
        <v>363</v>
      </c>
      <c r="AA99" s="19"/>
      <c r="AB99" s="19"/>
    </row>
    <row r="100" spans="2:28" x14ac:dyDescent="0.2">
      <c r="B100" s="21" t="s">
        <v>161</v>
      </c>
      <c r="C100" s="22">
        <v>91</v>
      </c>
      <c r="D100" s="21" t="s">
        <v>161</v>
      </c>
      <c r="E100" s="30" t="s">
        <v>1061</v>
      </c>
      <c r="F100" s="30" t="s">
        <v>1062</v>
      </c>
      <c r="G100" s="30" t="s">
        <v>1063</v>
      </c>
      <c r="H100" s="103" t="s">
        <v>1064</v>
      </c>
      <c r="I100" s="21" t="s">
        <v>162</v>
      </c>
      <c r="J100" s="23" t="s">
        <v>674</v>
      </c>
      <c r="K100" s="23" t="s">
        <v>675</v>
      </c>
      <c r="L100" s="23" t="s">
        <v>676</v>
      </c>
      <c r="M100" s="18" t="s">
        <v>269</v>
      </c>
      <c r="N100" s="18" t="s">
        <v>269</v>
      </c>
      <c r="O100" s="18" t="s">
        <v>269</v>
      </c>
      <c r="P100" s="18" t="s">
        <v>269</v>
      </c>
      <c r="Q100" s="18" t="s">
        <v>269</v>
      </c>
      <c r="R100" s="18" t="s">
        <v>269</v>
      </c>
      <c r="S100" s="18" t="s">
        <v>269</v>
      </c>
      <c r="T100" s="21" t="s">
        <v>311</v>
      </c>
      <c r="U100" s="106"/>
      <c r="V100" s="107"/>
      <c r="W100" s="38" t="str">
        <f>_xlfn.IFS(AND(COUNTIF(U100,"SCB*")=1, 'PCH176'!G60&gt;=2), "See the Notice *2", TRUE, "")</f>
        <v/>
      </c>
      <c r="X100" s="19"/>
      <c r="Y100" s="20" t="s">
        <v>268</v>
      </c>
      <c r="Z100" s="20" t="s">
        <v>363</v>
      </c>
      <c r="AA100" s="19"/>
      <c r="AB100" s="19"/>
    </row>
    <row r="101" spans="2:28" x14ac:dyDescent="0.2">
      <c r="B101" s="21" t="s">
        <v>163</v>
      </c>
      <c r="C101" s="22">
        <v>92</v>
      </c>
      <c r="D101" s="21" t="s">
        <v>163</v>
      </c>
      <c r="E101" s="30" t="s">
        <v>1065</v>
      </c>
      <c r="F101" s="30" t="s">
        <v>1066</v>
      </c>
      <c r="G101" s="30" t="s">
        <v>1067</v>
      </c>
      <c r="H101" s="103" t="s">
        <v>1068</v>
      </c>
      <c r="I101" s="21" t="s">
        <v>164</v>
      </c>
      <c r="J101" s="23" t="s">
        <v>677</v>
      </c>
      <c r="K101" s="23" t="s">
        <v>678</v>
      </c>
      <c r="L101" s="23" t="s">
        <v>679</v>
      </c>
      <c r="M101" s="18" t="s">
        <v>269</v>
      </c>
      <c r="N101" s="18" t="s">
        <v>269</v>
      </c>
      <c r="O101" s="18" t="s">
        <v>269</v>
      </c>
      <c r="P101" s="18" t="s">
        <v>269</v>
      </c>
      <c r="Q101" s="18" t="s">
        <v>269</v>
      </c>
      <c r="R101" s="18" t="s">
        <v>269</v>
      </c>
      <c r="S101" s="18" t="s">
        <v>269</v>
      </c>
      <c r="T101" s="21" t="s">
        <v>312</v>
      </c>
      <c r="U101" s="106"/>
      <c r="V101" s="107"/>
      <c r="W101" s="38" t="str">
        <f>_xlfn.IFS(AND(COUNTIF(U101,"SCB*")=1, 'PCH176'!G60&gt;=2), "See the Notice *2", TRUE, "")</f>
        <v/>
      </c>
      <c r="X101" s="19"/>
      <c r="Y101" s="20" t="s">
        <v>268</v>
      </c>
      <c r="Z101" s="20" t="s">
        <v>363</v>
      </c>
      <c r="AA101" s="19"/>
      <c r="AB101" s="19"/>
    </row>
    <row r="102" spans="2:28" x14ac:dyDescent="0.2">
      <c r="B102" s="21" t="s">
        <v>165</v>
      </c>
      <c r="C102" s="22">
        <v>93</v>
      </c>
      <c r="D102" s="21" t="s">
        <v>165</v>
      </c>
      <c r="E102" s="30" t="s">
        <v>1069</v>
      </c>
      <c r="F102" s="30" t="s">
        <v>1070</v>
      </c>
      <c r="G102" s="30" t="s">
        <v>1071</v>
      </c>
      <c r="H102" s="103" t="s">
        <v>1072</v>
      </c>
      <c r="I102" s="21" t="s">
        <v>166</v>
      </c>
      <c r="J102" s="23" t="s">
        <v>680</v>
      </c>
      <c r="K102" s="18" t="s">
        <v>269</v>
      </c>
      <c r="L102" s="23" t="s">
        <v>681</v>
      </c>
      <c r="M102" s="18" t="s">
        <v>269</v>
      </c>
      <c r="N102" s="18" t="s">
        <v>269</v>
      </c>
      <c r="O102" s="18" t="s">
        <v>269</v>
      </c>
      <c r="P102" s="18" t="s">
        <v>269</v>
      </c>
      <c r="Q102" s="18" t="s">
        <v>269</v>
      </c>
      <c r="R102" s="18" t="s">
        <v>269</v>
      </c>
      <c r="S102" s="18" t="s">
        <v>269</v>
      </c>
      <c r="T102" s="21" t="s">
        <v>313</v>
      </c>
      <c r="U102" s="106"/>
      <c r="V102" s="107"/>
      <c r="W102" s="38" t="str">
        <f>_xlfn.IFS(AND(COUNTIF(U102,"SCB*")=1, 'PCH176'!G60&gt;=2), "See the Notice *2", TRUE, "")</f>
        <v/>
      </c>
      <c r="X102" s="19"/>
      <c r="Y102" s="20" t="s">
        <v>268</v>
      </c>
      <c r="Z102" s="20" t="s">
        <v>363</v>
      </c>
      <c r="AA102" s="19"/>
      <c r="AB102" s="19"/>
    </row>
    <row r="103" spans="2:28" x14ac:dyDescent="0.2">
      <c r="B103" s="21" t="s">
        <v>167</v>
      </c>
      <c r="C103" s="22">
        <v>94</v>
      </c>
      <c r="D103" s="21" t="s">
        <v>167</v>
      </c>
      <c r="E103" s="30" t="s">
        <v>1073</v>
      </c>
      <c r="F103" s="30" t="s">
        <v>1074</v>
      </c>
      <c r="G103" s="30" t="s">
        <v>1075</v>
      </c>
      <c r="H103" s="30" t="s">
        <v>1076</v>
      </c>
      <c r="I103" s="18" t="s">
        <v>269</v>
      </c>
      <c r="J103" s="18" t="s">
        <v>269</v>
      </c>
      <c r="K103" s="18" t="s">
        <v>269</v>
      </c>
      <c r="L103" s="23" t="s">
        <v>682</v>
      </c>
      <c r="M103" s="18" t="s">
        <v>269</v>
      </c>
      <c r="N103" s="18" t="s">
        <v>269</v>
      </c>
      <c r="O103" s="18" t="s">
        <v>269</v>
      </c>
      <c r="P103" s="18" t="s">
        <v>269</v>
      </c>
      <c r="Q103" s="18" t="s">
        <v>269</v>
      </c>
      <c r="R103" s="18" t="s">
        <v>269</v>
      </c>
      <c r="S103" s="18" t="s">
        <v>269</v>
      </c>
      <c r="T103" s="21" t="s">
        <v>314</v>
      </c>
      <c r="U103" s="106"/>
      <c r="V103" s="107"/>
      <c r="W103" s="38" t="str">
        <f>_xlfn.IFS(AND(COUNTIF(U103,"SCB*")=1, 'PCH176'!G60&gt;=2), "See the Notice *2", TRUE, "")</f>
        <v/>
      </c>
      <c r="X103" s="19"/>
      <c r="Y103" s="20" t="s">
        <v>268</v>
      </c>
      <c r="Z103" s="20" t="s">
        <v>363</v>
      </c>
      <c r="AA103" s="19"/>
      <c r="AB103" s="19"/>
    </row>
    <row r="104" spans="2:28" x14ac:dyDescent="0.2">
      <c r="B104" s="21" t="s">
        <v>168</v>
      </c>
      <c r="C104" s="22">
        <v>95</v>
      </c>
      <c r="D104" s="21" t="s">
        <v>168</v>
      </c>
      <c r="E104" s="30" t="s">
        <v>1077</v>
      </c>
      <c r="F104" s="30" t="s">
        <v>1078</v>
      </c>
      <c r="G104" s="30" t="s">
        <v>1079</v>
      </c>
      <c r="H104" s="30" t="s">
        <v>1080</v>
      </c>
      <c r="I104" s="18" t="s">
        <v>269</v>
      </c>
      <c r="J104" s="18" t="s">
        <v>269</v>
      </c>
      <c r="K104" s="18" t="s">
        <v>269</v>
      </c>
      <c r="L104" s="23" t="s">
        <v>683</v>
      </c>
      <c r="M104" s="18" t="s">
        <v>269</v>
      </c>
      <c r="N104" s="18" t="s">
        <v>269</v>
      </c>
      <c r="O104" s="18" t="s">
        <v>269</v>
      </c>
      <c r="P104" s="18" t="s">
        <v>269</v>
      </c>
      <c r="Q104" s="18" t="s">
        <v>269</v>
      </c>
      <c r="R104" s="18" t="s">
        <v>269</v>
      </c>
      <c r="S104" s="18" t="s">
        <v>269</v>
      </c>
      <c r="T104" s="21" t="s">
        <v>315</v>
      </c>
      <c r="U104" s="106"/>
      <c r="V104" s="107"/>
      <c r="W104" s="38" t="str">
        <f>_xlfn.IFS(AND(COUNTIF(U104,"SCB*")=1, 'PCH176'!G60&gt;=2), "See the Notice *2", TRUE, "")</f>
        <v/>
      </c>
      <c r="X104" s="19"/>
      <c r="Y104" s="20" t="s">
        <v>268</v>
      </c>
      <c r="Z104" s="20" t="s">
        <v>363</v>
      </c>
      <c r="AA104" s="19"/>
      <c r="AB104" s="19"/>
    </row>
    <row r="105" spans="2:28" x14ac:dyDescent="0.2">
      <c r="B105" s="21" t="s">
        <v>169</v>
      </c>
      <c r="C105" s="22">
        <v>96</v>
      </c>
      <c r="D105" s="21" t="s">
        <v>169</v>
      </c>
      <c r="E105" s="30" t="s">
        <v>1081</v>
      </c>
      <c r="F105" s="30" t="s">
        <v>1082</v>
      </c>
      <c r="G105" s="30" t="s">
        <v>1083</v>
      </c>
      <c r="H105" s="30" t="s">
        <v>1084</v>
      </c>
      <c r="I105" s="18" t="s">
        <v>269</v>
      </c>
      <c r="J105" s="18" t="s">
        <v>269</v>
      </c>
      <c r="K105" s="18" t="s">
        <v>269</v>
      </c>
      <c r="L105" s="23" t="s">
        <v>684</v>
      </c>
      <c r="M105" s="18" t="s">
        <v>269</v>
      </c>
      <c r="N105" s="18" t="s">
        <v>269</v>
      </c>
      <c r="O105" s="21" t="s">
        <v>170</v>
      </c>
      <c r="P105" s="18" t="s">
        <v>269</v>
      </c>
      <c r="Q105" s="18" t="s">
        <v>269</v>
      </c>
      <c r="R105" s="18" t="s">
        <v>269</v>
      </c>
      <c r="S105" s="18" t="s">
        <v>269</v>
      </c>
      <c r="T105" s="21" t="s">
        <v>316</v>
      </c>
      <c r="U105" s="106"/>
      <c r="V105" s="107"/>
      <c r="W105" s="38" t="str">
        <f>_xlfn.IFS(AND(COUNTIF(U105,"SCB*")=1, 'PCH176'!G60&gt;=2), "See the Notice *2", TRUE, "")</f>
        <v/>
      </c>
      <c r="X105" s="19"/>
      <c r="Y105" s="20" t="s">
        <v>268</v>
      </c>
      <c r="Z105" s="20" t="s">
        <v>363</v>
      </c>
      <c r="AA105" s="19"/>
      <c r="AB105" s="19"/>
    </row>
    <row r="106" spans="2:28" x14ac:dyDescent="0.2">
      <c r="B106" s="21" t="s">
        <v>171</v>
      </c>
      <c r="C106" s="22">
        <v>97</v>
      </c>
      <c r="D106" s="21" t="s">
        <v>171</v>
      </c>
      <c r="E106" s="30" t="s">
        <v>1177</v>
      </c>
      <c r="F106" s="30" t="s">
        <v>1086</v>
      </c>
      <c r="G106" s="30" t="s">
        <v>1087</v>
      </c>
      <c r="H106" s="30" t="s">
        <v>1088</v>
      </c>
      <c r="I106" s="18" t="s">
        <v>269</v>
      </c>
      <c r="J106" s="18" t="s">
        <v>269</v>
      </c>
      <c r="K106" s="18" t="s">
        <v>269</v>
      </c>
      <c r="L106" s="18" t="s">
        <v>269</v>
      </c>
      <c r="M106" s="18" t="s">
        <v>269</v>
      </c>
      <c r="N106" s="18" t="s">
        <v>269</v>
      </c>
      <c r="O106" s="21" t="s">
        <v>172</v>
      </c>
      <c r="P106" s="18" t="s">
        <v>269</v>
      </c>
      <c r="Q106" s="18" t="s">
        <v>269</v>
      </c>
      <c r="R106" s="18" t="s">
        <v>269</v>
      </c>
      <c r="S106" s="18" t="s">
        <v>269</v>
      </c>
      <c r="T106" s="21" t="s">
        <v>317</v>
      </c>
      <c r="U106" s="106"/>
      <c r="V106" s="107"/>
      <c r="W106" s="38"/>
      <c r="X106" s="19"/>
      <c r="Y106" s="20" t="s">
        <v>268</v>
      </c>
      <c r="Z106" s="20" t="s">
        <v>363</v>
      </c>
      <c r="AA106" s="19"/>
      <c r="AB106" s="19"/>
    </row>
    <row r="107" spans="2:28" x14ac:dyDescent="0.2">
      <c r="B107" s="21" t="s">
        <v>173</v>
      </c>
      <c r="C107" s="22">
        <v>98</v>
      </c>
      <c r="D107" s="21" t="s">
        <v>173</v>
      </c>
      <c r="E107" s="30" t="s">
        <v>1089</v>
      </c>
      <c r="F107" s="30" t="s">
        <v>1090</v>
      </c>
      <c r="G107" s="30" t="s">
        <v>1091</v>
      </c>
      <c r="H107" s="30" t="s">
        <v>1092</v>
      </c>
      <c r="I107" s="18" t="s">
        <v>269</v>
      </c>
      <c r="J107" s="23" t="s">
        <v>685</v>
      </c>
      <c r="K107" s="18" t="s">
        <v>269</v>
      </c>
      <c r="L107" s="23" t="s">
        <v>686</v>
      </c>
      <c r="M107" s="18" t="s">
        <v>269</v>
      </c>
      <c r="N107" s="21" t="s">
        <v>174</v>
      </c>
      <c r="O107" s="18" t="s">
        <v>269</v>
      </c>
      <c r="P107" s="18" t="s">
        <v>269</v>
      </c>
      <c r="Q107" s="18" t="s">
        <v>269</v>
      </c>
      <c r="R107" s="18" t="s">
        <v>269</v>
      </c>
      <c r="S107" s="18" t="s">
        <v>269</v>
      </c>
      <c r="T107" s="21" t="s">
        <v>318</v>
      </c>
      <c r="U107" s="106"/>
      <c r="V107" s="107"/>
      <c r="W107" s="38" t="str">
        <f>_xlfn.IFS(AND(COUNTIF(U107,"SCB*")=1, 'PCH176'!F60&gt;=2), "See the Notice *2", TRUE, "")</f>
        <v/>
      </c>
      <c r="X107" s="19"/>
      <c r="Y107" s="20" t="s">
        <v>268</v>
      </c>
      <c r="Z107" s="20" t="s">
        <v>363</v>
      </c>
      <c r="AA107" s="19"/>
      <c r="AB107" s="19"/>
    </row>
    <row r="108" spans="2:28" x14ac:dyDescent="0.2">
      <c r="B108" s="21" t="s">
        <v>175</v>
      </c>
      <c r="C108" s="22">
        <v>99</v>
      </c>
      <c r="D108" s="21" t="s">
        <v>175</v>
      </c>
      <c r="E108" s="30" t="s">
        <v>1093</v>
      </c>
      <c r="F108" s="30" t="s">
        <v>1094</v>
      </c>
      <c r="G108" s="30" t="s">
        <v>1095</v>
      </c>
      <c r="H108" s="30" t="s">
        <v>1096</v>
      </c>
      <c r="I108" s="18" t="s">
        <v>269</v>
      </c>
      <c r="J108" s="23" t="s">
        <v>687</v>
      </c>
      <c r="K108" s="23" t="s">
        <v>688</v>
      </c>
      <c r="L108" s="23" t="s">
        <v>689</v>
      </c>
      <c r="M108" s="18" t="s">
        <v>269</v>
      </c>
      <c r="N108" s="21" t="s">
        <v>176</v>
      </c>
      <c r="O108" s="18" t="s">
        <v>269</v>
      </c>
      <c r="P108" s="18" t="s">
        <v>269</v>
      </c>
      <c r="Q108" s="18" t="s">
        <v>269</v>
      </c>
      <c r="R108" s="18" t="s">
        <v>269</v>
      </c>
      <c r="S108" s="18" t="s">
        <v>269</v>
      </c>
      <c r="T108" s="21" t="s">
        <v>319</v>
      </c>
      <c r="U108" s="24"/>
      <c r="V108" s="107"/>
      <c r="W108" s="38" t="str">
        <f>_xlfn.IFS(AND(COUNTIF(U108,"SCB*")=1, 'PCH176'!F60&gt;=2), "See the Notice *2", TRUE, "")</f>
        <v/>
      </c>
      <c r="X108" s="19"/>
      <c r="Y108" s="20" t="s">
        <v>268</v>
      </c>
      <c r="Z108" s="20" t="s">
        <v>363</v>
      </c>
      <c r="AA108" s="19"/>
      <c r="AB108" s="19"/>
    </row>
    <row r="109" spans="2:28" x14ac:dyDescent="0.2">
      <c r="B109" s="21" t="s">
        <v>177</v>
      </c>
      <c r="C109" s="22">
        <v>100</v>
      </c>
      <c r="D109" s="21" t="s">
        <v>177</v>
      </c>
      <c r="E109" s="30" t="s">
        <v>1097</v>
      </c>
      <c r="F109" s="30" t="s">
        <v>1098</v>
      </c>
      <c r="G109" s="30" t="s">
        <v>1099</v>
      </c>
      <c r="H109" s="30" t="s">
        <v>1100</v>
      </c>
      <c r="I109" s="18" t="s">
        <v>269</v>
      </c>
      <c r="J109" s="23" t="s">
        <v>690</v>
      </c>
      <c r="K109" s="23" t="s">
        <v>691</v>
      </c>
      <c r="L109" s="23" t="s">
        <v>692</v>
      </c>
      <c r="M109" s="21" t="s">
        <v>149</v>
      </c>
      <c r="N109" s="18" t="s">
        <v>269</v>
      </c>
      <c r="O109" s="18" t="s">
        <v>269</v>
      </c>
      <c r="P109" s="18" t="s">
        <v>269</v>
      </c>
      <c r="Q109" s="18" t="s">
        <v>269</v>
      </c>
      <c r="R109" s="18" t="s">
        <v>269</v>
      </c>
      <c r="S109" s="18" t="s">
        <v>269</v>
      </c>
      <c r="T109" s="21" t="s">
        <v>320</v>
      </c>
      <c r="U109" s="24"/>
      <c r="V109" s="107"/>
      <c r="W109" s="38" t="str">
        <f>_xlfn.IFS(AND(COUNTIF(U109,"SCB*")=1, 'PCH176'!F60&gt;=2), "See the Notice *2", TRUE, "")</f>
        <v/>
      </c>
      <c r="X109" s="19"/>
      <c r="Y109" s="20" t="s">
        <v>268</v>
      </c>
      <c r="Z109" s="20" t="s">
        <v>363</v>
      </c>
      <c r="AA109" s="19"/>
      <c r="AB109" s="19"/>
    </row>
    <row r="110" spans="2:28" x14ac:dyDescent="0.2">
      <c r="B110" s="21" t="s">
        <v>178</v>
      </c>
      <c r="C110" s="22">
        <v>101</v>
      </c>
      <c r="D110" s="21" t="s">
        <v>178</v>
      </c>
      <c r="E110" s="30" t="s">
        <v>1128</v>
      </c>
      <c r="F110" s="30" t="s">
        <v>1101</v>
      </c>
      <c r="G110" s="30" t="s">
        <v>1102</v>
      </c>
      <c r="H110" s="30" t="s">
        <v>1103</v>
      </c>
      <c r="I110" s="18" t="s">
        <v>269</v>
      </c>
      <c r="J110" s="23" t="s">
        <v>693</v>
      </c>
      <c r="K110" s="18" t="s">
        <v>269</v>
      </c>
      <c r="L110" s="23" t="s">
        <v>694</v>
      </c>
      <c r="M110" s="21" t="s">
        <v>152</v>
      </c>
      <c r="N110" s="18" t="s">
        <v>269</v>
      </c>
      <c r="O110" s="18" t="s">
        <v>269</v>
      </c>
      <c r="P110" s="18" t="s">
        <v>269</v>
      </c>
      <c r="Q110" s="18" t="s">
        <v>269</v>
      </c>
      <c r="R110" s="18" t="s">
        <v>269</v>
      </c>
      <c r="S110" s="18" t="s">
        <v>269</v>
      </c>
      <c r="T110" s="21" t="s">
        <v>321</v>
      </c>
      <c r="U110" s="24"/>
      <c r="V110" s="107"/>
      <c r="W110" s="38" t="str">
        <f>_xlfn.IFS(AND(COUNTIF(U110,"SCB*")=1, 'PCH176'!F60&gt;=2), "See the Notice *2", TRUE, "")</f>
        <v/>
      </c>
      <c r="X110" s="19"/>
      <c r="Y110" s="20" t="s">
        <v>268</v>
      </c>
      <c r="Z110" s="20" t="s">
        <v>363</v>
      </c>
      <c r="AA110" s="19"/>
      <c r="AB110" s="19"/>
    </row>
    <row r="111" spans="2:28" x14ac:dyDescent="0.2">
      <c r="B111" s="21" t="s">
        <v>179</v>
      </c>
      <c r="C111" s="22">
        <v>102</v>
      </c>
      <c r="D111" s="21" t="s">
        <v>179</v>
      </c>
      <c r="E111" s="30" t="s">
        <v>1129</v>
      </c>
      <c r="F111" s="30" t="s">
        <v>1104</v>
      </c>
      <c r="G111" s="30" t="s">
        <v>1105</v>
      </c>
      <c r="H111" s="30" t="s">
        <v>1106</v>
      </c>
      <c r="I111" s="18" t="s">
        <v>269</v>
      </c>
      <c r="J111" s="18" t="s">
        <v>269</v>
      </c>
      <c r="K111" s="18" t="s">
        <v>269</v>
      </c>
      <c r="L111" s="23" t="s">
        <v>695</v>
      </c>
      <c r="M111" s="21" t="s">
        <v>145</v>
      </c>
      <c r="N111" s="18" t="s">
        <v>269</v>
      </c>
      <c r="O111" s="18" t="s">
        <v>269</v>
      </c>
      <c r="P111" s="18" t="s">
        <v>269</v>
      </c>
      <c r="Q111" s="18" t="s">
        <v>269</v>
      </c>
      <c r="R111" s="18" t="s">
        <v>269</v>
      </c>
      <c r="S111" s="18" t="s">
        <v>269</v>
      </c>
      <c r="T111" s="21" t="s">
        <v>322</v>
      </c>
      <c r="U111" s="24"/>
      <c r="V111" s="107"/>
      <c r="W111" s="38" t="str">
        <f>_xlfn.IFS(AND(COUNTIF(U111,"SCB*")=1, 'PCH176'!F60&gt;=2), "See the Notice *2", TRUE, "")</f>
        <v/>
      </c>
      <c r="X111" s="19"/>
      <c r="Y111" s="20" t="s">
        <v>268</v>
      </c>
      <c r="Z111" s="20" t="s">
        <v>363</v>
      </c>
      <c r="AA111" s="19"/>
      <c r="AB111" s="19"/>
    </row>
    <row r="112" spans="2:28" x14ac:dyDescent="0.2">
      <c r="B112" s="21" t="s">
        <v>180</v>
      </c>
      <c r="C112" s="22">
        <v>103</v>
      </c>
      <c r="D112" s="21" t="s">
        <v>180</v>
      </c>
      <c r="E112" s="30" t="s">
        <v>1130</v>
      </c>
      <c r="F112" s="30" t="s">
        <v>1107</v>
      </c>
      <c r="G112" s="30" t="s">
        <v>1108</v>
      </c>
      <c r="H112" s="30" t="s">
        <v>1109</v>
      </c>
      <c r="I112" s="18" t="s">
        <v>269</v>
      </c>
      <c r="J112" s="18" t="s">
        <v>269</v>
      </c>
      <c r="K112" s="18" t="s">
        <v>269</v>
      </c>
      <c r="L112" s="23" t="s">
        <v>696</v>
      </c>
      <c r="M112" s="18" t="s">
        <v>269</v>
      </c>
      <c r="N112" s="18" t="s">
        <v>269</v>
      </c>
      <c r="O112" s="18" t="s">
        <v>269</v>
      </c>
      <c r="P112" s="18" t="s">
        <v>269</v>
      </c>
      <c r="Q112" s="18" t="s">
        <v>269</v>
      </c>
      <c r="R112" s="18" t="s">
        <v>269</v>
      </c>
      <c r="S112" s="18" t="s">
        <v>269</v>
      </c>
      <c r="T112" s="21" t="s">
        <v>323</v>
      </c>
      <c r="U112" s="24"/>
      <c r="V112" s="107"/>
      <c r="W112" s="38" t="str">
        <f>_xlfn.IFS(AND(COUNTIF(U112,"SCB*")=1, 'PCH176'!F60&gt;=2), "See the Notice *2", TRUE, "")</f>
        <v/>
      </c>
      <c r="X112" s="19"/>
      <c r="Y112" s="20" t="s">
        <v>268</v>
      </c>
      <c r="Z112" s="20" t="s">
        <v>363</v>
      </c>
      <c r="AA112" s="19"/>
      <c r="AB112" s="19"/>
    </row>
    <row r="113" spans="2:28" x14ac:dyDescent="0.2">
      <c r="B113" s="21" t="s">
        <v>181</v>
      </c>
      <c r="C113" s="22">
        <v>104</v>
      </c>
      <c r="D113" s="21" t="s">
        <v>181</v>
      </c>
      <c r="E113" s="30" t="s">
        <v>1131</v>
      </c>
      <c r="F113" s="30" t="s">
        <v>1110</v>
      </c>
      <c r="G113" s="30" t="s">
        <v>1111</v>
      </c>
      <c r="H113" s="30" t="s">
        <v>1112</v>
      </c>
      <c r="I113" s="18" t="s">
        <v>269</v>
      </c>
      <c r="J113" s="18" t="s">
        <v>269</v>
      </c>
      <c r="K113" s="18" t="s">
        <v>269</v>
      </c>
      <c r="L113" s="18" t="s">
        <v>269</v>
      </c>
      <c r="M113" s="18" t="s">
        <v>269</v>
      </c>
      <c r="N113" s="18" t="s">
        <v>269</v>
      </c>
      <c r="O113" s="21" t="s">
        <v>182</v>
      </c>
      <c r="P113" s="18" t="s">
        <v>269</v>
      </c>
      <c r="Q113" s="18" t="s">
        <v>269</v>
      </c>
      <c r="R113" s="18" t="s">
        <v>269</v>
      </c>
      <c r="S113" s="18" t="s">
        <v>269</v>
      </c>
      <c r="T113" s="21" t="s">
        <v>324</v>
      </c>
      <c r="U113" s="106"/>
      <c r="V113" s="107"/>
      <c r="W113" s="38"/>
      <c r="X113" s="19"/>
      <c r="Y113" s="20" t="s">
        <v>268</v>
      </c>
      <c r="Z113" s="20" t="s">
        <v>363</v>
      </c>
      <c r="AA113" s="19"/>
      <c r="AB113" s="19"/>
    </row>
    <row r="114" spans="2:28" x14ac:dyDescent="0.2">
      <c r="B114" s="21" t="s">
        <v>183</v>
      </c>
      <c r="C114" s="22">
        <v>105</v>
      </c>
      <c r="D114" s="21" t="s">
        <v>183</v>
      </c>
      <c r="E114" s="30" t="s">
        <v>1132</v>
      </c>
      <c r="F114" s="30" t="s">
        <v>1113</v>
      </c>
      <c r="G114" s="30" t="s">
        <v>1114</v>
      </c>
      <c r="H114" s="30" t="s">
        <v>1115</v>
      </c>
      <c r="I114" s="18" t="s">
        <v>269</v>
      </c>
      <c r="J114" s="18" t="s">
        <v>269</v>
      </c>
      <c r="K114" s="18" t="s">
        <v>269</v>
      </c>
      <c r="L114" s="18" t="s">
        <v>269</v>
      </c>
      <c r="M114" s="18" t="s">
        <v>269</v>
      </c>
      <c r="N114" s="18" t="s">
        <v>269</v>
      </c>
      <c r="O114" s="21" t="s">
        <v>184</v>
      </c>
      <c r="P114" s="18" t="s">
        <v>269</v>
      </c>
      <c r="Q114" s="18" t="s">
        <v>269</v>
      </c>
      <c r="R114" s="18" t="s">
        <v>269</v>
      </c>
      <c r="S114" s="18" t="s">
        <v>269</v>
      </c>
      <c r="T114" s="21" t="s">
        <v>325</v>
      </c>
      <c r="U114" s="106"/>
      <c r="V114" s="107"/>
      <c r="W114" s="38"/>
      <c r="X114" s="19"/>
      <c r="Y114" s="20" t="s">
        <v>268</v>
      </c>
      <c r="Z114" s="20" t="s">
        <v>363</v>
      </c>
      <c r="AA114" s="19"/>
      <c r="AB114" s="19"/>
    </row>
    <row r="115" spans="2:28" x14ac:dyDescent="0.2">
      <c r="B115" s="21" t="s">
        <v>185</v>
      </c>
      <c r="C115" s="22">
        <v>106</v>
      </c>
      <c r="D115" s="21" t="s">
        <v>185</v>
      </c>
      <c r="E115" s="30" t="s">
        <v>1133</v>
      </c>
      <c r="F115" s="30" t="s">
        <v>1116</v>
      </c>
      <c r="G115" s="30" t="s">
        <v>1117</v>
      </c>
      <c r="H115" s="30" t="s">
        <v>1118</v>
      </c>
      <c r="I115" s="18" t="s">
        <v>269</v>
      </c>
      <c r="J115" s="18" t="s">
        <v>269</v>
      </c>
      <c r="K115" s="18" t="s">
        <v>269</v>
      </c>
      <c r="L115" s="18" t="s">
        <v>269</v>
      </c>
      <c r="M115" s="18" t="s">
        <v>269</v>
      </c>
      <c r="N115" s="18" t="s">
        <v>269</v>
      </c>
      <c r="O115" s="18" t="s">
        <v>269</v>
      </c>
      <c r="P115" s="18" t="s">
        <v>269</v>
      </c>
      <c r="Q115" s="18" t="s">
        <v>269</v>
      </c>
      <c r="R115" s="18" t="s">
        <v>269</v>
      </c>
      <c r="S115" s="18" t="s">
        <v>269</v>
      </c>
      <c r="T115" s="21" t="s">
        <v>326</v>
      </c>
      <c r="U115" s="106"/>
      <c r="V115" s="107"/>
      <c r="W115" s="38"/>
      <c r="X115" s="19"/>
      <c r="Y115" s="20" t="s">
        <v>268</v>
      </c>
      <c r="Z115" s="20" t="s">
        <v>363</v>
      </c>
      <c r="AA115" s="19"/>
      <c r="AB115" s="19"/>
    </row>
    <row r="116" spans="2:28" x14ac:dyDescent="0.2">
      <c r="B116" s="21" t="s">
        <v>186</v>
      </c>
      <c r="C116" s="22">
        <v>107</v>
      </c>
      <c r="D116" s="21" t="s">
        <v>186</v>
      </c>
      <c r="E116" s="30" t="s">
        <v>1134</v>
      </c>
      <c r="F116" s="30" t="s">
        <v>1119</v>
      </c>
      <c r="G116" s="30" t="s">
        <v>1120</v>
      </c>
      <c r="H116" s="30" t="s">
        <v>1121</v>
      </c>
      <c r="I116" s="18" t="s">
        <v>269</v>
      </c>
      <c r="J116" s="18" t="s">
        <v>269</v>
      </c>
      <c r="K116" s="18" t="s">
        <v>269</v>
      </c>
      <c r="L116" s="18" t="s">
        <v>269</v>
      </c>
      <c r="M116" s="18" t="s">
        <v>269</v>
      </c>
      <c r="N116" s="18" t="s">
        <v>269</v>
      </c>
      <c r="O116" s="18" t="s">
        <v>269</v>
      </c>
      <c r="P116" s="18" t="s">
        <v>269</v>
      </c>
      <c r="Q116" s="18" t="s">
        <v>269</v>
      </c>
      <c r="R116" s="18" t="s">
        <v>269</v>
      </c>
      <c r="S116" s="18" t="s">
        <v>269</v>
      </c>
      <c r="T116" s="21" t="s">
        <v>327</v>
      </c>
      <c r="U116" s="106"/>
      <c r="V116" s="107"/>
      <c r="W116" s="38"/>
      <c r="X116" s="19"/>
      <c r="Y116" s="20" t="s">
        <v>268</v>
      </c>
      <c r="Z116" s="20" t="s">
        <v>363</v>
      </c>
      <c r="AA116" s="19"/>
      <c r="AB116" s="19"/>
    </row>
    <row r="117" spans="2:28" x14ac:dyDescent="0.2">
      <c r="B117" s="21" t="s">
        <v>187</v>
      </c>
      <c r="C117" s="22">
        <v>108</v>
      </c>
      <c r="D117" s="21" t="s">
        <v>187</v>
      </c>
      <c r="E117" s="30" t="s">
        <v>1135</v>
      </c>
      <c r="F117" s="30" t="s">
        <v>1122</v>
      </c>
      <c r="G117" s="30" t="s">
        <v>1123</v>
      </c>
      <c r="H117" s="30" t="s">
        <v>1124</v>
      </c>
      <c r="I117" s="18" t="s">
        <v>269</v>
      </c>
      <c r="J117" s="18" t="s">
        <v>269</v>
      </c>
      <c r="K117" s="18" t="s">
        <v>269</v>
      </c>
      <c r="L117" s="18" t="s">
        <v>269</v>
      </c>
      <c r="M117" s="18" t="s">
        <v>269</v>
      </c>
      <c r="N117" s="18" t="s">
        <v>269</v>
      </c>
      <c r="O117" s="18" t="s">
        <v>269</v>
      </c>
      <c r="P117" s="18" t="s">
        <v>269</v>
      </c>
      <c r="Q117" s="18" t="s">
        <v>269</v>
      </c>
      <c r="R117" s="18" t="s">
        <v>269</v>
      </c>
      <c r="S117" s="18" t="s">
        <v>269</v>
      </c>
      <c r="T117" s="21" t="s">
        <v>328</v>
      </c>
      <c r="U117" s="106"/>
      <c r="V117" s="107"/>
      <c r="W117" s="38"/>
      <c r="X117" s="19"/>
      <c r="Y117" s="20" t="s">
        <v>268</v>
      </c>
      <c r="Z117" s="20" t="s">
        <v>363</v>
      </c>
      <c r="AA117" s="19"/>
      <c r="AB117" s="19"/>
    </row>
    <row r="118" spans="2:28" x14ac:dyDescent="0.2">
      <c r="B118" s="21" t="s">
        <v>188</v>
      </c>
      <c r="C118" s="22">
        <v>109</v>
      </c>
      <c r="D118" s="21" t="s">
        <v>188</v>
      </c>
      <c r="E118" s="30" t="s">
        <v>1136</v>
      </c>
      <c r="F118" s="30" t="s">
        <v>1125</v>
      </c>
      <c r="G118" s="30" t="s">
        <v>1126</v>
      </c>
      <c r="H118" s="30" t="s">
        <v>1127</v>
      </c>
      <c r="I118" s="18" t="s">
        <v>269</v>
      </c>
      <c r="J118" s="18" t="s">
        <v>269</v>
      </c>
      <c r="K118" s="18" t="s">
        <v>269</v>
      </c>
      <c r="L118" s="18" t="s">
        <v>269</v>
      </c>
      <c r="M118" s="18" t="s">
        <v>269</v>
      </c>
      <c r="N118" s="18" t="s">
        <v>269</v>
      </c>
      <c r="O118" s="18" t="s">
        <v>269</v>
      </c>
      <c r="P118" s="18" t="s">
        <v>269</v>
      </c>
      <c r="Q118" s="18" t="s">
        <v>269</v>
      </c>
      <c r="R118" s="18" t="s">
        <v>269</v>
      </c>
      <c r="S118" s="18" t="s">
        <v>269</v>
      </c>
      <c r="T118" s="21" t="s">
        <v>329</v>
      </c>
      <c r="U118" s="106"/>
      <c r="V118" s="107"/>
      <c r="W118" s="38"/>
      <c r="X118" s="19"/>
      <c r="Y118" s="20" t="s">
        <v>268</v>
      </c>
      <c r="Z118" s="20" t="s">
        <v>363</v>
      </c>
      <c r="AA118" s="19"/>
      <c r="AB118" s="19"/>
    </row>
    <row r="119" spans="2:28" x14ac:dyDescent="0.2">
      <c r="B119" s="28" t="s">
        <v>257</v>
      </c>
      <c r="C119" s="17">
        <v>110</v>
      </c>
      <c r="D119" s="18" t="s">
        <v>269</v>
      </c>
      <c r="E119" s="18" t="s">
        <v>269</v>
      </c>
      <c r="F119" s="18" t="s">
        <v>269</v>
      </c>
      <c r="G119" s="18" t="s">
        <v>269</v>
      </c>
      <c r="H119" s="18" t="s">
        <v>269</v>
      </c>
      <c r="I119" s="18" t="s">
        <v>269</v>
      </c>
      <c r="J119" s="18" t="s">
        <v>269</v>
      </c>
      <c r="K119" s="18" t="s">
        <v>269</v>
      </c>
      <c r="L119" s="18" t="s">
        <v>269</v>
      </c>
      <c r="M119" s="18" t="s">
        <v>269</v>
      </c>
      <c r="N119" s="18" t="s">
        <v>269</v>
      </c>
      <c r="O119" s="18" t="s">
        <v>269</v>
      </c>
      <c r="P119" s="18" t="s">
        <v>269</v>
      </c>
      <c r="Q119" s="18" t="s">
        <v>269</v>
      </c>
      <c r="R119" s="18" t="s">
        <v>269</v>
      </c>
      <c r="S119" s="18" t="s">
        <v>269</v>
      </c>
      <c r="T119" s="18" t="s">
        <v>269</v>
      </c>
      <c r="U119" s="28" t="s">
        <v>257</v>
      </c>
      <c r="V119" s="18" t="s">
        <v>269</v>
      </c>
      <c r="W119" s="38"/>
      <c r="X119" s="19" t="s">
        <v>544</v>
      </c>
      <c r="Y119" s="20" t="s">
        <v>558</v>
      </c>
      <c r="Z119" s="19" t="s">
        <v>558</v>
      </c>
      <c r="AA119" s="19"/>
      <c r="AB119" s="19"/>
    </row>
    <row r="120" spans="2:28" x14ac:dyDescent="0.2">
      <c r="B120" s="16" t="s">
        <v>256</v>
      </c>
      <c r="C120" s="17">
        <v>111</v>
      </c>
      <c r="D120" s="18" t="s">
        <v>269</v>
      </c>
      <c r="E120" s="18" t="s">
        <v>269</v>
      </c>
      <c r="F120" s="18" t="s">
        <v>269</v>
      </c>
      <c r="G120" s="18" t="s">
        <v>269</v>
      </c>
      <c r="H120" s="18" t="s">
        <v>269</v>
      </c>
      <c r="I120" s="18" t="s">
        <v>269</v>
      </c>
      <c r="J120" s="18" t="s">
        <v>269</v>
      </c>
      <c r="K120" s="18" t="s">
        <v>269</v>
      </c>
      <c r="L120" s="18" t="s">
        <v>269</v>
      </c>
      <c r="M120" s="18" t="s">
        <v>269</v>
      </c>
      <c r="N120" s="18" t="s">
        <v>269</v>
      </c>
      <c r="O120" s="18" t="s">
        <v>269</v>
      </c>
      <c r="P120" s="18" t="s">
        <v>269</v>
      </c>
      <c r="Q120" s="18" t="s">
        <v>269</v>
      </c>
      <c r="R120" s="18" t="s">
        <v>269</v>
      </c>
      <c r="S120" s="18" t="s">
        <v>269</v>
      </c>
      <c r="T120" s="18" t="s">
        <v>269</v>
      </c>
      <c r="U120" s="16" t="s">
        <v>256</v>
      </c>
      <c r="V120" s="18" t="s">
        <v>269</v>
      </c>
      <c r="W120" s="38"/>
      <c r="X120" s="19" t="s">
        <v>545</v>
      </c>
      <c r="Y120" s="20" t="s">
        <v>558</v>
      </c>
      <c r="Z120" s="19" t="s">
        <v>558</v>
      </c>
      <c r="AA120" s="19"/>
      <c r="AB120" s="19"/>
    </row>
    <row r="121" spans="2:28" x14ac:dyDescent="0.2">
      <c r="B121" s="21" t="s">
        <v>189</v>
      </c>
      <c r="C121" s="22">
        <v>112</v>
      </c>
      <c r="D121" s="21" t="s">
        <v>189</v>
      </c>
      <c r="E121" s="30" t="s">
        <v>1137</v>
      </c>
      <c r="F121" s="30" t="s">
        <v>1138</v>
      </c>
      <c r="G121" s="30" t="s">
        <v>1139</v>
      </c>
      <c r="H121" s="103" t="s">
        <v>1140</v>
      </c>
      <c r="I121" s="21" t="s">
        <v>1151</v>
      </c>
      <c r="J121" s="18" t="s">
        <v>269</v>
      </c>
      <c r="K121" s="18" t="s">
        <v>269</v>
      </c>
      <c r="L121" s="18" t="s">
        <v>269</v>
      </c>
      <c r="M121" s="18" t="s">
        <v>269</v>
      </c>
      <c r="N121" s="18" t="s">
        <v>269</v>
      </c>
      <c r="O121" s="18" t="s">
        <v>269</v>
      </c>
      <c r="P121" s="18" t="s">
        <v>269</v>
      </c>
      <c r="Q121" s="18" t="s">
        <v>269</v>
      </c>
      <c r="R121" s="18" t="s">
        <v>269</v>
      </c>
      <c r="S121" s="18" t="s">
        <v>269</v>
      </c>
      <c r="T121" s="18" t="s">
        <v>269</v>
      </c>
      <c r="U121" s="106"/>
      <c r="V121" s="18" t="s">
        <v>269</v>
      </c>
      <c r="W121" s="38"/>
      <c r="X121" s="19"/>
      <c r="Y121" s="20" t="s">
        <v>268</v>
      </c>
      <c r="Z121" s="20" t="s">
        <v>257</v>
      </c>
      <c r="AA121" s="19"/>
      <c r="AB121" s="19"/>
    </row>
    <row r="122" spans="2:28" x14ac:dyDescent="0.2">
      <c r="B122" s="21" t="s">
        <v>190</v>
      </c>
      <c r="C122" s="22">
        <v>113</v>
      </c>
      <c r="D122" s="21" t="s">
        <v>190</v>
      </c>
      <c r="E122" s="30" t="s">
        <v>1141</v>
      </c>
      <c r="F122" s="30" t="s">
        <v>1142</v>
      </c>
      <c r="G122" s="30" t="s">
        <v>1143</v>
      </c>
      <c r="H122" s="103" t="s">
        <v>1144</v>
      </c>
      <c r="I122" s="21" t="s">
        <v>1152</v>
      </c>
      <c r="J122" s="18" t="s">
        <v>269</v>
      </c>
      <c r="K122" s="18" t="s">
        <v>269</v>
      </c>
      <c r="L122" s="18" t="s">
        <v>269</v>
      </c>
      <c r="M122" s="18" t="s">
        <v>269</v>
      </c>
      <c r="N122" s="18" t="s">
        <v>269</v>
      </c>
      <c r="O122" s="18" t="s">
        <v>269</v>
      </c>
      <c r="P122" s="18" t="s">
        <v>269</v>
      </c>
      <c r="Q122" s="18" t="s">
        <v>269</v>
      </c>
      <c r="R122" s="18" t="s">
        <v>269</v>
      </c>
      <c r="S122" s="18" t="s">
        <v>269</v>
      </c>
      <c r="T122" s="18" t="s">
        <v>269</v>
      </c>
      <c r="U122" s="106"/>
      <c r="V122" s="18" t="s">
        <v>269</v>
      </c>
      <c r="W122" s="38"/>
      <c r="X122" s="19"/>
      <c r="Y122" s="20" t="s">
        <v>268</v>
      </c>
      <c r="Z122" s="20" t="s">
        <v>257</v>
      </c>
      <c r="AA122" s="19"/>
      <c r="AB122" s="19"/>
    </row>
    <row r="123" spans="2:28" x14ac:dyDescent="0.2">
      <c r="B123" s="21" t="s">
        <v>191</v>
      </c>
      <c r="C123" s="22">
        <v>114</v>
      </c>
      <c r="D123" s="21" t="s">
        <v>191</v>
      </c>
      <c r="E123" s="30" t="s">
        <v>1145</v>
      </c>
      <c r="F123" s="30" t="s">
        <v>1146</v>
      </c>
      <c r="G123" s="30" t="s">
        <v>1147</v>
      </c>
      <c r="H123" s="103" t="s">
        <v>1148</v>
      </c>
      <c r="I123" s="21" t="s">
        <v>1153</v>
      </c>
      <c r="J123" s="18" t="s">
        <v>269</v>
      </c>
      <c r="K123" s="18" t="s">
        <v>269</v>
      </c>
      <c r="L123" s="18" t="s">
        <v>269</v>
      </c>
      <c r="M123" s="18" t="s">
        <v>269</v>
      </c>
      <c r="N123" s="18" t="s">
        <v>269</v>
      </c>
      <c r="O123" s="18" t="s">
        <v>269</v>
      </c>
      <c r="P123" s="18" t="s">
        <v>269</v>
      </c>
      <c r="Q123" s="18" t="s">
        <v>269</v>
      </c>
      <c r="R123" s="18" t="s">
        <v>269</v>
      </c>
      <c r="S123" s="18" t="s">
        <v>269</v>
      </c>
      <c r="T123" s="18" t="s">
        <v>269</v>
      </c>
      <c r="U123" s="106"/>
      <c r="V123" s="18" t="s">
        <v>269</v>
      </c>
      <c r="W123" s="38"/>
      <c r="X123" s="19"/>
      <c r="Y123" s="20" t="s">
        <v>268</v>
      </c>
      <c r="Z123" s="20" t="s">
        <v>257</v>
      </c>
      <c r="AA123" s="19"/>
      <c r="AB123" s="19"/>
    </row>
    <row r="124" spans="2:28" x14ac:dyDescent="0.2">
      <c r="B124" s="21" t="s">
        <v>192</v>
      </c>
      <c r="C124" s="22">
        <v>115</v>
      </c>
      <c r="D124" s="21" t="s">
        <v>192</v>
      </c>
      <c r="E124" s="30" t="s">
        <v>1145</v>
      </c>
      <c r="F124" s="30" t="s">
        <v>1149</v>
      </c>
      <c r="G124" s="30" t="s">
        <v>1147</v>
      </c>
      <c r="H124" s="103" t="s">
        <v>1150</v>
      </c>
      <c r="I124" s="21" t="s">
        <v>1154</v>
      </c>
      <c r="J124" s="18" t="s">
        <v>269</v>
      </c>
      <c r="K124" s="18" t="s">
        <v>269</v>
      </c>
      <c r="L124" s="18" t="s">
        <v>269</v>
      </c>
      <c r="M124" s="18" t="s">
        <v>269</v>
      </c>
      <c r="N124" s="18" t="s">
        <v>269</v>
      </c>
      <c r="O124" s="18" t="s">
        <v>269</v>
      </c>
      <c r="P124" s="18" t="s">
        <v>269</v>
      </c>
      <c r="Q124" s="18" t="s">
        <v>269</v>
      </c>
      <c r="R124" s="18" t="s">
        <v>269</v>
      </c>
      <c r="S124" s="18" t="s">
        <v>269</v>
      </c>
      <c r="T124" s="18" t="s">
        <v>269</v>
      </c>
      <c r="U124" s="106"/>
      <c r="V124" s="18" t="s">
        <v>269</v>
      </c>
      <c r="W124" s="38"/>
      <c r="X124" s="19"/>
      <c r="Y124" s="20" t="s">
        <v>268</v>
      </c>
      <c r="Z124" s="20" t="s">
        <v>257</v>
      </c>
      <c r="AA124" s="19"/>
      <c r="AB124" s="19"/>
    </row>
    <row r="125" spans="2:28" x14ac:dyDescent="0.2">
      <c r="B125" s="21" t="s">
        <v>193</v>
      </c>
      <c r="C125" s="22">
        <v>116</v>
      </c>
      <c r="D125" s="21" t="s">
        <v>193</v>
      </c>
      <c r="E125" s="30" t="s">
        <v>1141</v>
      </c>
      <c r="F125" s="30" t="s">
        <v>1149</v>
      </c>
      <c r="G125" s="30" t="s">
        <v>1143</v>
      </c>
      <c r="H125" s="30" t="s">
        <v>1150</v>
      </c>
      <c r="I125" s="18" t="s">
        <v>269</v>
      </c>
      <c r="J125" s="18" t="s">
        <v>269</v>
      </c>
      <c r="K125" s="18" t="s">
        <v>269</v>
      </c>
      <c r="L125" s="18" t="s">
        <v>269</v>
      </c>
      <c r="M125" s="18" t="s">
        <v>269</v>
      </c>
      <c r="N125" s="21" t="s">
        <v>194</v>
      </c>
      <c r="O125" s="18" t="s">
        <v>269</v>
      </c>
      <c r="P125" s="18" t="s">
        <v>269</v>
      </c>
      <c r="Q125" s="18" t="s">
        <v>269</v>
      </c>
      <c r="R125" s="18" t="s">
        <v>269</v>
      </c>
      <c r="S125" s="18" t="s">
        <v>269</v>
      </c>
      <c r="T125" s="18" t="s">
        <v>269</v>
      </c>
      <c r="U125" s="24"/>
      <c r="V125" s="107"/>
      <c r="W125" s="38"/>
      <c r="X125" s="19"/>
      <c r="Y125" s="20" t="s">
        <v>268</v>
      </c>
      <c r="Z125" s="20" t="s">
        <v>257</v>
      </c>
      <c r="AA125" s="19"/>
      <c r="AB125" s="19"/>
    </row>
    <row r="126" spans="2:28" x14ac:dyDescent="0.2">
      <c r="B126" s="21" t="s">
        <v>195</v>
      </c>
      <c r="C126" s="22">
        <v>117</v>
      </c>
      <c r="D126" s="21" t="s">
        <v>195</v>
      </c>
      <c r="E126" s="30" t="s">
        <v>1137</v>
      </c>
      <c r="F126" s="30" t="s">
        <v>1146</v>
      </c>
      <c r="G126" s="30" t="s">
        <v>1139</v>
      </c>
      <c r="H126" s="103" t="s">
        <v>1148</v>
      </c>
      <c r="I126" s="21" t="s">
        <v>1155</v>
      </c>
      <c r="J126" s="23" t="s">
        <v>697</v>
      </c>
      <c r="K126" s="18" t="s">
        <v>269</v>
      </c>
      <c r="L126" s="23" t="s">
        <v>698</v>
      </c>
      <c r="M126" s="18" t="s">
        <v>269</v>
      </c>
      <c r="N126" s="21" t="s">
        <v>196</v>
      </c>
      <c r="O126" s="18" t="s">
        <v>269</v>
      </c>
      <c r="P126" s="18" t="s">
        <v>269</v>
      </c>
      <c r="Q126" s="18" t="s">
        <v>269</v>
      </c>
      <c r="R126" s="18" t="s">
        <v>269</v>
      </c>
      <c r="S126" s="18" t="s">
        <v>269</v>
      </c>
      <c r="T126" s="18" t="s">
        <v>269</v>
      </c>
      <c r="U126" s="24"/>
      <c r="V126" s="107"/>
      <c r="W126" s="38" t="str">
        <f>_xlfn.IFS(AND(COUNTIF(U126,"SCB*")=1, 'PCH176'!G60&gt;=2), "See the Notice *2", TRUE, "")</f>
        <v/>
      </c>
      <c r="X126" s="19"/>
      <c r="Y126" s="20" t="s">
        <v>268</v>
      </c>
      <c r="Z126" s="20" t="s">
        <v>257</v>
      </c>
      <c r="AA126" s="19"/>
      <c r="AB126" s="19"/>
    </row>
    <row r="127" spans="2:28" x14ac:dyDescent="0.2">
      <c r="B127" s="21" t="s">
        <v>197</v>
      </c>
      <c r="C127" s="22">
        <v>118</v>
      </c>
      <c r="D127" s="21" t="s">
        <v>197</v>
      </c>
      <c r="E127" s="30" t="s">
        <v>1136</v>
      </c>
      <c r="F127" s="30" t="s">
        <v>1142</v>
      </c>
      <c r="G127" s="30" t="s">
        <v>1126</v>
      </c>
      <c r="H127" s="103" t="s">
        <v>1144</v>
      </c>
      <c r="I127" s="21" t="s">
        <v>1156</v>
      </c>
      <c r="J127" s="23" t="s">
        <v>699</v>
      </c>
      <c r="K127" s="23" t="s">
        <v>700</v>
      </c>
      <c r="L127" s="23" t="s">
        <v>701</v>
      </c>
      <c r="M127" s="18" t="s">
        <v>269</v>
      </c>
      <c r="N127" s="18" t="s">
        <v>269</v>
      </c>
      <c r="O127" s="18" t="s">
        <v>269</v>
      </c>
      <c r="P127" s="18" t="s">
        <v>269</v>
      </c>
      <c r="Q127" s="18" t="s">
        <v>269</v>
      </c>
      <c r="R127" s="18" t="s">
        <v>269</v>
      </c>
      <c r="S127" s="18" t="s">
        <v>269</v>
      </c>
      <c r="T127" s="18" t="s">
        <v>269</v>
      </c>
      <c r="U127" s="24"/>
      <c r="V127" s="107"/>
      <c r="W127" s="38" t="str">
        <f>_xlfn.IFS(AND(COUNTIF(U127,"SCB*")=1, 'PCH176'!G60&gt;=2), "See the Notice *2", TRUE, "")</f>
        <v/>
      </c>
      <c r="X127" s="19"/>
      <c r="Y127" s="20" t="s">
        <v>268</v>
      </c>
      <c r="Z127" s="20" t="s">
        <v>257</v>
      </c>
      <c r="AA127" s="19"/>
      <c r="AB127" s="19"/>
    </row>
    <row r="128" spans="2:28" x14ac:dyDescent="0.2">
      <c r="B128" s="21" t="s">
        <v>198</v>
      </c>
      <c r="C128" s="22">
        <v>119</v>
      </c>
      <c r="D128" s="21" t="s">
        <v>198</v>
      </c>
      <c r="E128" s="30" t="s">
        <v>1135</v>
      </c>
      <c r="F128" s="30" t="s">
        <v>1138</v>
      </c>
      <c r="G128" s="30" t="s">
        <v>1123</v>
      </c>
      <c r="H128" s="103" t="s">
        <v>1140</v>
      </c>
      <c r="I128" s="21" t="s">
        <v>1157</v>
      </c>
      <c r="J128" s="23" t="s">
        <v>702</v>
      </c>
      <c r="K128" s="23" t="s">
        <v>703</v>
      </c>
      <c r="L128" s="23" t="s">
        <v>704</v>
      </c>
      <c r="M128" s="18" t="s">
        <v>269</v>
      </c>
      <c r="N128" s="18" t="s">
        <v>269</v>
      </c>
      <c r="O128" s="21" t="s">
        <v>199</v>
      </c>
      <c r="P128" s="18" t="s">
        <v>269</v>
      </c>
      <c r="Q128" s="18" t="s">
        <v>269</v>
      </c>
      <c r="R128" s="18" t="s">
        <v>269</v>
      </c>
      <c r="S128" s="18" t="s">
        <v>269</v>
      </c>
      <c r="T128" s="18" t="s">
        <v>269</v>
      </c>
      <c r="U128" s="24"/>
      <c r="V128" s="107"/>
      <c r="W128" s="38" t="str">
        <f>_xlfn.IFS(AND(COUNTIF(U128,"SCB*")=1, 'PCH176'!G60&gt;=2), "See the Notice *2", TRUE, "")</f>
        <v/>
      </c>
      <c r="X128" s="19"/>
      <c r="Y128" s="20" t="s">
        <v>268</v>
      </c>
      <c r="Z128" s="20" t="s">
        <v>257</v>
      </c>
      <c r="AA128" s="19"/>
      <c r="AB128" s="19"/>
    </row>
    <row r="129" spans="2:28" x14ac:dyDescent="0.2">
      <c r="B129" s="21" t="s">
        <v>200</v>
      </c>
      <c r="C129" s="22">
        <v>120</v>
      </c>
      <c r="D129" s="21" t="s">
        <v>200</v>
      </c>
      <c r="E129" s="30" t="s">
        <v>1134</v>
      </c>
      <c r="F129" s="30" t="s">
        <v>1125</v>
      </c>
      <c r="G129" s="30" t="s">
        <v>1120</v>
      </c>
      <c r="H129" s="103" t="s">
        <v>1127</v>
      </c>
      <c r="I129" s="21" t="s">
        <v>1158</v>
      </c>
      <c r="J129" s="23" t="s">
        <v>705</v>
      </c>
      <c r="K129" s="18" t="s">
        <v>269</v>
      </c>
      <c r="L129" s="23" t="s">
        <v>706</v>
      </c>
      <c r="M129" s="18" t="s">
        <v>269</v>
      </c>
      <c r="N129" s="18" t="s">
        <v>269</v>
      </c>
      <c r="O129" s="21" t="s">
        <v>201</v>
      </c>
      <c r="P129" s="18" t="s">
        <v>269</v>
      </c>
      <c r="Q129" s="18" t="s">
        <v>269</v>
      </c>
      <c r="R129" s="18" t="s">
        <v>269</v>
      </c>
      <c r="S129" s="18" t="s">
        <v>269</v>
      </c>
      <c r="T129" s="18" t="s">
        <v>269</v>
      </c>
      <c r="U129" s="24"/>
      <c r="V129" s="107"/>
      <c r="W129" s="38" t="str">
        <f>_xlfn.IFS(AND(COUNTIF(U129,"SCB*")=1, 'PCH176'!G60&gt;=2), "See the Notice *2", TRUE, "")</f>
        <v/>
      </c>
      <c r="X129" s="19"/>
      <c r="Y129" s="20" t="s">
        <v>268</v>
      </c>
      <c r="Z129" s="20" t="s">
        <v>257</v>
      </c>
      <c r="AA129" s="19"/>
      <c r="AB129" s="19"/>
    </row>
    <row r="130" spans="2:28" x14ac:dyDescent="0.2">
      <c r="B130" s="21" t="s">
        <v>202</v>
      </c>
      <c r="C130" s="22">
        <v>121</v>
      </c>
      <c r="D130" s="21" t="s">
        <v>202</v>
      </c>
      <c r="E130" s="30" t="s">
        <v>1133</v>
      </c>
      <c r="F130" s="30" t="s">
        <v>1122</v>
      </c>
      <c r="G130" s="30" t="s">
        <v>1117</v>
      </c>
      <c r="H130" s="103" t="s">
        <v>1124</v>
      </c>
      <c r="I130" s="18" t="s">
        <v>269</v>
      </c>
      <c r="J130" s="18" t="s">
        <v>269</v>
      </c>
      <c r="K130" s="18" t="s">
        <v>269</v>
      </c>
      <c r="L130" s="23" t="s">
        <v>707</v>
      </c>
      <c r="M130" s="18" t="s">
        <v>269</v>
      </c>
      <c r="N130" s="18" t="s">
        <v>269</v>
      </c>
      <c r="O130" s="18" t="s">
        <v>269</v>
      </c>
      <c r="P130" s="18" t="s">
        <v>269</v>
      </c>
      <c r="Q130" s="18" t="s">
        <v>269</v>
      </c>
      <c r="R130" s="18" t="s">
        <v>269</v>
      </c>
      <c r="S130" s="18" t="s">
        <v>269</v>
      </c>
      <c r="T130" s="18" t="s">
        <v>269</v>
      </c>
      <c r="U130" s="24"/>
      <c r="V130" s="107"/>
      <c r="W130" s="38" t="str">
        <f>_xlfn.IFS(AND(COUNTIF(U130,"SCB*")=1, 'PCH176'!G60&gt;=2), "See the Notice *2", TRUE, "")</f>
        <v/>
      </c>
      <c r="X130" s="19"/>
      <c r="Y130" s="20" t="s">
        <v>268</v>
      </c>
      <c r="Z130" s="20" t="s">
        <v>257</v>
      </c>
      <c r="AA130" s="19"/>
      <c r="AB130" s="19"/>
    </row>
    <row r="131" spans="2:28" x14ac:dyDescent="0.2">
      <c r="B131" s="21" t="s">
        <v>203</v>
      </c>
      <c r="C131" s="22">
        <v>122</v>
      </c>
      <c r="D131" s="21" t="s">
        <v>203</v>
      </c>
      <c r="E131" s="30" t="s">
        <v>937</v>
      </c>
      <c r="F131" s="30" t="s">
        <v>1119</v>
      </c>
      <c r="G131" s="30" t="s">
        <v>938</v>
      </c>
      <c r="H131" s="30" t="s">
        <v>1121</v>
      </c>
      <c r="I131" s="18" t="s">
        <v>269</v>
      </c>
      <c r="J131" s="18" t="s">
        <v>269</v>
      </c>
      <c r="K131" s="18" t="s">
        <v>379</v>
      </c>
      <c r="L131" s="23" t="s">
        <v>708</v>
      </c>
      <c r="M131" s="18" t="s">
        <v>269</v>
      </c>
      <c r="N131" s="18" t="s">
        <v>269</v>
      </c>
      <c r="O131" s="18" t="s">
        <v>269</v>
      </c>
      <c r="P131" s="18" t="s">
        <v>269</v>
      </c>
      <c r="Q131" s="18" t="s">
        <v>269</v>
      </c>
      <c r="R131" s="18" t="s">
        <v>269</v>
      </c>
      <c r="S131" s="18" t="s">
        <v>269</v>
      </c>
      <c r="T131" s="18" t="s">
        <v>269</v>
      </c>
      <c r="U131" s="24"/>
      <c r="V131" s="107"/>
      <c r="W131" s="38" t="str">
        <f>_xlfn.IFS(AND(COUNTIF(U131,"SCB*")=1, 'PCH176'!G60&gt;=2), "See the Notice *2", TRUE, "")</f>
        <v/>
      </c>
      <c r="X131" s="19"/>
      <c r="Y131" s="20" t="s">
        <v>268</v>
      </c>
      <c r="Z131" s="20" t="s">
        <v>257</v>
      </c>
      <c r="AA131" s="19"/>
      <c r="AB131" s="19"/>
    </row>
    <row r="132" spans="2:28" x14ac:dyDescent="0.2">
      <c r="B132" s="21" t="s">
        <v>204</v>
      </c>
      <c r="C132" s="22">
        <v>123</v>
      </c>
      <c r="D132" s="21" t="s">
        <v>204</v>
      </c>
      <c r="E132" s="30" t="s">
        <v>943</v>
      </c>
      <c r="F132" s="30" t="s">
        <v>940</v>
      </c>
      <c r="G132" s="30" t="s">
        <v>945</v>
      </c>
      <c r="H132" s="104" t="s">
        <v>942</v>
      </c>
      <c r="I132" s="18" t="s">
        <v>269</v>
      </c>
      <c r="J132" s="18" t="s">
        <v>269</v>
      </c>
      <c r="K132" s="18" t="s">
        <v>269</v>
      </c>
      <c r="L132" s="18" t="s">
        <v>269</v>
      </c>
      <c r="M132" s="18" t="s">
        <v>269</v>
      </c>
      <c r="N132" s="18" t="s">
        <v>269</v>
      </c>
      <c r="O132" s="18" t="s">
        <v>269</v>
      </c>
      <c r="P132" s="18" t="s">
        <v>269</v>
      </c>
      <c r="Q132" s="18" t="s">
        <v>269</v>
      </c>
      <c r="R132" s="18" t="s">
        <v>269</v>
      </c>
      <c r="S132" s="18" t="s">
        <v>269</v>
      </c>
      <c r="T132" s="18" t="s">
        <v>269</v>
      </c>
      <c r="U132" s="24"/>
      <c r="V132" s="107"/>
      <c r="W132" s="38"/>
      <c r="X132" s="19"/>
      <c r="Y132" s="20" t="s">
        <v>268</v>
      </c>
      <c r="Z132" s="20" t="s">
        <v>257</v>
      </c>
      <c r="AA132" s="19"/>
      <c r="AB132" s="19"/>
    </row>
    <row r="133" spans="2:28" x14ac:dyDescent="0.2">
      <c r="B133" s="21" t="s">
        <v>205</v>
      </c>
      <c r="C133" s="22">
        <v>124</v>
      </c>
      <c r="D133" s="21" t="s">
        <v>205</v>
      </c>
      <c r="E133" s="105" t="s">
        <v>951</v>
      </c>
      <c r="F133" s="105" t="s">
        <v>948</v>
      </c>
      <c r="G133" s="105" t="s">
        <v>953</v>
      </c>
      <c r="H133" s="21" t="s">
        <v>950</v>
      </c>
      <c r="I133" s="102" t="s">
        <v>1151</v>
      </c>
      <c r="J133" s="23" t="s">
        <v>709</v>
      </c>
      <c r="K133" s="18" t="s">
        <v>269</v>
      </c>
      <c r="L133" s="23" t="s">
        <v>710</v>
      </c>
      <c r="M133" s="18" t="s">
        <v>269</v>
      </c>
      <c r="N133" s="18" t="s">
        <v>269</v>
      </c>
      <c r="O133" s="18" t="s">
        <v>269</v>
      </c>
      <c r="P133" s="21" t="s">
        <v>206</v>
      </c>
      <c r="Q133" s="18" t="s">
        <v>269</v>
      </c>
      <c r="R133" s="18" t="s">
        <v>269</v>
      </c>
      <c r="S133" s="18" t="s">
        <v>269</v>
      </c>
      <c r="T133" s="21" t="s">
        <v>330</v>
      </c>
      <c r="U133" s="24"/>
      <c r="V133" s="18" t="s">
        <v>269</v>
      </c>
      <c r="W133" s="38" t="str">
        <f>_xlfn.IFS(AND(COUNTIF(U133,"SCB*")=1, 'PCH176'!E60&gt;=2), "See the Notice *2", TRUE, "")</f>
        <v/>
      </c>
      <c r="X133" s="19"/>
      <c r="Y133" s="20" t="s">
        <v>268</v>
      </c>
      <c r="Z133" s="20" t="s">
        <v>257</v>
      </c>
      <c r="AA133" s="19"/>
      <c r="AB133" s="19"/>
    </row>
    <row r="134" spans="2:28" x14ac:dyDescent="0.2">
      <c r="B134" s="21" t="s">
        <v>207</v>
      </c>
      <c r="C134" s="22">
        <v>125</v>
      </c>
      <c r="D134" s="21" t="s">
        <v>207</v>
      </c>
      <c r="E134" s="21" t="s">
        <v>957</v>
      </c>
      <c r="F134" s="21" t="s">
        <v>955</v>
      </c>
      <c r="G134" s="21" t="s">
        <v>958</v>
      </c>
      <c r="H134" s="21" t="s">
        <v>956</v>
      </c>
      <c r="I134" s="102" t="s">
        <v>1152</v>
      </c>
      <c r="J134" s="23" t="s">
        <v>711</v>
      </c>
      <c r="K134" s="23" t="s">
        <v>712</v>
      </c>
      <c r="L134" s="23" t="s">
        <v>713</v>
      </c>
      <c r="M134" s="18" t="s">
        <v>269</v>
      </c>
      <c r="N134" s="18" t="s">
        <v>269</v>
      </c>
      <c r="O134" s="18" t="s">
        <v>269</v>
      </c>
      <c r="P134" s="21" t="s">
        <v>208</v>
      </c>
      <c r="Q134" s="18" t="s">
        <v>269</v>
      </c>
      <c r="R134" s="18" t="s">
        <v>269</v>
      </c>
      <c r="S134" s="18" t="s">
        <v>269</v>
      </c>
      <c r="T134" s="21" t="s">
        <v>331</v>
      </c>
      <c r="U134" s="24"/>
      <c r="V134" s="18" t="s">
        <v>269</v>
      </c>
      <c r="W134" s="38" t="str">
        <f>_xlfn.IFS(AND(COUNTIF(U134,"SCB*")=1, 'PCH176'!E60&gt;=2), "See the Notice *2", TRUE, "")</f>
        <v/>
      </c>
      <c r="X134" s="19"/>
      <c r="Y134" s="20" t="s">
        <v>268</v>
      </c>
      <c r="Z134" s="20" t="s">
        <v>257</v>
      </c>
      <c r="AA134" s="19"/>
      <c r="AB134" s="19"/>
    </row>
    <row r="135" spans="2:28" x14ac:dyDescent="0.2">
      <c r="B135" s="21" t="s">
        <v>209</v>
      </c>
      <c r="C135" s="22">
        <v>126</v>
      </c>
      <c r="D135" s="21" t="s">
        <v>209</v>
      </c>
      <c r="E135" s="21" t="s">
        <v>1132</v>
      </c>
      <c r="F135" s="21" t="s">
        <v>959</v>
      </c>
      <c r="G135" s="21" t="s">
        <v>1114</v>
      </c>
      <c r="H135" s="21" t="s">
        <v>960</v>
      </c>
      <c r="I135" s="102" t="s">
        <v>1153</v>
      </c>
      <c r="J135" s="23" t="s">
        <v>714</v>
      </c>
      <c r="K135" s="23" t="s">
        <v>715</v>
      </c>
      <c r="L135" s="23" t="s">
        <v>716</v>
      </c>
      <c r="M135" s="18" t="s">
        <v>269</v>
      </c>
      <c r="N135" s="18" t="s">
        <v>269</v>
      </c>
      <c r="O135" s="18" t="s">
        <v>269</v>
      </c>
      <c r="P135" s="18" t="s">
        <v>269</v>
      </c>
      <c r="Q135" s="18" t="s">
        <v>269</v>
      </c>
      <c r="R135" s="18" t="s">
        <v>269</v>
      </c>
      <c r="S135" s="18" t="s">
        <v>269</v>
      </c>
      <c r="T135" s="21" t="s">
        <v>332</v>
      </c>
      <c r="U135" s="24"/>
      <c r="V135" s="18" t="s">
        <v>269</v>
      </c>
      <c r="W135" s="38" t="str">
        <f>_xlfn.IFS(AND(COUNTIF(U135,"SCB*")=1, 'PCH176'!E60&gt;=2), "See the Notice *2", TRUE, "")</f>
        <v/>
      </c>
      <c r="X135" s="19"/>
      <c r="Y135" s="20" t="s">
        <v>268</v>
      </c>
      <c r="Z135" s="20" t="s">
        <v>257</v>
      </c>
      <c r="AA135" s="19"/>
      <c r="AB135" s="19"/>
    </row>
    <row r="136" spans="2:28" x14ac:dyDescent="0.2">
      <c r="B136" s="21" t="s">
        <v>210</v>
      </c>
      <c r="C136" s="22">
        <v>127</v>
      </c>
      <c r="D136" s="21" t="s">
        <v>210</v>
      </c>
      <c r="E136" s="21" t="s">
        <v>1131</v>
      </c>
      <c r="F136" s="21" t="s">
        <v>1116</v>
      </c>
      <c r="G136" s="21" t="s">
        <v>1111</v>
      </c>
      <c r="H136" s="21" t="s">
        <v>1118</v>
      </c>
      <c r="I136" s="102" t="s">
        <v>1154</v>
      </c>
      <c r="J136" s="23" t="s">
        <v>717</v>
      </c>
      <c r="K136" s="18" t="s">
        <v>269</v>
      </c>
      <c r="L136" s="23" t="s">
        <v>718</v>
      </c>
      <c r="M136" s="18" t="s">
        <v>269</v>
      </c>
      <c r="N136" s="18" t="s">
        <v>269</v>
      </c>
      <c r="O136" s="18" t="s">
        <v>269</v>
      </c>
      <c r="P136" s="21" t="s">
        <v>1167</v>
      </c>
      <c r="Q136" s="18" t="s">
        <v>269</v>
      </c>
      <c r="R136" s="18" t="s">
        <v>269</v>
      </c>
      <c r="S136" s="18" t="s">
        <v>269</v>
      </c>
      <c r="T136" s="21" t="s">
        <v>333</v>
      </c>
      <c r="U136" s="24"/>
      <c r="V136" s="18" t="s">
        <v>269</v>
      </c>
      <c r="W136" s="38" t="str">
        <f>_xlfn.IFS(AND(COUNTIF(U136,"SCB*")=1, 'PCH176'!E60&gt;=2), "See the Notice *2", TRUE, "")</f>
        <v/>
      </c>
      <c r="X136" s="19"/>
      <c r="Y136" s="20" t="s">
        <v>268</v>
      </c>
      <c r="Z136" s="20" t="s">
        <v>257</v>
      </c>
      <c r="AA136" s="19"/>
      <c r="AB136" s="19"/>
    </row>
    <row r="137" spans="2:28" x14ac:dyDescent="0.2">
      <c r="B137" s="21" t="s">
        <v>211</v>
      </c>
      <c r="C137" s="22">
        <v>128</v>
      </c>
      <c r="D137" s="21" t="s">
        <v>211</v>
      </c>
      <c r="E137" s="21" t="s">
        <v>1130</v>
      </c>
      <c r="F137" s="21" t="s">
        <v>1113</v>
      </c>
      <c r="G137" s="21" t="s">
        <v>1108</v>
      </c>
      <c r="H137" s="21" t="s">
        <v>1115</v>
      </c>
      <c r="I137" s="21" t="s">
        <v>1155</v>
      </c>
      <c r="J137" s="18" t="s">
        <v>269</v>
      </c>
      <c r="K137" s="18" t="s">
        <v>269</v>
      </c>
      <c r="L137" s="23" t="s">
        <v>719</v>
      </c>
      <c r="M137" s="18" t="s">
        <v>269</v>
      </c>
      <c r="N137" s="18" t="s">
        <v>269</v>
      </c>
      <c r="O137" s="18" t="s">
        <v>269</v>
      </c>
      <c r="P137" s="21" t="s">
        <v>1168</v>
      </c>
      <c r="Q137" s="18" t="s">
        <v>269</v>
      </c>
      <c r="R137" s="18" t="s">
        <v>269</v>
      </c>
      <c r="S137" s="18" t="s">
        <v>269</v>
      </c>
      <c r="T137" s="21" t="s">
        <v>334</v>
      </c>
      <c r="U137" s="24"/>
      <c r="V137" s="18" t="s">
        <v>269</v>
      </c>
      <c r="W137" s="38" t="str">
        <f>_xlfn.IFS(AND(COUNTIF(U137,"SCB*")=1, 'PCH176'!E60&gt;=2), "See the Notice *2", TRUE, "")</f>
        <v/>
      </c>
      <c r="X137" s="19"/>
      <c r="Y137" s="20" t="s">
        <v>268</v>
      </c>
      <c r="Z137" s="20" t="s">
        <v>257</v>
      </c>
      <c r="AA137" s="19"/>
      <c r="AB137" s="19"/>
    </row>
    <row r="138" spans="2:28" x14ac:dyDescent="0.2">
      <c r="B138" s="21" t="s">
        <v>212</v>
      </c>
      <c r="C138" s="22">
        <v>129</v>
      </c>
      <c r="D138" s="21" t="s">
        <v>212</v>
      </c>
      <c r="E138" s="21" t="s">
        <v>1129</v>
      </c>
      <c r="F138" s="21" t="s">
        <v>1110</v>
      </c>
      <c r="G138" s="21" t="s">
        <v>1105</v>
      </c>
      <c r="H138" s="21" t="s">
        <v>1112</v>
      </c>
      <c r="I138" s="21" t="s">
        <v>1156</v>
      </c>
      <c r="J138" s="18" t="s">
        <v>269</v>
      </c>
      <c r="K138" s="18" t="s">
        <v>269</v>
      </c>
      <c r="L138" s="23" t="s">
        <v>720</v>
      </c>
      <c r="M138" s="18" t="s">
        <v>269</v>
      </c>
      <c r="N138" s="18" t="s">
        <v>269</v>
      </c>
      <c r="O138" s="18" t="s">
        <v>269</v>
      </c>
      <c r="P138" s="21" t="s">
        <v>1169</v>
      </c>
      <c r="Q138" s="18" t="s">
        <v>269</v>
      </c>
      <c r="R138" s="18" t="s">
        <v>269</v>
      </c>
      <c r="S138" s="18" t="s">
        <v>269</v>
      </c>
      <c r="T138" s="21" t="s">
        <v>335</v>
      </c>
      <c r="U138" s="24"/>
      <c r="V138" s="18" t="s">
        <v>269</v>
      </c>
      <c r="W138" s="38" t="str">
        <f>_xlfn.IFS(AND(COUNTIF(U138,"SCB*")=1, 'PCH176'!E60&gt;=2), "See the Notice *2", TRUE, "")</f>
        <v/>
      </c>
      <c r="X138" s="19"/>
      <c r="Y138" s="20" t="s">
        <v>268</v>
      </c>
      <c r="Z138" s="20" t="s">
        <v>257</v>
      </c>
      <c r="AA138" s="19"/>
      <c r="AB138" s="19"/>
    </row>
    <row r="139" spans="2:28" x14ac:dyDescent="0.2">
      <c r="B139" s="21" t="s">
        <v>213</v>
      </c>
      <c r="C139" s="22">
        <v>130</v>
      </c>
      <c r="D139" s="21" t="s">
        <v>213</v>
      </c>
      <c r="E139" s="21" t="s">
        <v>1128</v>
      </c>
      <c r="F139" s="21" t="s">
        <v>1107</v>
      </c>
      <c r="G139" s="21" t="s">
        <v>1102</v>
      </c>
      <c r="H139" s="21" t="s">
        <v>1109</v>
      </c>
      <c r="I139" s="21" t="s">
        <v>1157</v>
      </c>
      <c r="J139" s="18" t="s">
        <v>269</v>
      </c>
      <c r="K139" s="18" t="s">
        <v>269</v>
      </c>
      <c r="L139" s="23" t="s">
        <v>721</v>
      </c>
      <c r="M139" s="18" t="s">
        <v>269</v>
      </c>
      <c r="N139" s="21" t="s">
        <v>214</v>
      </c>
      <c r="O139" s="18" t="s">
        <v>269</v>
      </c>
      <c r="P139" s="21" t="s">
        <v>1170</v>
      </c>
      <c r="Q139" s="18" t="s">
        <v>269</v>
      </c>
      <c r="R139" s="18" t="s">
        <v>269</v>
      </c>
      <c r="S139" s="18" t="s">
        <v>269</v>
      </c>
      <c r="T139" s="21" t="s">
        <v>336</v>
      </c>
      <c r="U139" s="24"/>
      <c r="V139" s="18" t="s">
        <v>269</v>
      </c>
      <c r="W139" s="38" t="str">
        <f>_xlfn.IFS(AND(COUNTIF(U139,"SCB*")=1, 'PCH176'!E60&gt;=2), "See the Notice *2", TRUE, "")</f>
        <v/>
      </c>
      <c r="X139" s="19"/>
      <c r="Y139" s="20" t="s">
        <v>268</v>
      </c>
      <c r="Z139" s="20" t="s">
        <v>257</v>
      </c>
      <c r="AA139" s="19"/>
      <c r="AB139" s="19"/>
    </row>
    <row r="140" spans="2:28" x14ac:dyDescent="0.2">
      <c r="B140" s="21" t="s">
        <v>215</v>
      </c>
      <c r="C140" s="22">
        <v>131</v>
      </c>
      <c r="D140" s="21" t="s">
        <v>215</v>
      </c>
      <c r="E140" s="21" t="s">
        <v>1097</v>
      </c>
      <c r="F140" s="21" t="s">
        <v>1104</v>
      </c>
      <c r="G140" s="21" t="s">
        <v>1099</v>
      </c>
      <c r="H140" s="21" t="s">
        <v>1106</v>
      </c>
      <c r="I140" s="21" t="s">
        <v>1158</v>
      </c>
      <c r="J140" s="18" t="s">
        <v>269</v>
      </c>
      <c r="K140" s="18" t="s">
        <v>269</v>
      </c>
      <c r="L140" s="18" t="s">
        <v>269</v>
      </c>
      <c r="M140" s="18" t="s">
        <v>269</v>
      </c>
      <c r="N140" s="21" t="s">
        <v>216</v>
      </c>
      <c r="O140" s="18" t="s">
        <v>269</v>
      </c>
      <c r="P140" s="21" t="s">
        <v>1171</v>
      </c>
      <c r="Q140" s="18" t="s">
        <v>269</v>
      </c>
      <c r="R140" s="18" t="s">
        <v>269</v>
      </c>
      <c r="S140" s="18" t="s">
        <v>269</v>
      </c>
      <c r="T140" s="21" t="s">
        <v>337</v>
      </c>
      <c r="U140" s="24"/>
      <c r="V140" s="18" t="s">
        <v>269</v>
      </c>
      <c r="W140" s="38"/>
      <c r="X140" s="19"/>
      <c r="Y140" s="20" t="s">
        <v>268</v>
      </c>
      <c r="Z140" s="20" t="s">
        <v>257</v>
      </c>
      <c r="AA140" s="19"/>
      <c r="AB140" s="19"/>
    </row>
    <row r="141" spans="2:28" x14ac:dyDescent="0.2">
      <c r="B141" s="28" t="s">
        <v>257</v>
      </c>
      <c r="C141" s="17">
        <v>132</v>
      </c>
      <c r="D141" s="18" t="s">
        <v>269</v>
      </c>
      <c r="E141" s="18" t="s">
        <v>269</v>
      </c>
      <c r="F141" s="18" t="s">
        <v>269</v>
      </c>
      <c r="G141" s="18" t="s">
        <v>269</v>
      </c>
      <c r="H141" s="18" t="s">
        <v>269</v>
      </c>
      <c r="I141" s="18" t="s">
        <v>269</v>
      </c>
      <c r="J141" s="18" t="s">
        <v>269</v>
      </c>
      <c r="K141" s="18" t="s">
        <v>269</v>
      </c>
      <c r="L141" s="18" t="s">
        <v>269</v>
      </c>
      <c r="M141" s="18" t="s">
        <v>269</v>
      </c>
      <c r="N141" s="18" t="s">
        <v>269</v>
      </c>
      <c r="O141" s="18" t="s">
        <v>269</v>
      </c>
      <c r="P141" s="18" t="s">
        <v>269</v>
      </c>
      <c r="Q141" s="18" t="s">
        <v>269</v>
      </c>
      <c r="R141" s="18" t="s">
        <v>269</v>
      </c>
      <c r="S141" s="18" t="s">
        <v>269</v>
      </c>
      <c r="T141" s="18" t="s">
        <v>269</v>
      </c>
      <c r="U141" s="28" t="s">
        <v>257</v>
      </c>
      <c r="V141" s="18" t="s">
        <v>269</v>
      </c>
      <c r="W141" s="38"/>
      <c r="X141" s="19" t="s">
        <v>544</v>
      </c>
      <c r="Y141" s="20" t="s">
        <v>558</v>
      </c>
      <c r="Z141" s="19" t="s">
        <v>558</v>
      </c>
      <c r="AA141" s="19"/>
      <c r="AB141" s="19"/>
    </row>
    <row r="142" spans="2:28" x14ac:dyDescent="0.2">
      <c r="B142" s="16" t="s">
        <v>256</v>
      </c>
      <c r="C142" s="17">
        <v>133</v>
      </c>
      <c r="D142" s="18" t="s">
        <v>269</v>
      </c>
      <c r="E142" s="18" t="s">
        <v>269</v>
      </c>
      <c r="F142" s="18" t="s">
        <v>269</v>
      </c>
      <c r="G142" s="18" t="s">
        <v>269</v>
      </c>
      <c r="H142" s="18" t="s">
        <v>269</v>
      </c>
      <c r="I142" s="18" t="s">
        <v>269</v>
      </c>
      <c r="J142" s="18" t="s">
        <v>269</v>
      </c>
      <c r="K142" s="18" t="s">
        <v>269</v>
      </c>
      <c r="L142" s="18" t="s">
        <v>269</v>
      </c>
      <c r="M142" s="18" t="s">
        <v>269</v>
      </c>
      <c r="N142" s="18" t="s">
        <v>269</v>
      </c>
      <c r="O142" s="18" t="s">
        <v>269</v>
      </c>
      <c r="P142" s="18" t="s">
        <v>269</v>
      </c>
      <c r="Q142" s="18" t="s">
        <v>269</v>
      </c>
      <c r="R142" s="18" t="s">
        <v>269</v>
      </c>
      <c r="S142" s="18" t="s">
        <v>269</v>
      </c>
      <c r="T142" s="18" t="s">
        <v>269</v>
      </c>
      <c r="U142" s="16" t="s">
        <v>256</v>
      </c>
      <c r="V142" s="18" t="s">
        <v>269</v>
      </c>
      <c r="W142" s="38"/>
      <c r="X142" s="19" t="s">
        <v>545</v>
      </c>
      <c r="Y142" s="20" t="s">
        <v>558</v>
      </c>
      <c r="Z142" s="19" t="s">
        <v>558</v>
      </c>
      <c r="AA142" s="19"/>
      <c r="AB142" s="19"/>
    </row>
    <row r="143" spans="2:28" x14ac:dyDescent="0.2">
      <c r="B143" s="21" t="s">
        <v>217</v>
      </c>
      <c r="C143" s="22">
        <v>134</v>
      </c>
      <c r="D143" s="21" t="s">
        <v>217</v>
      </c>
      <c r="E143" s="21" t="s">
        <v>915</v>
      </c>
      <c r="F143" s="21" t="s">
        <v>1101</v>
      </c>
      <c r="G143" s="21" t="s">
        <v>917</v>
      </c>
      <c r="H143" s="21" t="s">
        <v>1103</v>
      </c>
      <c r="I143" s="102" t="s">
        <v>1159</v>
      </c>
      <c r="J143" s="23" t="s">
        <v>722</v>
      </c>
      <c r="K143" s="18" t="s">
        <v>269</v>
      </c>
      <c r="L143" s="23" t="s">
        <v>723</v>
      </c>
      <c r="M143" s="18" t="s">
        <v>269</v>
      </c>
      <c r="N143" s="18" t="s">
        <v>269</v>
      </c>
      <c r="O143" s="18" t="s">
        <v>269</v>
      </c>
      <c r="P143" s="21" t="s">
        <v>218</v>
      </c>
      <c r="Q143" s="18" t="s">
        <v>269</v>
      </c>
      <c r="R143" s="18" t="s">
        <v>269</v>
      </c>
      <c r="S143" s="18" t="s">
        <v>269</v>
      </c>
      <c r="T143" s="18" t="s">
        <v>269</v>
      </c>
      <c r="U143" s="24"/>
      <c r="V143" s="18" t="s">
        <v>269</v>
      </c>
      <c r="W143" s="38" t="str">
        <f>_xlfn.IFS(AND(COUNTIF(U143,"SCB*")=1, 'PCH176'!F60&gt;=2), "See the Notice *2", TRUE, "")</f>
        <v/>
      </c>
      <c r="X143" s="19"/>
      <c r="Y143" s="20" t="s">
        <v>268</v>
      </c>
      <c r="Z143" s="20" t="s">
        <v>257</v>
      </c>
      <c r="AA143" s="19"/>
      <c r="AB143" s="19"/>
    </row>
    <row r="144" spans="2:28" x14ac:dyDescent="0.2">
      <c r="B144" s="21" t="s">
        <v>219</v>
      </c>
      <c r="C144" s="22">
        <v>135</v>
      </c>
      <c r="D144" s="21" t="s">
        <v>219</v>
      </c>
      <c r="E144" s="21" t="s">
        <v>985</v>
      </c>
      <c r="F144" s="21" t="s">
        <v>920</v>
      </c>
      <c r="G144" s="21" t="s">
        <v>987</v>
      </c>
      <c r="H144" s="21" t="s">
        <v>922</v>
      </c>
      <c r="I144" s="102" t="s">
        <v>1160</v>
      </c>
      <c r="J144" s="23" t="s">
        <v>724</v>
      </c>
      <c r="K144" s="23" t="s">
        <v>725</v>
      </c>
      <c r="L144" s="23" t="s">
        <v>726</v>
      </c>
      <c r="M144" s="18" t="s">
        <v>269</v>
      </c>
      <c r="N144" s="18" t="s">
        <v>269</v>
      </c>
      <c r="O144" s="18" t="s">
        <v>269</v>
      </c>
      <c r="P144" s="21" t="s">
        <v>220</v>
      </c>
      <c r="Q144" s="18" t="s">
        <v>269</v>
      </c>
      <c r="R144" s="18" t="s">
        <v>269</v>
      </c>
      <c r="S144" s="18" t="s">
        <v>269</v>
      </c>
      <c r="T144" s="18" t="s">
        <v>269</v>
      </c>
      <c r="U144" s="24"/>
      <c r="V144" s="18" t="s">
        <v>269</v>
      </c>
      <c r="W144" s="38" t="str">
        <f>_xlfn.IFS(AND(COUNTIF(U144,"SCB*")=1, 'PCH176'!F60&gt;=2), "See the Notice *2", TRUE, "")</f>
        <v/>
      </c>
      <c r="X144" s="19"/>
      <c r="Y144" s="20" t="s">
        <v>268</v>
      </c>
      <c r="Z144" s="20" t="s">
        <v>257</v>
      </c>
      <c r="AA144" s="19"/>
      <c r="AB144" s="19"/>
    </row>
    <row r="145" spans="2:28" x14ac:dyDescent="0.2">
      <c r="B145" s="21" t="s">
        <v>221</v>
      </c>
      <c r="C145" s="22">
        <v>136</v>
      </c>
      <c r="D145" s="21" t="s">
        <v>221</v>
      </c>
      <c r="E145" s="21" t="s">
        <v>989</v>
      </c>
      <c r="F145" s="21" t="s">
        <v>990</v>
      </c>
      <c r="G145" s="21" t="s">
        <v>991</v>
      </c>
      <c r="H145" s="21" t="s">
        <v>992</v>
      </c>
      <c r="I145" s="102" t="s">
        <v>1161</v>
      </c>
      <c r="J145" s="23" t="s">
        <v>727</v>
      </c>
      <c r="K145" s="23" t="s">
        <v>728</v>
      </c>
      <c r="L145" s="23" t="s">
        <v>729</v>
      </c>
      <c r="M145" s="18" t="s">
        <v>269</v>
      </c>
      <c r="N145" s="18" t="s">
        <v>269</v>
      </c>
      <c r="O145" s="21" t="s">
        <v>222</v>
      </c>
      <c r="P145" s="18" t="s">
        <v>269</v>
      </c>
      <c r="Q145" s="18" t="s">
        <v>269</v>
      </c>
      <c r="R145" s="18" t="s">
        <v>269</v>
      </c>
      <c r="S145" s="18" t="s">
        <v>269</v>
      </c>
      <c r="T145" s="18" t="s">
        <v>269</v>
      </c>
      <c r="U145" s="24"/>
      <c r="V145" s="18" t="s">
        <v>269</v>
      </c>
      <c r="W145" s="38" t="str">
        <f>_xlfn.IFS(AND(COUNTIF(U145,"SCB*")=1, 'PCH176'!F60&gt;=2), "See the Notice *2", TRUE, "")</f>
        <v/>
      </c>
      <c r="X145" s="19"/>
      <c r="Y145" s="20" t="s">
        <v>268</v>
      </c>
      <c r="Z145" s="20" t="s">
        <v>257</v>
      </c>
      <c r="AA145" s="19"/>
      <c r="AB145" s="19"/>
    </row>
    <row r="146" spans="2:28" x14ac:dyDescent="0.2">
      <c r="B146" s="21" t="s">
        <v>223</v>
      </c>
      <c r="C146" s="22">
        <v>137</v>
      </c>
      <c r="D146" s="21" t="s">
        <v>223</v>
      </c>
      <c r="E146" s="21" t="s">
        <v>993</v>
      </c>
      <c r="F146" s="21" t="s">
        <v>994</v>
      </c>
      <c r="G146" s="21" t="s">
        <v>995</v>
      </c>
      <c r="H146" s="21" t="s">
        <v>996</v>
      </c>
      <c r="I146" s="102" t="s">
        <v>1162</v>
      </c>
      <c r="J146" s="23" t="s">
        <v>730</v>
      </c>
      <c r="K146" s="18" t="s">
        <v>269</v>
      </c>
      <c r="L146" s="23" t="s">
        <v>731</v>
      </c>
      <c r="M146" s="18" t="s">
        <v>269</v>
      </c>
      <c r="N146" s="18" t="s">
        <v>269</v>
      </c>
      <c r="O146" s="21" t="s">
        <v>224</v>
      </c>
      <c r="P146" s="18" t="s">
        <v>269</v>
      </c>
      <c r="Q146" s="18" t="s">
        <v>269</v>
      </c>
      <c r="R146" s="18" t="s">
        <v>269</v>
      </c>
      <c r="S146" s="18" t="s">
        <v>269</v>
      </c>
      <c r="T146" s="18" t="s">
        <v>269</v>
      </c>
      <c r="U146" s="24"/>
      <c r="V146" s="18" t="s">
        <v>269</v>
      </c>
      <c r="W146" s="38" t="str">
        <f>_xlfn.IFS(AND(COUNTIF(U146,"SCB*")=1, 'PCH176'!F60&gt;=2), "See the Notice *2", TRUE, "")</f>
        <v/>
      </c>
      <c r="X146" s="19"/>
      <c r="Y146" s="20" t="s">
        <v>268</v>
      </c>
      <c r="Z146" s="20" t="s">
        <v>257</v>
      </c>
      <c r="AA146" s="19"/>
      <c r="AB146" s="19"/>
    </row>
    <row r="147" spans="2:28" x14ac:dyDescent="0.2">
      <c r="B147" s="21" t="s">
        <v>225</v>
      </c>
      <c r="C147" s="22">
        <v>138</v>
      </c>
      <c r="D147" s="21" t="s">
        <v>225</v>
      </c>
      <c r="E147" s="21" t="s">
        <v>997</v>
      </c>
      <c r="F147" s="21" t="s">
        <v>998</v>
      </c>
      <c r="G147" s="21" t="s">
        <v>999</v>
      </c>
      <c r="H147" s="21" t="s">
        <v>1000</v>
      </c>
      <c r="I147" s="21" t="s">
        <v>1163</v>
      </c>
      <c r="J147" s="18" t="s">
        <v>269</v>
      </c>
      <c r="K147" s="18" t="s">
        <v>269</v>
      </c>
      <c r="L147" s="23" t="s">
        <v>732</v>
      </c>
      <c r="M147" s="18" t="s">
        <v>269</v>
      </c>
      <c r="N147" s="18" t="s">
        <v>269</v>
      </c>
      <c r="O147" s="18" t="s">
        <v>269</v>
      </c>
      <c r="P147" s="18" t="s">
        <v>269</v>
      </c>
      <c r="Q147" s="18" t="s">
        <v>269</v>
      </c>
      <c r="R147" s="18" t="s">
        <v>269</v>
      </c>
      <c r="S147" s="18" t="s">
        <v>269</v>
      </c>
      <c r="T147" s="18" t="s">
        <v>269</v>
      </c>
      <c r="U147" s="24"/>
      <c r="V147" s="18" t="s">
        <v>269</v>
      </c>
      <c r="W147" s="38" t="str">
        <f>_xlfn.IFS(AND(COUNTIF(U147,"SCB*")=1, 'PCH176'!F60&gt;=2), "See the Notice *2", TRUE, "")</f>
        <v/>
      </c>
      <c r="X147" s="19"/>
      <c r="Y147" s="20" t="s">
        <v>268</v>
      </c>
      <c r="Z147" s="20" t="s">
        <v>257</v>
      </c>
      <c r="AA147" s="19"/>
      <c r="AB147" s="19"/>
    </row>
    <row r="148" spans="2:28" x14ac:dyDescent="0.2">
      <c r="B148" s="21" t="s">
        <v>226</v>
      </c>
      <c r="C148" s="22">
        <v>139</v>
      </c>
      <c r="D148" s="21" t="s">
        <v>226</v>
      </c>
      <c r="E148" s="21" t="s">
        <v>1001</v>
      </c>
      <c r="F148" s="21" t="s">
        <v>1002</v>
      </c>
      <c r="G148" s="21" t="s">
        <v>1003</v>
      </c>
      <c r="H148" s="21" t="s">
        <v>1004</v>
      </c>
      <c r="I148" s="21" t="s">
        <v>1164</v>
      </c>
      <c r="J148" s="18" t="s">
        <v>269</v>
      </c>
      <c r="K148" s="18" t="s">
        <v>269</v>
      </c>
      <c r="L148" s="23" t="s">
        <v>733</v>
      </c>
      <c r="M148" s="21" t="s">
        <v>51</v>
      </c>
      <c r="N148" s="18" t="s">
        <v>269</v>
      </c>
      <c r="O148" s="18" t="s">
        <v>269</v>
      </c>
      <c r="P148" s="18" t="s">
        <v>269</v>
      </c>
      <c r="Q148" s="18" t="s">
        <v>269</v>
      </c>
      <c r="R148" s="18" t="s">
        <v>269</v>
      </c>
      <c r="S148" s="18" t="s">
        <v>269</v>
      </c>
      <c r="T148" s="18" t="s">
        <v>269</v>
      </c>
      <c r="U148" s="24"/>
      <c r="V148" s="18" t="s">
        <v>269</v>
      </c>
      <c r="W148" s="38" t="str">
        <f>_xlfn.IFS(AND(COUNTIF(U148,"SCB*")=1, 'PCH176'!F60&gt;=2), "See the Notice *2", TRUE, "")</f>
        <v/>
      </c>
      <c r="X148" s="19"/>
      <c r="Y148" s="20" t="s">
        <v>268</v>
      </c>
      <c r="Z148" s="20" t="s">
        <v>257</v>
      </c>
      <c r="AA148" s="19"/>
      <c r="AB148" s="19"/>
    </row>
    <row r="149" spans="2:28" x14ac:dyDescent="0.2">
      <c r="B149" s="21" t="s">
        <v>227</v>
      </c>
      <c r="C149" s="22">
        <v>140</v>
      </c>
      <c r="D149" s="21" t="s">
        <v>227</v>
      </c>
      <c r="E149" s="21" t="s">
        <v>1093</v>
      </c>
      <c r="F149" s="21" t="s">
        <v>1006</v>
      </c>
      <c r="G149" s="21" t="s">
        <v>1095</v>
      </c>
      <c r="H149" s="21" t="s">
        <v>1008</v>
      </c>
      <c r="I149" s="21" t="s">
        <v>1165</v>
      </c>
      <c r="J149" s="18" t="s">
        <v>269</v>
      </c>
      <c r="K149" s="18" t="s">
        <v>269</v>
      </c>
      <c r="L149" s="18" t="s">
        <v>269</v>
      </c>
      <c r="M149" s="21" t="s">
        <v>54</v>
      </c>
      <c r="N149" s="18" t="s">
        <v>269</v>
      </c>
      <c r="O149" s="18" t="s">
        <v>269</v>
      </c>
      <c r="P149" s="18" t="s">
        <v>269</v>
      </c>
      <c r="Q149" s="18" t="s">
        <v>269</v>
      </c>
      <c r="R149" s="18" t="s">
        <v>269</v>
      </c>
      <c r="S149" s="18" t="s">
        <v>269</v>
      </c>
      <c r="T149" s="18" t="s">
        <v>269</v>
      </c>
      <c r="U149" s="24"/>
      <c r="V149" s="18" t="s">
        <v>269</v>
      </c>
      <c r="W149" s="38"/>
      <c r="X149" s="19"/>
      <c r="Y149" s="20" t="s">
        <v>268</v>
      </c>
      <c r="Z149" s="20" t="s">
        <v>257</v>
      </c>
      <c r="AA149" s="19"/>
      <c r="AB149" s="19"/>
    </row>
    <row r="150" spans="2:28" x14ac:dyDescent="0.2">
      <c r="B150" s="21" t="s">
        <v>228</v>
      </c>
      <c r="C150" s="22">
        <v>141</v>
      </c>
      <c r="D150" s="21" t="s">
        <v>228</v>
      </c>
      <c r="E150" s="21" t="s">
        <v>1089</v>
      </c>
      <c r="F150" s="21" t="s">
        <v>1098</v>
      </c>
      <c r="G150" s="21" t="s">
        <v>1091</v>
      </c>
      <c r="H150" s="21" t="s">
        <v>1100</v>
      </c>
      <c r="I150" s="21" t="s">
        <v>1166</v>
      </c>
      <c r="J150" s="18" t="s">
        <v>269</v>
      </c>
      <c r="K150" s="18" t="s">
        <v>269</v>
      </c>
      <c r="L150" s="18" t="s">
        <v>269</v>
      </c>
      <c r="M150" s="21" t="s">
        <v>57</v>
      </c>
      <c r="N150" s="18" t="s">
        <v>269</v>
      </c>
      <c r="O150" s="18" t="s">
        <v>269</v>
      </c>
      <c r="P150" s="18" t="s">
        <v>269</v>
      </c>
      <c r="Q150" s="18" t="s">
        <v>269</v>
      </c>
      <c r="R150" s="18" t="s">
        <v>269</v>
      </c>
      <c r="S150" s="18" t="s">
        <v>269</v>
      </c>
      <c r="T150" s="18" t="s">
        <v>269</v>
      </c>
      <c r="U150" s="24"/>
      <c r="V150" s="18" t="s">
        <v>269</v>
      </c>
      <c r="W150" s="38"/>
      <c r="X150" s="19"/>
      <c r="Y150" s="20" t="s">
        <v>268</v>
      </c>
      <c r="Z150" s="20" t="s">
        <v>257</v>
      </c>
      <c r="AA150" s="19"/>
      <c r="AB150" s="19"/>
    </row>
    <row r="151" spans="2:28" x14ac:dyDescent="0.2">
      <c r="B151" s="21" t="s">
        <v>229</v>
      </c>
      <c r="C151" s="22">
        <v>142</v>
      </c>
      <c r="D151" s="21" t="s">
        <v>229</v>
      </c>
      <c r="E151" s="21" t="s">
        <v>1085</v>
      </c>
      <c r="F151" s="21" t="s">
        <v>1094</v>
      </c>
      <c r="G151" s="21" t="s">
        <v>1087</v>
      </c>
      <c r="H151" s="105" t="s">
        <v>1096</v>
      </c>
      <c r="I151" s="18" t="s">
        <v>269</v>
      </c>
      <c r="J151" s="23" t="s">
        <v>734</v>
      </c>
      <c r="K151" s="18" t="s">
        <v>269</v>
      </c>
      <c r="L151" s="23" t="s">
        <v>735</v>
      </c>
      <c r="M151" s="18" t="s">
        <v>269</v>
      </c>
      <c r="N151" s="21" t="s">
        <v>214</v>
      </c>
      <c r="O151" s="18" t="s">
        <v>269</v>
      </c>
      <c r="P151" s="18" t="s">
        <v>269</v>
      </c>
      <c r="Q151" s="18" t="s">
        <v>269</v>
      </c>
      <c r="R151" s="18" t="s">
        <v>269</v>
      </c>
      <c r="S151" s="18" t="s">
        <v>269</v>
      </c>
      <c r="T151" s="18" t="s">
        <v>269</v>
      </c>
      <c r="U151" s="24"/>
      <c r="V151" s="18" t="s">
        <v>269</v>
      </c>
      <c r="W151" s="38" t="str">
        <f>_xlfn.IFS(AND(COUNTIF(U151,"SCB*")=1, 'PCH176'!E60&gt;=2), "See the Notice *2", TRUE, "")</f>
        <v/>
      </c>
      <c r="X151" s="19"/>
      <c r="Y151" s="20" t="s">
        <v>268</v>
      </c>
      <c r="Z151" s="20" t="s">
        <v>257</v>
      </c>
      <c r="AA151" s="19"/>
      <c r="AB151" s="19"/>
    </row>
    <row r="152" spans="2:28" x14ac:dyDescent="0.2">
      <c r="B152" s="21" t="s">
        <v>230</v>
      </c>
      <c r="C152" s="22">
        <v>143</v>
      </c>
      <c r="D152" s="21" t="s">
        <v>230</v>
      </c>
      <c r="E152" s="21" t="s">
        <v>1077</v>
      </c>
      <c r="F152" s="21" t="s">
        <v>1090</v>
      </c>
      <c r="G152" s="21" t="s">
        <v>1079</v>
      </c>
      <c r="H152" s="21" t="s">
        <v>1092</v>
      </c>
      <c r="I152" s="18" t="s">
        <v>269</v>
      </c>
      <c r="J152" s="23" t="s">
        <v>736</v>
      </c>
      <c r="K152" s="23" t="s">
        <v>737</v>
      </c>
      <c r="L152" s="23" t="s">
        <v>738</v>
      </c>
      <c r="M152" s="18" t="s">
        <v>269</v>
      </c>
      <c r="N152" s="21" t="s">
        <v>216</v>
      </c>
      <c r="O152" s="18" t="s">
        <v>269</v>
      </c>
      <c r="P152" s="18" t="s">
        <v>269</v>
      </c>
      <c r="Q152" s="18" t="s">
        <v>269</v>
      </c>
      <c r="R152" s="18" t="s">
        <v>269</v>
      </c>
      <c r="S152" s="18" t="s">
        <v>269</v>
      </c>
      <c r="T152" s="18" t="s">
        <v>269</v>
      </c>
      <c r="U152" s="24"/>
      <c r="V152" s="18" t="s">
        <v>269</v>
      </c>
      <c r="W152" s="38" t="str">
        <f>_xlfn.IFS(AND(COUNTIF(U152,"SCB*")=1, 'PCH176'!E60&gt;=2), "See the Notice *2", TRUE, "")</f>
        <v/>
      </c>
      <c r="X152" s="19"/>
      <c r="Y152" s="20" t="s">
        <v>268</v>
      </c>
      <c r="Z152" s="20" t="s">
        <v>257</v>
      </c>
      <c r="AA152" s="19"/>
      <c r="AB152" s="19"/>
    </row>
    <row r="153" spans="2:28" x14ac:dyDescent="0.2">
      <c r="B153" s="21" t="s">
        <v>231</v>
      </c>
      <c r="C153" s="22">
        <v>144</v>
      </c>
      <c r="D153" s="21" t="s">
        <v>231</v>
      </c>
      <c r="E153" s="21" t="s">
        <v>1069</v>
      </c>
      <c r="F153" s="21" t="s">
        <v>1082</v>
      </c>
      <c r="G153" s="21" t="s">
        <v>1071</v>
      </c>
      <c r="H153" s="21" t="s">
        <v>1084</v>
      </c>
      <c r="I153" s="18" t="s">
        <v>269</v>
      </c>
      <c r="J153" s="23" t="s">
        <v>739</v>
      </c>
      <c r="K153" s="23" t="s">
        <v>740</v>
      </c>
      <c r="L153" s="23" t="s">
        <v>741</v>
      </c>
      <c r="M153" s="18" t="s">
        <v>269</v>
      </c>
      <c r="N153" s="18" t="s">
        <v>269</v>
      </c>
      <c r="O153" s="18" t="s">
        <v>269</v>
      </c>
      <c r="P153" s="18" t="s">
        <v>269</v>
      </c>
      <c r="Q153" s="18" t="s">
        <v>269</v>
      </c>
      <c r="R153" s="18" t="s">
        <v>269</v>
      </c>
      <c r="S153" s="18" t="s">
        <v>269</v>
      </c>
      <c r="T153" s="18" t="s">
        <v>269</v>
      </c>
      <c r="U153" s="24"/>
      <c r="V153" s="18" t="s">
        <v>269</v>
      </c>
      <c r="W153" s="38" t="str">
        <f>_xlfn.IFS(AND(COUNTIF(U153,"SCB*")=1, 'PCH176'!E60&gt;=2), "See the Notice *2", TRUE, "")</f>
        <v/>
      </c>
      <c r="X153" s="19"/>
      <c r="Y153" s="20" t="s">
        <v>268</v>
      </c>
      <c r="Z153" s="20" t="s">
        <v>257</v>
      </c>
      <c r="AA153" s="19"/>
      <c r="AB153" s="19"/>
    </row>
    <row r="154" spans="2:28" x14ac:dyDescent="0.2">
      <c r="B154" s="21" t="s">
        <v>232</v>
      </c>
      <c r="C154" s="22">
        <v>145</v>
      </c>
      <c r="D154" s="21" t="s">
        <v>232</v>
      </c>
      <c r="E154" s="21" t="s">
        <v>1061</v>
      </c>
      <c r="F154" s="21" t="s">
        <v>1074</v>
      </c>
      <c r="G154" s="21" t="s">
        <v>1063</v>
      </c>
      <c r="H154" s="21" t="s">
        <v>1076</v>
      </c>
      <c r="I154" s="18" t="s">
        <v>269</v>
      </c>
      <c r="J154" s="23" t="s">
        <v>742</v>
      </c>
      <c r="K154" s="18" t="s">
        <v>269</v>
      </c>
      <c r="L154" s="23" t="s">
        <v>743</v>
      </c>
      <c r="M154" s="18" t="s">
        <v>269</v>
      </c>
      <c r="N154" s="18" t="s">
        <v>269</v>
      </c>
      <c r="O154" s="18" t="s">
        <v>269</v>
      </c>
      <c r="P154" s="18" t="s">
        <v>269</v>
      </c>
      <c r="Q154" s="18" t="s">
        <v>269</v>
      </c>
      <c r="R154" s="18" t="s">
        <v>269</v>
      </c>
      <c r="S154" s="18" t="s">
        <v>269</v>
      </c>
      <c r="T154" s="18" t="s">
        <v>269</v>
      </c>
      <c r="U154" s="24"/>
      <c r="V154" s="18" t="s">
        <v>269</v>
      </c>
      <c r="W154" s="38" t="str">
        <f>_xlfn.IFS(AND(COUNTIF(U154,"SCB*")=1, 'PCH176'!E60&gt;=2), "See the Notice *2", TRUE, "")</f>
        <v/>
      </c>
      <c r="X154" s="19"/>
      <c r="Y154" s="20" t="s">
        <v>268</v>
      </c>
      <c r="Z154" s="20" t="s">
        <v>257</v>
      </c>
      <c r="AA154" s="19"/>
      <c r="AB154" s="19"/>
    </row>
    <row r="155" spans="2:28" x14ac:dyDescent="0.2">
      <c r="B155" s="21" t="s">
        <v>233</v>
      </c>
      <c r="C155" s="22">
        <v>146</v>
      </c>
      <c r="D155" s="21" t="s">
        <v>233</v>
      </c>
      <c r="E155" s="21" t="s">
        <v>1053</v>
      </c>
      <c r="F155" s="21" t="s">
        <v>1066</v>
      </c>
      <c r="G155" s="21" t="s">
        <v>1055</v>
      </c>
      <c r="H155" s="21" t="s">
        <v>1068</v>
      </c>
      <c r="I155" s="18" t="s">
        <v>269</v>
      </c>
      <c r="J155" s="18" t="s">
        <v>269</v>
      </c>
      <c r="K155" s="18" t="s">
        <v>269</v>
      </c>
      <c r="L155" s="23" t="s">
        <v>744</v>
      </c>
      <c r="M155" s="18" t="s">
        <v>269</v>
      </c>
      <c r="N155" s="18" t="s">
        <v>269</v>
      </c>
      <c r="O155" s="18" t="s">
        <v>269</v>
      </c>
      <c r="P155" s="18" t="s">
        <v>269</v>
      </c>
      <c r="Q155" s="18" t="s">
        <v>269</v>
      </c>
      <c r="R155" s="18" t="s">
        <v>269</v>
      </c>
      <c r="S155" s="18" t="s">
        <v>269</v>
      </c>
      <c r="T155" s="18" t="s">
        <v>269</v>
      </c>
      <c r="U155" s="24"/>
      <c r="V155" s="18" t="s">
        <v>269</v>
      </c>
      <c r="W155" s="38" t="str">
        <f>_xlfn.IFS(AND(COUNTIF(U155,"SCB*")=1, 'PCH176'!E60&gt;=2), "See the Notice *2", TRUE, "")</f>
        <v/>
      </c>
      <c r="X155" s="19"/>
      <c r="Y155" s="20" t="s">
        <v>268</v>
      </c>
      <c r="Z155" s="20" t="s">
        <v>257</v>
      </c>
      <c r="AA155" s="19"/>
      <c r="AB155" s="19"/>
    </row>
    <row r="156" spans="2:28" x14ac:dyDescent="0.2">
      <c r="B156" s="21" t="s">
        <v>818</v>
      </c>
      <c r="C156" s="22">
        <v>147</v>
      </c>
      <c r="D156" s="21" t="s">
        <v>770</v>
      </c>
      <c r="E156" s="21" t="s">
        <v>1049</v>
      </c>
      <c r="F156" s="21" t="s">
        <v>1058</v>
      </c>
      <c r="G156" s="21" t="s">
        <v>1051</v>
      </c>
      <c r="H156" s="21" t="s">
        <v>1060</v>
      </c>
      <c r="I156" s="18" t="s">
        <v>269</v>
      </c>
      <c r="J156" s="18" t="s">
        <v>269</v>
      </c>
      <c r="K156" s="18" t="s">
        <v>269</v>
      </c>
      <c r="L156" s="23" t="s">
        <v>745</v>
      </c>
      <c r="M156" s="18" t="s">
        <v>269</v>
      </c>
      <c r="N156" s="18" t="s">
        <v>269</v>
      </c>
      <c r="O156" s="18" t="s">
        <v>269</v>
      </c>
      <c r="P156" s="18" t="s">
        <v>269</v>
      </c>
      <c r="Q156" s="18" t="s">
        <v>269</v>
      </c>
      <c r="R156" s="18" t="s">
        <v>269</v>
      </c>
      <c r="S156" s="18" t="s">
        <v>269</v>
      </c>
      <c r="T156" s="21" t="s">
        <v>362</v>
      </c>
      <c r="U156" s="24"/>
      <c r="V156" s="18" t="s">
        <v>269</v>
      </c>
      <c r="W156" s="38" t="str">
        <f>_xlfn.IFS(AND(COUNTIF(U156,"SCB*")=1, 'PCH176'!E60&gt;=2), "See the Notice *2", TRUE, "")</f>
        <v/>
      </c>
      <c r="X156" s="19"/>
      <c r="Y156" s="20" t="s">
        <v>268</v>
      </c>
      <c r="Z156" s="20" t="s">
        <v>257</v>
      </c>
      <c r="AA156" s="19"/>
      <c r="AB156" s="19"/>
    </row>
    <row r="157" spans="2:28" x14ac:dyDescent="0.2">
      <c r="B157" s="21" t="s">
        <v>819</v>
      </c>
      <c r="C157" s="22">
        <v>148</v>
      </c>
      <c r="D157" s="21" t="s">
        <v>771</v>
      </c>
      <c r="E157" s="21" t="s">
        <v>1045</v>
      </c>
      <c r="F157" s="21" t="s">
        <v>1054</v>
      </c>
      <c r="G157" s="21" t="s">
        <v>1047</v>
      </c>
      <c r="H157" s="21" t="s">
        <v>1056</v>
      </c>
      <c r="I157" s="18" t="s">
        <v>269</v>
      </c>
      <c r="J157" s="18" t="s">
        <v>269</v>
      </c>
      <c r="K157" s="18" t="s">
        <v>269</v>
      </c>
      <c r="L157" s="18" t="s">
        <v>269</v>
      </c>
      <c r="M157" s="18" t="s">
        <v>269</v>
      </c>
      <c r="N157" s="18" t="s">
        <v>269</v>
      </c>
      <c r="O157" s="18" t="s">
        <v>269</v>
      </c>
      <c r="P157" s="18" t="s">
        <v>269</v>
      </c>
      <c r="Q157" s="18" t="s">
        <v>269</v>
      </c>
      <c r="R157" s="18" t="s">
        <v>269</v>
      </c>
      <c r="S157" s="18" t="s">
        <v>269</v>
      </c>
      <c r="T157" s="21" t="s">
        <v>361</v>
      </c>
      <c r="U157" s="24"/>
      <c r="V157" s="18" t="s">
        <v>269</v>
      </c>
      <c r="W157" s="38"/>
      <c r="X157" s="19"/>
      <c r="Y157" s="20" t="s">
        <v>268</v>
      </c>
      <c r="Z157" s="20" t="s">
        <v>257</v>
      </c>
      <c r="AA157" s="19"/>
      <c r="AB157" s="19"/>
    </row>
    <row r="158" spans="2:28" x14ac:dyDescent="0.2">
      <c r="B158" s="21" t="s">
        <v>820</v>
      </c>
      <c r="C158" s="22">
        <v>149</v>
      </c>
      <c r="D158" s="21" t="s">
        <v>772</v>
      </c>
      <c r="E158" s="21" t="s">
        <v>1041</v>
      </c>
      <c r="F158" s="21" t="s">
        <v>1050</v>
      </c>
      <c r="G158" s="21" t="s">
        <v>1043</v>
      </c>
      <c r="H158" s="21" t="s">
        <v>1052</v>
      </c>
      <c r="I158" s="18" t="s">
        <v>269</v>
      </c>
      <c r="J158" s="18" t="s">
        <v>269</v>
      </c>
      <c r="K158" s="18" t="s">
        <v>269</v>
      </c>
      <c r="L158" s="18" t="s">
        <v>269</v>
      </c>
      <c r="M158" s="18" t="s">
        <v>269</v>
      </c>
      <c r="N158" s="18" t="s">
        <v>269</v>
      </c>
      <c r="O158" s="21" t="s">
        <v>235</v>
      </c>
      <c r="P158" s="21" t="s">
        <v>62</v>
      </c>
      <c r="Q158" s="18" t="s">
        <v>269</v>
      </c>
      <c r="R158" s="18" t="s">
        <v>269</v>
      </c>
      <c r="S158" s="18" t="s">
        <v>269</v>
      </c>
      <c r="T158" s="21" t="s">
        <v>360</v>
      </c>
      <c r="U158" s="24"/>
      <c r="V158" s="18" t="s">
        <v>269</v>
      </c>
      <c r="W158" s="38"/>
      <c r="X158" s="19"/>
      <c r="Y158" s="20" t="s">
        <v>268</v>
      </c>
      <c r="Z158" s="20" t="s">
        <v>257</v>
      </c>
      <c r="AA158" s="19"/>
      <c r="AB158" s="19"/>
    </row>
    <row r="159" spans="2:28" x14ac:dyDescent="0.2">
      <c r="B159" s="21" t="s">
        <v>821</v>
      </c>
      <c r="C159" s="22">
        <v>150</v>
      </c>
      <c r="D159" s="21" t="s">
        <v>773</v>
      </c>
      <c r="E159" s="21" t="s">
        <v>1037</v>
      </c>
      <c r="F159" s="21" t="s">
        <v>1046</v>
      </c>
      <c r="G159" s="21" t="s">
        <v>1039</v>
      </c>
      <c r="H159" s="21" t="s">
        <v>1048</v>
      </c>
      <c r="I159" s="18" t="s">
        <v>269</v>
      </c>
      <c r="J159" s="18" t="s">
        <v>269</v>
      </c>
      <c r="K159" s="18" t="s">
        <v>269</v>
      </c>
      <c r="L159" s="18" t="s">
        <v>269</v>
      </c>
      <c r="M159" s="18" t="s">
        <v>269</v>
      </c>
      <c r="N159" s="18" t="s">
        <v>269</v>
      </c>
      <c r="O159" s="18" t="s">
        <v>269</v>
      </c>
      <c r="P159" s="18" t="s">
        <v>269</v>
      </c>
      <c r="Q159" s="18" t="s">
        <v>269</v>
      </c>
      <c r="R159" s="18" t="s">
        <v>269</v>
      </c>
      <c r="S159" s="18" t="s">
        <v>269</v>
      </c>
      <c r="T159" s="21" t="s">
        <v>359</v>
      </c>
      <c r="U159" s="24"/>
      <c r="V159" s="18" t="s">
        <v>269</v>
      </c>
      <c r="W159" s="38"/>
      <c r="X159" s="19"/>
      <c r="Y159" s="20" t="s">
        <v>268</v>
      </c>
      <c r="Z159" s="20" t="s">
        <v>257</v>
      </c>
      <c r="AA159" s="19"/>
      <c r="AB159" s="19"/>
    </row>
    <row r="160" spans="2:28" x14ac:dyDescent="0.2">
      <c r="B160" s="21" t="s">
        <v>822</v>
      </c>
      <c r="C160" s="22">
        <v>151</v>
      </c>
      <c r="D160" s="21" t="s">
        <v>827</v>
      </c>
      <c r="E160" s="21" t="s">
        <v>1033</v>
      </c>
      <c r="F160" s="21" t="s">
        <v>1042</v>
      </c>
      <c r="G160" s="21" t="s">
        <v>1035</v>
      </c>
      <c r="H160" s="21" t="s">
        <v>1044</v>
      </c>
      <c r="I160" s="18" t="s">
        <v>269</v>
      </c>
      <c r="J160" s="18" t="s">
        <v>269</v>
      </c>
      <c r="K160" s="18" t="s">
        <v>269</v>
      </c>
      <c r="L160" s="18" t="s">
        <v>269</v>
      </c>
      <c r="M160" s="18" t="s">
        <v>269</v>
      </c>
      <c r="N160" s="18" t="s">
        <v>269</v>
      </c>
      <c r="O160" s="18" t="s">
        <v>269</v>
      </c>
      <c r="P160" s="18" t="s">
        <v>269</v>
      </c>
      <c r="Q160" s="18" t="s">
        <v>269</v>
      </c>
      <c r="R160" s="18" t="s">
        <v>269</v>
      </c>
      <c r="S160" s="18" t="s">
        <v>269</v>
      </c>
      <c r="T160" s="21" t="s">
        <v>358</v>
      </c>
      <c r="U160" s="24"/>
      <c r="V160" s="18" t="s">
        <v>269</v>
      </c>
      <c r="W160" s="38"/>
      <c r="X160" s="19"/>
      <c r="Y160" s="20" t="s">
        <v>268</v>
      </c>
      <c r="Z160" s="20" t="s">
        <v>257</v>
      </c>
      <c r="AA160" s="19"/>
      <c r="AB160" s="19"/>
    </row>
    <row r="161" spans="2:28" x14ac:dyDescent="0.2">
      <c r="B161" s="34" t="s">
        <v>264</v>
      </c>
      <c r="C161" s="17">
        <v>152</v>
      </c>
      <c r="D161" s="34" t="s">
        <v>264</v>
      </c>
      <c r="E161" s="18" t="s">
        <v>269</v>
      </c>
      <c r="F161" s="18" t="s">
        <v>269</v>
      </c>
      <c r="G161" s="18" t="s">
        <v>269</v>
      </c>
      <c r="H161" s="18" t="s">
        <v>269</v>
      </c>
      <c r="I161" s="18" t="s">
        <v>269</v>
      </c>
      <c r="J161" s="18" t="s">
        <v>269</v>
      </c>
      <c r="K161" s="18" t="s">
        <v>269</v>
      </c>
      <c r="L161" s="18" t="s">
        <v>269</v>
      </c>
      <c r="M161" s="18" t="s">
        <v>269</v>
      </c>
      <c r="N161" s="18" t="s">
        <v>269</v>
      </c>
      <c r="O161" s="18" t="s">
        <v>269</v>
      </c>
      <c r="P161" s="18" t="s">
        <v>269</v>
      </c>
      <c r="Q161" s="18" t="s">
        <v>269</v>
      </c>
      <c r="R161" s="18" t="s">
        <v>269</v>
      </c>
      <c r="S161" s="18" t="s">
        <v>269</v>
      </c>
      <c r="T161" s="18" t="s">
        <v>269</v>
      </c>
      <c r="U161" s="34" t="s">
        <v>264</v>
      </c>
      <c r="V161" s="18" t="s">
        <v>269</v>
      </c>
      <c r="W161" s="38"/>
      <c r="X161" s="19" t="s">
        <v>552</v>
      </c>
      <c r="Y161" s="20" t="s">
        <v>558</v>
      </c>
      <c r="Z161" s="19" t="s">
        <v>558</v>
      </c>
      <c r="AA161" s="19"/>
      <c r="AB161" s="19"/>
    </row>
    <row r="162" spans="2:28" x14ac:dyDescent="0.2">
      <c r="B162" s="28" t="s">
        <v>257</v>
      </c>
      <c r="C162" s="17">
        <v>153</v>
      </c>
      <c r="D162" s="18" t="s">
        <v>269</v>
      </c>
      <c r="E162" s="18" t="s">
        <v>269</v>
      </c>
      <c r="F162" s="18" t="s">
        <v>269</v>
      </c>
      <c r="G162" s="18" t="s">
        <v>269</v>
      </c>
      <c r="H162" s="18" t="s">
        <v>269</v>
      </c>
      <c r="I162" s="18" t="s">
        <v>269</v>
      </c>
      <c r="J162" s="18" t="s">
        <v>269</v>
      </c>
      <c r="K162" s="18" t="s">
        <v>269</v>
      </c>
      <c r="L162" s="18" t="s">
        <v>269</v>
      </c>
      <c r="M162" s="18" t="s">
        <v>269</v>
      </c>
      <c r="N162" s="18" t="s">
        <v>269</v>
      </c>
      <c r="O162" s="18" t="s">
        <v>269</v>
      </c>
      <c r="P162" s="18" t="s">
        <v>269</v>
      </c>
      <c r="Q162" s="18" t="s">
        <v>269</v>
      </c>
      <c r="R162" s="18" t="s">
        <v>269</v>
      </c>
      <c r="S162" s="18" t="s">
        <v>269</v>
      </c>
      <c r="T162" s="18" t="s">
        <v>269</v>
      </c>
      <c r="U162" s="28" t="s">
        <v>257</v>
      </c>
      <c r="V162" s="18" t="s">
        <v>269</v>
      </c>
      <c r="W162" s="38"/>
      <c r="X162" s="19" t="s">
        <v>544</v>
      </c>
      <c r="Y162" s="20" t="s">
        <v>558</v>
      </c>
      <c r="Z162" s="19" t="s">
        <v>558</v>
      </c>
      <c r="AA162" s="19"/>
      <c r="AB162" s="19"/>
    </row>
    <row r="163" spans="2:28" x14ac:dyDescent="0.2">
      <c r="B163" s="16" t="s">
        <v>256</v>
      </c>
      <c r="C163" s="17">
        <v>154</v>
      </c>
      <c r="D163" s="18" t="s">
        <v>269</v>
      </c>
      <c r="E163" s="18" t="s">
        <v>269</v>
      </c>
      <c r="F163" s="18" t="s">
        <v>269</v>
      </c>
      <c r="G163" s="18" t="s">
        <v>269</v>
      </c>
      <c r="H163" s="18" t="s">
        <v>269</v>
      </c>
      <c r="I163" s="18" t="s">
        <v>269</v>
      </c>
      <c r="J163" s="18" t="s">
        <v>269</v>
      </c>
      <c r="K163" s="18" t="s">
        <v>269</v>
      </c>
      <c r="L163" s="18" t="s">
        <v>269</v>
      </c>
      <c r="M163" s="18" t="s">
        <v>269</v>
      </c>
      <c r="N163" s="18" t="s">
        <v>269</v>
      </c>
      <c r="O163" s="18" t="s">
        <v>269</v>
      </c>
      <c r="P163" s="18" t="s">
        <v>269</v>
      </c>
      <c r="Q163" s="18" t="s">
        <v>269</v>
      </c>
      <c r="R163" s="18" t="s">
        <v>269</v>
      </c>
      <c r="S163" s="18" t="s">
        <v>269</v>
      </c>
      <c r="T163" s="18" t="s">
        <v>269</v>
      </c>
      <c r="U163" s="16" t="s">
        <v>256</v>
      </c>
      <c r="V163" s="18" t="s">
        <v>269</v>
      </c>
      <c r="W163" s="38"/>
      <c r="X163" s="19" t="s">
        <v>545</v>
      </c>
      <c r="Y163" s="20" t="s">
        <v>558</v>
      </c>
      <c r="Z163" s="19" t="s">
        <v>558</v>
      </c>
      <c r="AA163" s="19"/>
      <c r="AB163" s="19"/>
    </row>
    <row r="164" spans="2:28" x14ac:dyDescent="0.2">
      <c r="B164" s="16" t="s">
        <v>256</v>
      </c>
      <c r="C164" s="17">
        <v>155</v>
      </c>
      <c r="D164" s="18" t="s">
        <v>269</v>
      </c>
      <c r="E164" s="18" t="s">
        <v>269</v>
      </c>
      <c r="F164" s="18" t="s">
        <v>269</v>
      </c>
      <c r="G164" s="18" t="s">
        <v>269</v>
      </c>
      <c r="H164" s="18" t="s">
        <v>269</v>
      </c>
      <c r="I164" s="18" t="s">
        <v>269</v>
      </c>
      <c r="J164" s="18" t="s">
        <v>269</v>
      </c>
      <c r="K164" s="18" t="s">
        <v>269</v>
      </c>
      <c r="L164" s="18" t="s">
        <v>269</v>
      </c>
      <c r="M164" s="18" t="s">
        <v>269</v>
      </c>
      <c r="N164" s="18" t="s">
        <v>269</v>
      </c>
      <c r="O164" s="18" t="s">
        <v>269</v>
      </c>
      <c r="P164" s="18" t="s">
        <v>269</v>
      </c>
      <c r="Q164" s="18" t="s">
        <v>269</v>
      </c>
      <c r="R164" s="18" t="s">
        <v>269</v>
      </c>
      <c r="S164" s="18" t="s">
        <v>269</v>
      </c>
      <c r="T164" s="18" t="s">
        <v>269</v>
      </c>
      <c r="U164" s="16" t="s">
        <v>256</v>
      </c>
      <c r="V164" s="18" t="s">
        <v>269</v>
      </c>
      <c r="W164" s="38"/>
      <c r="X164" s="19" t="s">
        <v>545</v>
      </c>
      <c r="Y164" s="20" t="s">
        <v>558</v>
      </c>
      <c r="Z164" s="19" t="s">
        <v>558</v>
      </c>
      <c r="AA164" s="19"/>
      <c r="AB164" s="19"/>
    </row>
    <row r="165" spans="2:28" x14ac:dyDescent="0.2">
      <c r="B165" s="28" t="s">
        <v>259</v>
      </c>
      <c r="C165" s="17">
        <v>156</v>
      </c>
      <c r="D165" s="18" t="s">
        <v>269</v>
      </c>
      <c r="E165" s="18" t="s">
        <v>269</v>
      </c>
      <c r="F165" s="18" t="s">
        <v>269</v>
      </c>
      <c r="G165" s="18" t="s">
        <v>269</v>
      </c>
      <c r="H165" s="18" t="s">
        <v>269</v>
      </c>
      <c r="I165" s="18" t="s">
        <v>269</v>
      </c>
      <c r="J165" s="18" t="s">
        <v>269</v>
      </c>
      <c r="K165" s="18" t="s">
        <v>269</v>
      </c>
      <c r="L165" s="18" t="s">
        <v>269</v>
      </c>
      <c r="M165" s="18" t="s">
        <v>269</v>
      </c>
      <c r="N165" s="18" t="s">
        <v>269</v>
      </c>
      <c r="O165" s="18" t="s">
        <v>269</v>
      </c>
      <c r="P165" s="18" t="s">
        <v>269</v>
      </c>
      <c r="Q165" s="18" t="s">
        <v>269</v>
      </c>
      <c r="R165" s="18" t="s">
        <v>269</v>
      </c>
      <c r="S165" s="18" t="s">
        <v>269</v>
      </c>
      <c r="T165" s="18" t="s">
        <v>269</v>
      </c>
      <c r="U165" s="28" t="s">
        <v>259</v>
      </c>
      <c r="V165" s="18" t="s">
        <v>269</v>
      </c>
      <c r="W165" s="38"/>
      <c r="X165" s="19" t="s">
        <v>547</v>
      </c>
      <c r="Y165" s="20" t="s">
        <v>558</v>
      </c>
      <c r="Z165" s="19" t="s">
        <v>558</v>
      </c>
      <c r="AA165" s="19"/>
      <c r="AB165" s="19"/>
    </row>
    <row r="166" spans="2:28" x14ac:dyDescent="0.2">
      <c r="B166" s="21" t="s">
        <v>823</v>
      </c>
      <c r="C166" s="22">
        <v>157</v>
      </c>
      <c r="D166" s="21" t="s">
        <v>774</v>
      </c>
      <c r="E166" s="21" t="s">
        <v>1029</v>
      </c>
      <c r="F166" s="21" t="s">
        <v>1038</v>
      </c>
      <c r="G166" s="21" t="s">
        <v>1031</v>
      </c>
      <c r="H166" s="21" t="s">
        <v>1040</v>
      </c>
      <c r="I166" s="18" t="s">
        <v>269</v>
      </c>
      <c r="J166" s="18" t="s">
        <v>269</v>
      </c>
      <c r="K166" s="18" t="s">
        <v>269</v>
      </c>
      <c r="L166" s="18" t="s">
        <v>269</v>
      </c>
      <c r="M166" s="21" t="s">
        <v>40</v>
      </c>
      <c r="N166" s="18" t="s">
        <v>269</v>
      </c>
      <c r="O166" s="18" t="s">
        <v>269</v>
      </c>
      <c r="P166" s="18" t="s">
        <v>269</v>
      </c>
      <c r="Q166" s="18" t="s">
        <v>269</v>
      </c>
      <c r="R166" s="18" t="s">
        <v>269</v>
      </c>
      <c r="S166" s="18" t="s">
        <v>269</v>
      </c>
      <c r="T166" s="18" t="s">
        <v>269</v>
      </c>
      <c r="U166" s="24"/>
      <c r="V166" s="18" t="s">
        <v>269</v>
      </c>
      <c r="W166" s="38"/>
      <c r="X166" s="19"/>
      <c r="Y166" s="20" t="s">
        <v>268</v>
      </c>
      <c r="Z166" s="20" t="s">
        <v>257</v>
      </c>
      <c r="AA166" s="19"/>
      <c r="AB166" s="19"/>
    </row>
    <row r="167" spans="2:28" x14ac:dyDescent="0.2">
      <c r="B167" s="21" t="s">
        <v>824</v>
      </c>
      <c r="C167" s="22">
        <v>158</v>
      </c>
      <c r="D167" s="21" t="s">
        <v>775</v>
      </c>
      <c r="E167" s="21" t="s">
        <v>1025</v>
      </c>
      <c r="F167" s="21" t="s">
        <v>1034</v>
      </c>
      <c r="G167" s="21" t="s">
        <v>1027</v>
      </c>
      <c r="H167" s="21" t="s">
        <v>1036</v>
      </c>
      <c r="I167" s="18" t="s">
        <v>269</v>
      </c>
      <c r="J167" s="18" t="s">
        <v>269</v>
      </c>
      <c r="K167" s="18" t="s">
        <v>269</v>
      </c>
      <c r="L167" s="18" t="s">
        <v>269</v>
      </c>
      <c r="M167" s="21" t="s">
        <v>44</v>
      </c>
      <c r="N167" s="18" t="s">
        <v>269</v>
      </c>
      <c r="O167" s="18" t="s">
        <v>269</v>
      </c>
      <c r="P167" s="18" t="s">
        <v>269</v>
      </c>
      <c r="Q167" s="18" t="s">
        <v>269</v>
      </c>
      <c r="R167" s="18" t="s">
        <v>269</v>
      </c>
      <c r="S167" s="18" t="s">
        <v>269</v>
      </c>
      <c r="T167" s="18" t="s">
        <v>269</v>
      </c>
      <c r="U167" s="24"/>
      <c r="V167" s="18" t="s">
        <v>269</v>
      </c>
      <c r="W167" s="38"/>
      <c r="X167" s="19"/>
      <c r="Y167" s="20" t="s">
        <v>268</v>
      </c>
      <c r="Z167" s="20" t="s">
        <v>257</v>
      </c>
      <c r="AA167" s="19"/>
      <c r="AB167" s="19"/>
    </row>
    <row r="168" spans="2:28" x14ac:dyDescent="0.2">
      <c r="B168" s="21" t="s">
        <v>825</v>
      </c>
      <c r="C168" s="22">
        <v>159</v>
      </c>
      <c r="D168" s="21" t="s">
        <v>826</v>
      </c>
      <c r="E168" s="21" t="s">
        <v>1021</v>
      </c>
      <c r="F168" s="21" t="s">
        <v>1030</v>
      </c>
      <c r="G168" s="21" t="s">
        <v>1023</v>
      </c>
      <c r="H168" s="21" t="s">
        <v>1032</v>
      </c>
      <c r="I168" s="18" t="s">
        <v>269</v>
      </c>
      <c r="J168" s="18" t="s">
        <v>269</v>
      </c>
      <c r="K168" s="18" t="s">
        <v>269</v>
      </c>
      <c r="L168" s="18" t="s">
        <v>269</v>
      </c>
      <c r="M168" s="21" t="s">
        <v>48</v>
      </c>
      <c r="N168" s="18" t="s">
        <v>269</v>
      </c>
      <c r="O168" s="18" t="s">
        <v>269</v>
      </c>
      <c r="P168" s="21" t="s">
        <v>102</v>
      </c>
      <c r="Q168" s="18" t="s">
        <v>269</v>
      </c>
      <c r="R168" s="21" t="s">
        <v>338</v>
      </c>
      <c r="S168" s="18" t="s">
        <v>269</v>
      </c>
      <c r="T168" s="18" t="s">
        <v>269</v>
      </c>
      <c r="U168" s="24"/>
      <c r="V168" s="18" t="s">
        <v>269</v>
      </c>
      <c r="W168" s="38"/>
      <c r="X168" s="19"/>
      <c r="Y168" s="20" t="s">
        <v>268</v>
      </c>
      <c r="Z168" s="20" t="s">
        <v>257</v>
      </c>
      <c r="AA168" s="19"/>
      <c r="AB168" s="19"/>
    </row>
    <row r="169" spans="2:28" x14ac:dyDescent="0.2">
      <c r="B169" s="21" t="s">
        <v>237</v>
      </c>
      <c r="C169" s="22">
        <v>160</v>
      </c>
      <c r="D169" s="21" t="s">
        <v>237</v>
      </c>
      <c r="E169" s="21" t="s">
        <v>1017</v>
      </c>
      <c r="F169" s="21" t="s">
        <v>1026</v>
      </c>
      <c r="G169" s="21" t="s">
        <v>1019</v>
      </c>
      <c r="H169" s="21" t="s">
        <v>1028</v>
      </c>
      <c r="I169" s="18" t="s">
        <v>269</v>
      </c>
      <c r="J169" s="23" t="s">
        <v>746</v>
      </c>
      <c r="K169" s="18" t="s">
        <v>269</v>
      </c>
      <c r="L169" s="23" t="s">
        <v>747</v>
      </c>
      <c r="M169" s="18" t="s">
        <v>269</v>
      </c>
      <c r="N169" s="21" t="s">
        <v>194</v>
      </c>
      <c r="O169" s="18" t="s">
        <v>269</v>
      </c>
      <c r="P169" s="21" t="s">
        <v>1172</v>
      </c>
      <c r="Q169" s="18" t="s">
        <v>269</v>
      </c>
      <c r="R169" s="18" t="s">
        <v>269</v>
      </c>
      <c r="S169" s="18" t="s">
        <v>269</v>
      </c>
      <c r="T169" s="18" t="s">
        <v>269</v>
      </c>
      <c r="U169" s="24"/>
      <c r="V169" s="18" t="s">
        <v>269</v>
      </c>
      <c r="W169" s="38" t="str">
        <f>_xlfn.IFS(AND(COUNTIF(U169,"SCB*")=1, 'PCH176'!J60&gt;=2), "See the Notice *2", TRUE, "")</f>
        <v/>
      </c>
      <c r="X169" s="19"/>
      <c r="Y169" s="20" t="s">
        <v>268</v>
      </c>
      <c r="Z169" s="20" t="s">
        <v>257</v>
      </c>
      <c r="AA169" s="19"/>
      <c r="AB169" s="19"/>
    </row>
    <row r="170" spans="2:28" x14ac:dyDescent="0.2">
      <c r="B170" s="21" t="s">
        <v>238</v>
      </c>
      <c r="C170" s="22">
        <v>161</v>
      </c>
      <c r="D170" s="21" t="s">
        <v>238</v>
      </c>
      <c r="E170" s="21" t="s">
        <v>1013</v>
      </c>
      <c r="F170" s="21" t="s">
        <v>1022</v>
      </c>
      <c r="G170" s="21" t="s">
        <v>1015</v>
      </c>
      <c r="H170" s="21" t="s">
        <v>1024</v>
      </c>
      <c r="I170" s="18" t="s">
        <v>269</v>
      </c>
      <c r="J170" s="23" t="s">
        <v>748</v>
      </c>
      <c r="K170" s="23" t="s">
        <v>749</v>
      </c>
      <c r="L170" s="23" t="s">
        <v>750</v>
      </c>
      <c r="M170" s="18" t="s">
        <v>269</v>
      </c>
      <c r="N170" s="21" t="s">
        <v>196</v>
      </c>
      <c r="O170" s="18" t="s">
        <v>269</v>
      </c>
      <c r="P170" s="21" t="s">
        <v>1173</v>
      </c>
      <c r="Q170" s="18" t="s">
        <v>269</v>
      </c>
      <c r="R170" s="18" t="s">
        <v>269</v>
      </c>
      <c r="S170" s="18" t="s">
        <v>269</v>
      </c>
      <c r="T170" s="18" t="s">
        <v>269</v>
      </c>
      <c r="U170" s="24"/>
      <c r="V170" s="18" t="s">
        <v>269</v>
      </c>
      <c r="W170" s="38" t="str">
        <f>_xlfn.IFS(AND(COUNTIF(U170,"SCB*")=1, 'PCH176'!J60&gt;=2), "See the Notice *2", TRUE, "")</f>
        <v/>
      </c>
      <c r="X170" s="19"/>
      <c r="Y170" s="20" t="s">
        <v>268</v>
      </c>
      <c r="Z170" s="20" t="s">
        <v>257</v>
      </c>
      <c r="AA170" s="19"/>
      <c r="AB170" s="19"/>
    </row>
    <row r="171" spans="2:28" x14ac:dyDescent="0.2">
      <c r="B171" s="21" t="s">
        <v>239</v>
      </c>
      <c r="C171" s="22">
        <v>162</v>
      </c>
      <c r="D171" s="21" t="s">
        <v>239</v>
      </c>
      <c r="E171" s="21" t="s">
        <v>1009</v>
      </c>
      <c r="F171" s="21" t="s">
        <v>1018</v>
      </c>
      <c r="G171" s="21" t="s">
        <v>1011</v>
      </c>
      <c r="H171" s="21" t="s">
        <v>1020</v>
      </c>
      <c r="I171" s="18" t="s">
        <v>269</v>
      </c>
      <c r="J171" s="23" t="s">
        <v>751</v>
      </c>
      <c r="K171" s="23" t="s">
        <v>752</v>
      </c>
      <c r="L171" s="23" t="s">
        <v>753</v>
      </c>
      <c r="M171" s="18" t="s">
        <v>269</v>
      </c>
      <c r="N171" s="18" t="s">
        <v>269</v>
      </c>
      <c r="O171" s="18" t="s">
        <v>269</v>
      </c>
      <c r="P171" s="21" t="s">
        <v>1174</v>
      </c>
      <c r="Q171" s="18" t="s">
        <v>269</v>
      </c>
      <c r="R171" s="18" t="s">
        <v>269</v>
      </c>
      <c r="S171" s="18" t="s">
        <v>269</v>
      </c>
      <c r="T171" s="18" t="s">
        <v>269</v>
      </c>
      <c r="U171" s="24"/>
      <c r="V171" s="18" t="s">
        <v>269</v>
      </c>
      <c r="W171" s="38" t="str">
        <f>_xlfn.IFS(AND(COUNTIF(U171,"SCB*")=1, 'PCH176'!J60&gt;=2), "See the Notice *2", TRUE, "")</f>
        <v/>
      </c>
      <c r="X171" s="19"/>
      <c r="Y171" s="20" t="s">
        <v>268</v>
      </c>
      <c r="Z171" s="20" t="s">
        <v>257</v>
      </c>
      <c r="AA171" s="19"/>
      <c r="AB171" s="19"/>
    </row>
    <row r="172" spans="2:28" x14ac:dyDescent="0.2">
      <c r="B172" s="21" t="s">
        <v>240</v>
      </c>
      <c r="C172" s="22">
        <v>163</v>
      </c>
      <c r="D172" s="21" t="s">
        <v>240</v>
      </c>
      <c r="E172" s="21" t="s">
        <v>1005</v>
      </c>
      <c r="F172" s="21" t="s">
        <v>1014</v>
      </c>
      <c r="G172" s="21" t="s">
        <v>1007</v>
      </c>
      <c r="H172" s="21" t="s">
        <v>1016</v>
      </c>
      <c r="I172" s="18" t="s">
        <v>269</v>
      </c>
      <c r="J172" s="23" t="s">
        <v>754</v>
      </c>
      <c r="K172" s="18" t="s">
        <v>269</v>
      </c>
      <c r="L172" s="23" t="s">
        <v>755</v>
      </c>
      <c r="M172" s="18" t="s">
        <v>269</v>
      </c>
      <c r="N172" s="18" t="s">
        <v>269</v>
      </c>
      <c r="O172" s="18" t="s">
        <v>269</v>
      </c>
      <c r="P172" s="21" t="s">
        <v>1175</v>
      </c>
      <c r="Q172" s="18" t="s">
        <v>269</v>
      </c>
      <c r="R172" s="18" t="s">
        <v>269</v>
      </c>
      <c r="S172" s="18" t="s">
        <v>269</v>
      </c>
      <c r="T172" s="18" t="s">
        <v>269</v>
      </c>
      <c r="U172" s="24"/>
      <c r="V172" s="18" t="s">
        <v>269</v>
      </c>
      <c r="W172" s="38" t="str">
        <f>_xlfn.IFS(AND(COUNTIF(U172,"SCB*")=1, 'PCH176'!J60&gt;=2), "See the Notice *2", TRUE, "")</f>
        <v/>
      </c>
      <c r="X172" s="19"/>
      <c r="Y172" s="20" t="s">
        <v>268</v>
      </c>
      <c r="Z172" s="20" t="s">
        <v>257</v>
      </c>
      <c r="AA172" s="19"/>
      <c r="AB172" s="19"/>
    </row>
    <row r="173" spans="2:28" x14ac:dyDescent="0.2">
      <c r="B173" s="21" t="s">
        <v>241</v>
      </c>
      <c r="C173" s="22">
        <v>164</v>
      </c>
      <c r="D173" s="21" t="s">
        <v>241</v>
      </c>
      <c r="E173" s="21" t="s">
        <v>1001</v>
      </c>
      <c r="F173" s="21" t="s">
        <v>1010</v>
      </c>
      <c r="G173" s="21" t="s">
        <v>1003</v>
      </c>
      <c r="H173" s="21" t="s">
        <v>1012</v>
      </c>
      <c r="I173" s="18" t="s">
        <v>269</v>
      </c>
      <c r="J173" s="18" t="s">
        <v>269</v>
      </c>
      <c r="K173" s="18" t="s">
        <v>269</v>
      </c>
      <c r="L173" s="23" t="s">
        <v>756</v>
      </c>
      <c r="M173" s="18" t="s">
        <v>269</v>
      </c>
      <c r="N173" s="18" t="s">
        <v>269</v>
      </c>
      <c r="O173" s="18" t="s">
        <v>269</v>
      </c>
      <c r="P173" s="21" t="s">
        <v>1176</v>
      </c>
      <c r="Q173" s="18" t="s">
        <v>269</v>
      </c>
      <c r="R173" s="18" t="s">
        <v>269</v>
      </c>
      <c r="S173" s="18" t="s">
        <v>269</v>
      </c>
      <c r="T173" s="18" t="s">
        <v>269</v>
      </c>
      <c r="U173" s="24"/>
      <c r="V173" s="18" t="s">
        <v>269</v>
      </c>
      <c r="W173" s="38" t="str">
        <f>_xlfn.IFS(AND(COUNTIF(U173,"SCB*")=1, 'PCH176'!J60&gt;=2), "See the Notice *2", TRUE, "")</f>
        <v/>
      </c>
      <c r="X173" s="19"/>
      <c r="Y173" s="20" t="s">
        <v>268</v>
      </c>
      <c r="Z173" s="20" t="s">
        <v>257</v>
      </c>
      <c r="AA173" s="19"/>
      <c r="AB173" s="19"/>
    </row>
    <row r="174" spans="2:28" x14ac:dyDescent="0.2">
      <c r="B174" s="21" t="s">
        <v>242</v>
      </c>
      <c r="C174" s="22">
        <v>165</v>
      </c>
      <c r="D174" s="21" t="s">
        <v>242</v>
      </c>
      <c r="E174" s="21" t="s">
        <v>997</v>
      </c>
      <c r="F174" s="21" t="s">
        <v>1006</v>
      </c>
      <c r="G174" s="21" t="s">
        <v>999</v>
      </c>
      <c r="H174" s="21" t="s">
        <v>1008</v>
      </c>
      <c r="I174" s="18" t="s">
        <v>269</v>
      </c>
      <c r="J174" s="18" t="s">
        <v>269</v>
      </c>
      <c r="K174" s="18" t="s">
        <v>269</v>
      </c>
      <c r="L174" s="23" t="s">
        <v>757</v>
      </c>
      <c r="M174" s="21" t="s">
        <v>81</v>
      </c>
      <c r="N174" s="18" t="s">
        <v>269</v>
      </c>
      <c r="O174" s="18" t="s">
        <v>269</v>
      </c>
      <c r="P174" s="18" t="s">
        <v>269</v>
      </c>
      <c r="Q174" s="18" t="s">
        <v>269</v>
      </c>
      <c r="R174" s="18" t="s">
        <v>269</v>
      </c>
      <c r="S174" s="18" t="s">
        <v>269</v>
      </c>
      <c r="T174" s="18" t="s">
        <v>269</v>
      </c>
      <c r="U174" s="24"/>
      <c r="V174" s="18" t="s">
        <v>269</v>
      </c>
      <c r="W174" s="38" t="str">
        <f>_xlfn.IFS(AND(COUNTIF(U174,"SCB*")=1, 'PCH176'!J60&gt;=2), "See the Notice *2", TRUE, "")</f>
        <v/>
      </c>
      <c r="X174" s="19"/>
      <c r="Y174" s="20" t="s">
        <v>268</v>
      </c>
      <c r="Z174" s="20" t="s">
        <v>257</v>
      </c>
      <c r="AA174" s="19"/>
      <c r="AB174" s="19"/>
    </row>
    <row r="175" spans="2:28" x14ac:dyDescent="0.2">
      <c r="B175" s="21" t="s">
        <v>243</v>
      </c>
      <c r="C175" s="22">
        <v>166</v>
      </c>
      <c r="D175" s="21" t="s">
        <v>243</v>
      </c>
      <c r="E175" s="21" t="s">
        <v>993</v>
      </c>
      <c r="F175" s="21" t="s">
        <v>1002</v>
      </c>
      <c r="G175" s="21" t="s">
        <v>995</v>
      </c>
      <c r="H175" s="21" t="s">
        <v>1004</v>
      </c>
      <c r="I175" s="18" t="s">
        <v>269</v>
      </c>
      <c r="J175" s="18" t="s">
        <v>269</v>
      </c>
      <c r="K175" s="18" t="s">
        <v>269</v>
      </c>
      <c r="L175" s="18" t="s">
        <v>269</v>
      </c>
      <c r="M175" s="21" t="s">
        <v>83</v>
      </c>
      <c r="N175" s="18" t="s">
        <v>269</v>
      </c>
      <c r="O175" s="18" t="s">
        <v>269</v>
      </c>
      <c r="P175" s="18" t="s">
        <v>269</v>
      </c>
      <c r="Q175" s="18" t="s">
        <v>269</v>
      </c>
      <c r="R175" s="18" t="s">
        <v>269</v>
      </c>
      <c r="S175" s="18" t="s">
        <v>269</v>
      </c>
      <c r="T175" s="18" t="s">
        <v>269</v>
      </c>
      <c r="U175" s="24"/>
      <c r="V175" s="18" t="s">
        <v>269</v>
      </c>
      <c r="W175" s="38"/>
      <c r="X175" s="19"/>
      <c r="Y175" s="20" t="s">
        <v>268</v>
      </c>
      <c r="Z175" s="20" t="s">
        <v>257</v>
      </c>
      <c r="AA175" s="19"/>
      <c r="AB175" s="19"/>
    </row>
    <row r="176" spans="2:28" x14ac:dyDescent="0.2">
      <c r="B176" s="21" t="s">
        <v>244</v>
      </c>
      <c r="C176" s="22">
        <v>167</v>
      </c>
      <c r="D176" s="21" t="s">
        <v>244</v>
      </c>
      <c r="E176" s="21" t="s">
        <v>989</v>
      </c>
      <c r="F176" s="21" t="s">
        <v>998</v>
      </c>
      <c r="G176" s="21" t="s">
        <v>991</v>
      </c>
      <c r="H176" s="21" t="s">
        <v>1000</v>
      </c>
      <c r="I176" s="18" t="s">
        <v>269</v>
      </c>
      <c r="J176" s="18" t="s">
        <v>269</v>
      </c>
      <c r="K176" s="18" t="s">
        <v>269</v>
      </c>
      <c r="L176" s="18" t="s">
        <v>269</v>
      </c>
      <c r="M176" s="21" t="s">
        <v>85</v>
      </c>
      <c r="N176" s="18" t="s">
        <v>269</v>
      </c>
      <c r="O176" s="18" t="s">
        <v>269</v>
      </c>
      <c r="P176" s="18" t="s">
        <v>269</v>
      </c>
      <c r="Q176" s="18" t="s">
        <v>269</v>
      </c>
      <c r="R176" s="18" t="s">
        <v>269</v>
      </c>
      <c r="S176" s="18" t="s">
        <v>269</v>
      </c>
      <c r="T176" s="18" t="s">
        <v>269</v>
      </c>
      <c r="U176" s="24"/>
      <c r="V176" s="18" t="s">
        <v>269</v>
      </c>
      <c r="W176" s="38"/>
      <c r="X176" s="19"/>
      <c r="Y176" s="20" t="s">
        <v>268</v>
      </c>
      <c r="Z176" s="20" t="s">
        <v>257</v>
      </c>
      <c r="AA176" s="19"/>
      <c r="AB176" s="19"/>
    </row>
    <row r="177" spans="2:28" x14ac:dyDescent="0.2">
      <c r="B177" s="21" t="s">
        <v>245</v>
      </c>
      <c r="C177" s="22">
        <v>168</v>
      </c>
      <c r="D177" s="21" t="s">
        <v>245</v>
      </c>
      <c r="E177" s="21" t="s">
        <v>1057</v>
      </c>
      <c r="F177" s="21" t="s">
        <v>994</v>
      </c>
      <c r="G177" s="21" t="s">
        <v>1059</v>
      </c>
      <c r="H177" s="21" t="s">
        <v>996</v>
      </c>
      <c r="I177" s="18" t="s">
        <v>269</v>
      </c>
      <c r="J177" s="23" t="s">
        <v>758</v>
      </c>
      <c r="K177" s="18" t="s">
        <v>269</v>
      </c>
      <c r="L177" s="23" t="s">
        <v>759</v>
      </c>
      <c r="M177" s="18" t="s">
        <v>269</v>
      </c>
      <c r="N177" s="21" t="s">
        <v>174</v>
      </c>
      <c r="O177" s="18" t="s">
        <v>269</v>
      </c>
      <c r="P177" s="21" t="s">
        <v>206</v>
      </c>
      <c r="Q177" s="18" t="s">
        <v>269</v>
      </c>
      <c r="R177" s="18" t="s">
        <v>269</v>
      </c>
      <c r="S177" s="18" t="s">
        <v>269</v>
      </c>
      <c r="T177" s="18" t="s">
        <v>269</v>
      </c>
      <c r="U177" s="24"/>
      <c r="V177" s="18" t="s">
        <v>269</v>
      </c>
      <c r="W177" s="38" t="str">
        <f>_xlfn.IFS(AND(COUNTIF(U177,"SCB*")=1, 'PCH176'!K60&gt;=2), "See the Notice *2", TRUE, "")</f>
        <v/>
      </c>
      <c r="X177" s="19"/>
      <c r="Y177" s="20" t="s">
        <v>268</v>
      </c>
      <c r="Z177" s="20" t="s">
        <v>257</v>
      </c>
      <c r="AA177" s="19"/>
      <c r="AB177" s="19"/>
    </row>
    <row r="178" spans="2:28" x14ac:dyDescent="0.2">
      <c r="B178" s="21" t="s">
        <v>246</v>
      </c>
      <c r="C178" s="22">
        <v>169</v>
      </c>
      <c r="D178" s="21" t="s">
        <v>246</v>
      </c>
      <c r="E178" s="21" t="s">
        <v>1065</v>
      </c>
      <c r="F178" s="21" t="s">
        <v>1062</v>
      </c>
      <c r="G178" s="21" t="s">
        <v>1067</v>
      </c>
      <c r="H178" s="21" t="s">
        <v>1064</v>
      </c>
      <c r="I178" s="18" t="s">
        <v>269</v>
      </c>
      <c r="J178" s="23" t="s">
        <v>760</v>
      </c>
      <c r="K178" s="23" t="s">
        <v>761</v>
      </c>
      <c r="L178" s="23" t="s">
        <v>762</v>
      </c>
      <c r="M178" s="18" t="s">
        <v>269</v>
      </c>
      <c r="N178" s="21" t="s">
        <v>176</v>
      </c>
      <c r="O178" s="18" t="s">
        <v>269</v>
      </c>
      <c r="P178" s="21" t="s">
        <v>208</v>
      </c>
      <c r="Q178" s="18" t="s">
        <v>269</v>
      </c>
      <c r="R178" s="18" t="s">
        <v>269</v>
      </c>
      <c r="S178" s="18" t="s">
        <v>269</v>
      </c>
      <c r="T178" s="18" t="s">
        <v>269</v>
      </c>
      <c r="U178" s="24"/>
      <c r="V178" s="18" t="s">
        <v>269</v>
      </c>
      <c r="W178" s="38" t="str">
        <f>_xlfn.IFS(AND(COUNTIF(U178,"SCB*")=1, 'PCH176'!K60&gt;=2), "See the Notice *2", TRUE, "")</f>
        <v/>
      </c>
      <c r="X178" s="19"/>
      <c r="Y178" s="20" t="s">
        <v>268</v>
      </c>
      <c r="Z178" s="20" t="s">
        <v>257</v>
      </c>
      <c r="AA178" s="19"/>
      <c r="AB178" s="19"/>
    </row>
    <row r="179" spans="2:28" x14ac:dyDescent="0.2">
      <c r="B179" s="21" t="s">
        <v>247</v>
      </c>
      <c r="C179" s="22">
        <v>170</v>
      </c>
      <c r="D179" s="21" t="s">
        <v>247</v>
      </c>
      <c r="E179" s="21" t="s">
        <v>1073</v>
      </c>
      <c r="F179" s="21" t="s">
        <v>1070</v>
      </c>
      <c r="G179" s="21" t="s">
        <v>1075</v>
      </c>
      <c r="H179" s="21" t="s">
        <v>1072</v>
      </c>
      <c r="I179" s="18" t="s">
        <v>269</v>
      </c>
      <c r="J179" s="23" t="s">
        <v>763</v>
      </c>
      <c r="K179" s="23" t="s">
        <v>764</v>
      </c>
      <c r="L179" s="23" t="s">
        <v>765</v>
      </c>
      <c r="M179" s="18" t="s">
        <v>269</v>
      </c>
      <c r="N179" s="18" t="s">
        <v>269</v>
      </c>
      <c r="O179" s="18" t="s">
        <v>269</v>
      </c>
      <c r="P179" s="21" t="s">
        <v>218</v>
      </c>
      <c r="Q179" s="18" t="s">
        <v>269</v>
      </c>
      <c r="R179" s="18" t="s">
        <v>269</v>
      </c>
      <c r="S179" s="18" t="s">
        <v>269</v>
      </c>
      <c r="T179" s="18" t="s">
        <v>269</v>
      </c>
      <c r="U179" s="24"/>
      <c r="V179" s="18" t="s">
        <v>269</v>
      </c>
      <c r="W179" s="38" t="str">
        <f>_xlfn.IFS(AND(COUNTIF(U179,"SCB*")=1, 'PCH176'!K60&gt;=2), "See the Notice *2", TRUE, "")</f>
        <v/>
      </c>
      <c r="X179" s="19"/>
      <c r="Y179" s="20" t="s">
        <v>268</v>
      </c>
      <c r="Z179" s="20" t="s">
        <v>257</v>
      </c>
      <c r="AA179" s="19"/>
      <c r="AB179" s="19"/>
    </row>
    <row r="180" spans="2:28" x14ac:dyDescent="0.2">
      <c r="B180" s="21" t="s">
        <v>248</v>
      </c>
      <c r="C180" s="22">
        <v>171</v>
      </c>
      <c r="D180" s="21" t="s">
        <v>248</v>
      </c>
      <c r="E180" s="21" t="s">
        <v>1081</v>
      </c>
      <c r="F180" s="21" t="s">
        <v>1078</v>
      </c>
      <c r="G180" s="21" t="s">
        <v>1083</v>
      </c>
      <c r="H180" s="21" t="s">
        <v>1080</v>
      </c>
      <c r="I180" s="18" t="s">
        <v>269</v>
      </c>
      <c r="J180" s="23" t="s">
        <v>766</v>
      </c>
      <c r="K180" s="18" t="s">
        <v>269</v>
      </c>
      <c r="L180" s="35" t="s">
        <v>767</v>
      </c>
      <c r="M180" s="18" t="s">
        <v>269</v>
      </c>
      <c r="N180" s="18" t="s">
        <v>269</v>
      </c>
      <c r="O180" s="21" t="s">
        <v>249</v>
      </c>
      <c r="P180" s="21" t="s">
        <v>220</v>
      </c>
      <c r="Q180" s="18" t="s">
        <v>269</v>
      </c>
      <c r="R180" s="18" t="s">
        <v>269</v>
      </c>
      <c r="S180" s="18" t="s">
        <v>269</v>
      </c>
      <c r="T180" s="18" t="s">
        <v>269</v>
      </c>
      <c r="U180" s="24"/>
      <c r="V180" s="18" t="s">
        <v>269</v>
      </c>
      <c r="W180" s="38" t="str">
        <f>_xlfn.IFS(AND(COUNTIF(U180,"SCB*")=1, 'PCH176'!K60&gt;=2), "See the Notice *2", TRUE, "")</f>
        <v/>
      </c>
      <c r="X180" s="19"/>
      <c r="Y180" s="20" t="s">
        <v>268</v>
      </c>
      <c r="Z180" s="20" t="s">
        <v>257</v>
      </c>
      <c r="AA180" s="19"/>
      <c r="AB180" s="19"/>
    </row>
    <row r="181" spans="2:28" x14ac:dyDescent="0.2">
      <c r="B181" s="21" t="s">
        <v>250</v>
      </c>
      <c r="C181" s="22">
        <v>172</v>
      </c>
      <c r="D181" s="21" t="s">
        <v>250</v>
      </c>
      <c r="E181" s="21" t="s">
        <v>981</v>
      </c>
      <c r="F181" s="21" t="s">
        <v>1086</v>
      </c>
      <c r="G181" s="21" t="s">
        <v>983</v>
      </c>
      <c r="H181" s="21" t="s">
        <v>1088</v>
      </c>
      <c r="I181" s="18" t="s">
        <v>269</v>
      </c>
      <c r="J181" s="18" t="s">
        <v>269</v>
      </c>
      <c r="K181" s="18" t="s">
        <v>269</v>
      </c>
      <c r="L181" s="23" t="s">
        <v>768</v>
      </c>
      <c r="M181" s="18" t="s">
        <v>269</v>
      </c>
      <c r="N181" s="18" t="s">
        <v>269</v>
      </c>
      <c r="O181" s="21" t="s">
        <v>251</v>
      </c>
      <c r="P181" s="21" t="s">
        <v>60</v>
      </c>
      <c r="Q181" s="18" t="s">
        <v>269</v>
      </c>
      <c r="R181" s="21" t="s">
        <v>339</v>
      </c>
      <c r="S181" s="18" t="s">
        <v>269</v>
      </c>
      <c r="T181" s="18" t="s">
        <v>269</v>
      </c>
      <c r="U181" s="24"/>
      <c r="V181" s="18" t="s">
        <v>269</v>
      </c>
      <c r="W181" s="38" t="str">
        <f>_xlfn.IFS(AND(COUNTIF(U181,"SCB*")=1, 'PCH176'!K60&gt;=2), "See the Notice *2", TRUE, "")</f>
        <v/>
      </c>
      <c r="X181" s="19"/>
      <c r="Y181" s="20" t="s">
        <v>268</v>
      </c>
      <c r="Z181" s="20" t="s">
        <v>257</v>
      </c>
      <c r="AA181" s="19"/>
      <c r="AB181" s="19"/>
    </row>
    <row r="182" spans="2:28" x14ac:dyDescent="0.2">
      <c r="B182" s="21" t="s">
        <v>252</v>
      </c>
      <c r="C182" s="22">
        <v>173</v>
      </c>
      <c r="D182" s="21" t="s">
        <v>252</v>
      </c>
      <c r="E182" s="21" t="s">
        <v>977</v>
      </c>
      <c r="F182" s="21" t="s">
        <v>986</v>
      </c>
      <c r="G182" s="21" t="s">
        <v>979</v>
      </c>
      <c r="H182" s="21" t="s">
        <v>988</v>
      </c>
      <c r="I182" s="18" t="s">
        <v>269</v>
      </c>
      <c r="J182" s="18" t="s">
        <v>269</v>
      </c>
      <c r="K182" s="18" t="s">
        <v>269</v>
      </c>
      <c r="L182" s="23" t="s">
        <v>769</v>
      </c>
      <c r="M182" s="18" t="s">
        <v>269</v>
      </c>
      <c r="N182" s="18" t="s">
        <v>269</v>
      </c>
      <c r="O182" s="18" t="s">
        <v>269</v>
      </c>
      <c r="P182" s="18" t="s">
        <v>269</v>
      </c>
      <c r="Q182" s="18" t="s">
        <v>269</v>
      </c>
      <c r="R182" s="21" t="s">
        <v>340</v>
      </c>
      <c r="S182" s="18" t="s">
        <v>269</v>
      </c>
      <c r="T182" s="18" t="s">
        <v>269</v>
      </c>
      <c r="U182" s="24"/>
      <c r="V182" s="18" t="s">
        <v>269</v>
      </c>
      <c r="W182" s="38" t="str">
        <f>_xlfn.IFS(AND(COUNTIF(U182,"SCB*")=1, 'PCH176'!K60&gt;=2), "See the Notice *2", TRUE, "")</f>
        <v/>
      </c>
      <c r="X182" s="19"/>
      <c r="Y182" s="20" t="s">
        <v>268</v>
      </c>
      <c r="Z182" s="20" t="s">
        <v>257</v>
      </c>
      <c r="AA182" s="19"/>
      <c r="AB182" s="19"/>
    </row>
    <row r="183" spans="2:28" x14ac:dyDescent="0.2">
      <c r="B183" s="21" t="s">
        <v>253</v>
      </c>
      <c r="C183" s="22">
        <v>174</v>
      </c>
      <c r="D183" s="21" t="s">
        <v>253</v>
      </c>
      <c r="E183" s="21" t="s">
        <v>975</v>
      </c>
      <c r="F183" s="21" t="s">
        <v>982</v>
      </c>
      <c r="G183" s="21" t="s">
        <v>976</v>
      </c>
      <c r="H183" s="21" t="s">
        <v>984</v>
      </c>
      <c r="I183" s="18" t="s">
        <v>269</v>
      </c>
      <c r="J183" s="18" t="s">
        <v>269</v>
      </c>
      <c r="K183" s="18" t="s">
        <v>269</v>
      </c>
      <c r="L183" s="18" t="s">
        <v>269</v>
      </c>
      <c r="M183" s="18" t="s">
        <v>269</v>
      </c>
      <c r="N183" s="18" t="s">
        <v>269</v>
      </c>
      <c r="O183" s="18" t="s">
        <v>269</v>
      </c>
      <c r="P183" s="18" t="s">
        <v>269</v>
      </c>
      <c r="Q183" s="18" t="s">
        <v>269</v>
      </c>
      <c r="R183" s="21" t="s">
        <v>341</v>
      </c>
      <c r="S183" s="18" t="s">
        <v>269</v>
      </c>
      <c r="T183" s="18" t="s">
        <v>269</v>
      </c>
      <c r="U183" s="24"/>
      <c r="V183" s="18" t="s">
        <v>269</v>
      </c>
      <c r="W183" s="38"/>
      <c r="X183" s="19"/>
      <c r="Y183" s="20" t="s">
        <v>268</v>
      </c>
      <c r="Z183" s="20" t="s">
        <v>257</v>
      </c>
      <c r="AA183" s="19"/>
      <c r="AB183" s="19"/>
    </row>
    <row r="184" spans="2:28" x14ac:dyDescent="0.2">
      <c r="B184" s="21" t="s">
        <v>254</v>
      </c>
      <c r="C184" s="22">
        <v>175</v>
      </c>
      <c r="D184" s="21" t="s">
        <v>254</v>
      </c>
      <c r="E184" s="21" t="s">
        <v>971</v>
      </c>
      <c r="F184" s="21" t="s">
        <v>978</v>
      </c>
      <c r="G184" s="21" t="s">
        <v>973</v>
      </c>
      <c r="H184" s="21" t="s">
        <v>980</v>
      </c>
      <c r="I184" s="18" t="s">
        <v>269</v>
      </c>
      <c r="J184" s="18" t="s">
        <v>269</v>
      </c>
      <c r="K184" s="18" t="s">
        <v>269</v>
      </c>
      <c r="L184" s="18" t="s">
        <v>269</v>
      </c>
      <c r="M184" s="18" t="s">
        <v>269</v>
      </c>
      <c r="N184" s="18" t="s">
        <v>269</v>
      </c>
      <c r="O184" s="21" t="s">
        <v>235</v>
      </c>
      <c r="P184" s="21" t="s">
        <v>102</v>
      </c>
      <c r="Q184" s="18" t="s">
        <v>269</v>
      </c>
      <c r="R184" s="21" t="s">
        <v>342</v>
      </c>
      <c r="S184" s="18" t="s">
        <v>269</v>
      </c>
      <c r="T184" s="21" t="s">
        <v>357</v>
      </c>
      <c r="U184" s="24"/>
      <c r="V184" s="18" t="s">
        <v>269</v>
      </c>
      <c r="W184" s="38"/>
      <c r="X184" s="19"/>
      <c r="Y184" s="20" t="s">
        <v>268</v>
      </c>
      <c r="Z184" s="20" t="s">
        <v>257</v>
      </c>
      <c r="AA184" s="19"/>
      <c r="AB184" s="19"/>
    </row>
    <row r="185" spans="2:28" x14ac:dyDescent="0.2">
      <c r="B185" s="28" t="s">
        <v>257</v>
      </c>
      <c r="C185" s="17">
        <v>176</v>
      </c>
      <c r="D185" s="18" t="s">
        <v>269</v>
      </c>
      <c r="E185" s="18" t="s">
        <v>269</v>
      </c>
      <c r="F185" s="18" t="s">
        <v>269</v>
      </c>
      <c r="G185" s="18" t="s">
        <v>269</v>
      </c>
      <c r="H185" s="18" t="s">
        <v>269</v>
      </c>
      <c r="I185" s="18" t="s">
        <v>269</v>
      </c>
      <c r="J185" s="18" t="s">
        <v>269</v>
      </c>
      <c r="K185" s="18" t="s">
        <v>269</v>
      </c>
      <c r="L185" s="18" t="s">
        <v>269</v>
      </c>
      <c r="M185" s="18" t="s">
        <v>269</v>
      </c>
      <c r="N185" s="18" t="s">
        <v>269</v>
      </c>
      <c r="O185" s="18" t="s">
        <v>269</v>
      </c>
      <c r="P185" s="18" t="s">
        <v>269</v>
      </c>
      <c r="Q185" s="18" t="s">
        <v>269</v>
      </c>
      <c r="R185" s="18" t="s">
        <v>269</v>
      </c>
      <c r="S185" s="18" t="s">
        <v>269</v>
      </c>
      <c r="T185" s="18" t="s">
        <v>269</v>
      </c>
      <c r="U185" s="28" t="s">
        <v>257</v>
      </c>
      <c r="V185" s="18" t="s">
        <v>269</v>
      </c>
      <c r="W185" s="38"/>
      <c r="X185" s="19" t="s">
        <v>544</v>
      </c>
      <c r="Y185" s="20" t="s">
        <v>558</v>
      </c>
      <c r="Z185" s="19" t="s">
        <v>558</v>
      </c>
      <c r="AA185" s="19"/>
      <c r="AB185" s="19"/>
    </row>
    <row r="188" spans="2:28" x14ac:dyDescent="0.55000000000000004">
      <c r="B188" s="10" t="s">
        <v>836</v>
      </c>
    </row>
    <row r="189" spans="2:28" x14ac:dyDescent="0.55000000000000004">
      <c r="B189" s="10" t="s">
        <v>573</v>
      </c>
    </row>
    <row r="190" spans="2:28" x14ac:dyDescent="0.55000000000000004">
      <c r="B190" s="10" t="s">
        <v>838</v>
      </c>
    </row>
    <row r="191" spans="2:28" x14ac:dyDescent="0.55000000000000004">
      <c r="B191" s="10" t="s">
        <v>835</v>
      </c>
    </row>
    <row r="192" spans="2:28" x14ac:dyDescent="0.55000000000000004">
      <c r="B192" s="10" t="s">
        <v>837</v>
      </c>
    </row>
    <row r="203" spans="4:17" ht="15" customHeight="1" x14ac:dyDescent="0.35">
      <c r="D203" s="117" t="s">
        <v>847</v>
      </c>
      <c r="E203" s="117"/>
      <c r="F203" s="117"/>
      <c r="G203" s="117"/>
      <c r="H203" s="117"/>
      <c r="I203" s="117"/>
      <c r="J203" s="117"/>
      <c r="K203" s="117"/>
      <c r="L203" s="117"/>
      <c r="M203" s="117"/>
      <c r="N203" s="117"/>
      <c r="O203" s="117"/>
      <c r="P203" s="117"/>
      <c r="Q203" s="117"/>
    </row>
    <row r="204" spans="4:17" ht="172" customHeight="1" x14ac:dyDescent="0.55000000000000004">
      <c r="D204" s="116" t="s">
        <v>848</v>
      </c>
      <c r="E204" s="116"/>
      <c r="F204" s="116"/>
      <c r="G204" s="116"/>
      <c r="H204" s="116"/>
      <c r="I204" s="116"/>
      <c r="J204" s="116"/>
      <c r="K204" s="116"/>
      <c r="L204" s="116"/>
      <c r="M204" s="116"/>
      <c r="N204" s="116"/>
      <c r="O204" s="116"/>
      <c r="P204" s="116"/>
      <c r="Q204" s="116"/>
    </row>
  </sheetData>
  <sheetProtection algorithmName="SHA-512" hashValue="hSCxJQ+r5qqkFg4LKU1HZRjXuOV0sKxnyCgH/dKV6b5sR1sX+vOnC9zzQ6dV/Ps7JHgrtfGLyYbSLfTnDcT1dg==" saltValue="zAdqKVVBg5nnC/Q6z33O8Q==" spinCount="100000" sheet="1" objects="1" formatCells="0" formatColumns="0" formatRows="0" insertColumns="0" insertRows="0" insertHyperlinks="0" deleteColumns="0" deleteRows="0" selectLockedCells="1" sort="0" autoFilter="0" pivotTables="0"/>
  <mergeCells count="19">
    <mergeCell ref="T7:T9"/>
    <mergeCell ref="D7:D9"/>
    <mergeCell ref="AA7:AB7"/>
    <mergeCell ref="AA8:AA9"/>
    <mergeCell ref="AB8:AB9"/>
    <mergeCell ref="U8:U9"/>
    <mergeCell ref="Z8:Z9"/>
    <mergeCell ref="W8:W9"/>
    <mergeCell ref="Y7:Z7"/>
    <mergeCell ref="Y8:Y9"/>
    <mergeCell ref="V8:V9"/>
    <mergeCell ref="X8:X9"/>
    <mergeCell ref="U7:X7"/>
    <mergeCell ref="D204:Q204"/>
    <mergeCell ref="D203:Q203"/>
    <mergeCell ref="B7:B9"/>
    <mergeCell ref="C7:C9"/>
    <mergeCell ref="I7:K7"/>
    <mergeCell ref="Q7:S7"/>
  </mergeCells>
  <phoneticPr fontId="3"/>
  <conditionalFormatting sqref="U11:U30 U33:U51 U57:U84 U121:U140 U143:U160 U166:U184 U89:V96 V125:V132 U99:V118">
    <cfRule type="notContainsBlanks" dxfId="21" priority="17">
      <formula>LEN(TRIM(U11))&gt;0</formula>
    </cfRule>
  </conditionalFormatting>
  <conditionalFormatting sqref="U185">
    <cfRule type="duplicateValues" dxfId="20" priority="8"/>
  </conditionalFormatting>
  <conditionalFormatting sqref="U11:U30 U33:U51 U57:U84 U89:U96 U99:U118 U121:U140 U143:U160 U166:U184">
    <cfRule type="duplicateValues" dxfId="19" priority="7"/>
  </conditionalFormatting>
  <dataValidations count="188">
    <dataValidation type="list" allowBlank="1" showInputMessage="1" showErrorMessage="1" sqref="U95" xr:uid="{C2DB58D7-6934-4D79-B9B4-29B06760D0A9}">
      <formula1>$D$95:$T$95</formula1>
    </dataValidation>
    <dataValidation type="list" allowBlank="1" showInputMessage="1" showErrorMessage="1" sqref="U94" xr:uid="{A92A29D8-3881-4B0C-9E9D-F69DB691A1A2}">
      <formula1>$D$94:$T$94</formula1>
    </dataValidation>
    <dataValidation type="list" allowBlank="1" showInputMessage="1" showErrorMessage="1" sqref="U93" xr:uid="{4E282990-EC27-4146-84DB-CDCD38BC8585}">
      <formula1>$D$93:$T$93</formula1>
    </dataValidation>
    <dataValidation type="list" allowBlank="1" showInputMessage="1" showErrorMessage="1" sqref="U92" xr:uid="{FB56F0F7-CD6E-4575-9D95-A391E933C8EF}">
      <formula1>$D$92:$T$92</formula1>
    </dataValidation>
    <dataValidation type="list" allowBlank="1" showInputMessage="1" showErrorMessage="1" sqref="U91" xr:uid="{2CC45F18-B913-49F6-8AAB-3A0B4869291E}">
      <formula1>$D$91:$T$91</formula1>
    </dataValidation>
    <dataValidation type="list" allowBlank="1" showInputMessage="1" showErrorMessage="1" sqref="U90" xr:uid="{6F52014F-D8CA-4A77-95BF-E3590BBE7298}">
      <formula1>$D$90:$T$90</formula1>
    </dataValidation>
    <dataValidation type="list" allowBlank="1" showInputMessage="1" showErrorMessage="1" sqref="U89" xr:uid="{5C3CBF6F-5466-4D4C-AA77-733830803039}">
      <formula1>$D$89:$T$89</formula1>
    </dataValidation>
    <dataValidation type="list" allowBlank="1" showInputMessage="1" showErrorMessage="1" sqref="U84" xr:uid="{0E3869D0-7FB8-4516-AD14-90F0CC404288}">
      <formula1>$D$84:$T$84</formula1>
    </dataValidation>
    <dataValidation type="list" allowBlank="1" showInputMessage="1" showErrorMessage="1" sqref="U83" xr:uid="{27EEB419-4795-4649-87A9-A64A41E0983F}">
      <formula1>$D$83:$T$83</formula1>
    </dataValidation>
    <dataValidation type="list" allowBlank="1" showInputMessage="1" showErrorMessage="1" sqref="U82" xr:uid="{2FA02A64-853F-459F-9BEE-5905BCA75E4F}">
      <formula1>$D$82:$T$82</formula1>
    </dataValidation>
    <dataValidation type="list" allowBlank="1" showInputMessage="1" showErrorMessage="1" sqref="U81" xr:uid="{2CFB7C57-6A2E-4C9A-9A54-334E92E1C399}">
      <formula1>$D$81:$T$81</formula1>
    </dataValidation>
    <dataValidation type="list" allowBlank="1" showInputMessage="1" showErrorMessage="1" sqref="U80" xr:uid="{4FD767CD-C9BB-42DA-915A-58D42F710422}">
      <formula1>$D$80:$T$80</formula1>
    </dataValidation>
    <dataValidation type="list" allowBlank="1" showInputMessage="1" showErrorMessage="1" sqref="U79" xr:uid="{5FE07663-92F9-4995-9F7F-1E88C97FA858}">
      <formula1>$D$79:$T$79</formula1>
    </dataValidation>
    <dataValidation type="list" allowBlank="1" showInputMessage="1" showErrorMessage="1" sqref="U78" xr:uid="{F9E7FF83-1DD7-40EF-B072-E663EBC35D76}">
      <formula1>$D$78:$T$78</formula1>
    </dataValidation>
    <dataValidation type="list" allowBlank="1" showInputMessage="1" showErrorMessage="1" sqref="U77" xr:uid="{D1114570-601B-4C01-9339-744F499EB14C}">
      <formula1>$D$77:$T$77</formula1>
    </dataValidation>
    <dataValidation type="list" allowBlank="1" showInputMessage="1" showErrorMessage="1" sqref="U76" xr:uid="{B95D86D6-9234-4D3C-9DE3-79BAE187AAC9}">
      <formula1>$D$76:$T$76</formula1>
    </dataValidation>
    <dataValidation type="list" allowBlank="1" showInputMessage="1" showErrorMessage="1" sqref="U75" xr:uid="{3B9A1FB8-66DE-4D4A-8F4F-759E395F110C}">
      <formula1>$D$75:$T$75</formula1>
    </dataValidation>
    <dataValidation type="list" allowBlank="1" showInputMessage="1" showErrorMessage="1" sqref="U74" xr:uid="{1F838B52-6BBF-4089-B742-CBD4DDDD4EB8}">
      <formula1>$D$74:$T$74</formula1>
    </dataValidation>
    <dataValidation type="list" allowBlank="1" showInputMessage="1" showErrorMessage="1" sqref="U73" xr:uid="{5671CF11-8383-4E33-8B96-ADB447C2E20F}">
      <formula1>$D$73:$T$73</formula1>
    </dataValidation>
    <dataValidation type="list" allowBlank="1" showInputMessage="1" showErrorMessage="1" sqref="U72" xr:uid="{E46AA8B7-97FA-4F12-85D3-A7BF4349D5B5}">
      <formula1>$D$72:$T$72</formula1>
    </dataValidation>
    <dataValidation type="list" allowBlank="1" showInputMessage="1" showErrorMessage="1" sqref="U71" xr:uid="{094E7B3D-D4A1-44CC-BBC9-999BB398A778}">
      <formula1>$D$71:$T$71</formula1>
    </dataValidation>
    <dataValidation type="list" allowBlank="1" showInputMessage="1" showErrorMessage="1" sqref="U70" xr:uid="{1A73CA79-FA5C-4EB3-91F2-FC4B486044CD}">
      <formula1>$D$70:$T$70</formula1>
    </dataValidation>
    <dataValidation type="list" allowBlank="1" showInputMessage="1" showErrorMessage="1" sqref="U69" xr:uid="{8AC951A7-E1DA-45DB-9894-1AB229FB9D6D}">
      <formula1>$D$69:$T$69</formula1>
    </dataValidation>
    <dataValidation type="list" allowBlank="1" showInputMessage="1" showErrorMessage="1" sqref="U107" xr:uid="{CBB6894F-F7FB-4BB2-A5A0-12B63890F6CD}">
      <formula1>$D$107:$T$107</formula1>
    </dataValidation>
    <dataValidation type="list" allowBlank="1" showInputMessage="1" showErrorMessage="1" sqref="U106" xr:uid="{7BB4AF79-CC60-4D7C-9FAF-1EF371148DE5}">
      <formula1>$D$106:$T$106</formula1>
    </dataValidation>
    <dataValidation type="list" allowBlank="1" showInputMessage="1" showErrorMessage="1" sqref="U105" xr:uid="{B434EC15-2F8B-4E92-9E88-8C1B556A95F8}">
      <formula1>$D$105:$T$105</formula1>
    </dataValidation>
    <dataValidation type="list" allowBlank="1" showInputMessage="1" showErrorMessage="1" sqref="U104" xr:uid="{E330E160-A5DB-4911-A540-20CE6988E2D7}">
      <formula1>$D$104:$T$104</formula1>
    </dataValidation>
    <dataValidation type="list" allowBlank="1" showInputMessage="1" showErrorMessage="1" sqref="U103" xr:uid="{9EF5D0DE-A520-4242-8A45-F4370DB709A3}">
      <formula1>$D$103:$T$103</formula1>
    </dataValidation>
    <dataValidation type="list" allowBlank="1" showInputMessage="1" showErrorMessage="1" sqref="U49" xr:uid="{28D1546E-DE5A-4EDF-A2D4-7DEFDFC02145}">
      <formula1>$D$49:$T$49</formula1>
    </dataValidation>
    <dataValidation type="list" allowBlank="1" showInputMessage="1" showErrorMessage="1" sqref="U48" xr:uid="{D4DF196B-A421-4FE0-B2EB-280404B8987A}">
      <formula1>$D$48:$T$48</formula1>
    </dataValidation>
    <dataValidation type="list" allowBlank="1" showInputMessage="1" showErrorMessage="1" sqref="U47" xr:uid="{1FE13B33-51DA-4613-B5FB-9265231F15B5}">
      <formula1>$D$47:$T$47</formula1>
    </dataValidation>
    <dataValidation type="list" allowBlank="1" showInputMessage="1" showErrorMessage="1" sqref="U46" xr:uid="{47CBF4E8-7A2A-4B54-BAAD-C325EC667A2C}">
      <formula1>$D$46:$T$46</formula1>
    </dataValidation>
    <dataValidation type="list" allowBlank="1" showInputMessage="1" showErrorMessage="1" sqref="U45" xr:uid="{708FFDA5-708D-4EDE-A86A-CAA415131E97}">
      <formula1>$D$45:$T$45</formula1>
    </dataValidation>
    <dataValidation type="list" allowBlank="1" showInputMessage="1" showErrorMessage="1" sqref="U44" xr:uid="{FD24D8FD-BE95-460D-90B5-8094036F3E89}">
      <formula1>$D$44:$T$44</formula1>
    </dataValidation>
    <dataValidation type="list" allowBlank="1" showInputMessage="1" showErrorMessage="1" sqref="U43" xr:uid="{A0FFD1EB-A451-4C03-B491-1CDDBDDFBC71}">
      <formula1>$D$43:$T$43</formula1>
    </dataValidation>
    <dataValidation type="list" allowBlank="1" showInputMessage="1" showErrorMessage="1" sqref="U42" xr:uid="{614E2E0F-7FD3-4700-9E0F-FC48EDE5A92F}">
      <formula1>$D$42:$T$42</formula1>
    </dataValidation>
    <dataValidation type="list" allowBlank="1" showInputMessage="1" showErrorMessage="1" sqref="U41" xr:uid="{EF660D6A-04E7-4EB2-9C42-1FA8BF10A69A}">
      <formula1>$D$41:$T$41</formula1>
    </dataValidation>
    <dataValidation type="list" allowBlank="1" showInputMessage="1" showErrorMessage="1" sqref="U102" xr:uid="{6CDB3E13-4C6C-46F9-B66E-14E08719B10F}">
      <formula1>$D$102:$T$102</formula1>
    </dataValidation>
    <dataValidation type="list" allowBlank="1" showInputMessage="1" showErrorMessage="1" sqref="U101" xr:uid="{B63321C6-CBA7-4AE6-BDC9-C39AC99F3EC1}">
      <formula1>$D$101:$T$101</formula1>
    </dataValidation>
    <dataValidation type="list" allowBlank="1" showInputMessage="1" showErrorMessage="1" sqref="U100" xr:uid="{5D00B6C9-A89B-4C85-816F-E2E41E737658}">
      <formula1>$D$100:$T$100</formula1>
    </dataValidation>
    <dataValidation type="list" allowBlank="1" showInputMessage="1" showErrorMessage="1" sqref="U124" xr:uid="{95AFCFF3-6E7D-4F66-807E-F80867DFA01A}">
      <formula1>$D$124:$T$124</formula1>
    </dataValidation>
    <dataValidation type="list" allowBlank="1" showInputMessage="1" showErrorMessage="1" sqref="U123" xr:uid="{419C719A-7659-4B74-B7D4-FD0236250275}">
      <formula1>$D$123:$T$123</formula1>
    </dataValidation>
    <dataValidation type="list" allowBlank="1" showInputMessage="1" showErrorMessage="1" sqref="U122" xr:uid="{42C5EEDE-5FF4-42DF-BBDD-4E91CBD1C674}">
      <formula1>$D$122:$T$122</formula1>
    </dataValidation>
    <dataValidation type="list" allowBlank="1" showInputMessage="1" showErrorMessage="1" sqref="U121" xr:uid="{7A10D26D-C482-4B28-A5CC-482255EF4EF1}">
      <formula1>$D$121:$T$121</formula1>
    </dataValidation>
    <dataValidation type="list" allowBlank="1" showInputMessage="1" showErrorMessage="1" sqref="U118" xr:uid="{7BE3B586-39DF-43EC-AC12-03CBB49DF740}">
      <formula1>$D$118:$T$118</formula1>
    </dataValidation>
    <dataValidation type="list" allowBlank="1" showInputMessage="1" showErrorMessage="1" sqref="U117" xr:uid="{6259F6E0-6502-4A8C-A60D-3DF55862ABBD}">
      <formula1>$D$117:$T$117</formula1>
    </dataValidation>
    <dataValidation type="list" allowBlank="1" showInputMessage="1" showErrorMessage="1" sqref="U116" xr:uid="{BA286F38-25AA-4D6C-A493-BE5B78D605DF}">
      <formula1>$D$116:$T$116</formula1>
    </dataValidation>
    <dataValidation type="list" allowBlank="1" showInputMessage="1" showErrorMessage="1" sqref="U115" xr:uid="{DABCAC7C-6243-4266-ACB1-883B41B5E687}">
      <formula1>$D$115:$T$115</formula1>
    </dataValidation>
    <dataValidation type="list" allowBlank="1" showInputMessage="1" showErrorMessage="1" sqref="U114" xr:uid="{4F182E00-485A-4A73-9CED-EA376E801421}">
      <formula1>$D$114:$T$114</formula1>
    </dataValidation>
    <dataValidation type="list" allowBlank="1" showInputMessage="1" showErrorMessage="1" sqref="U113" xr:uid="{EFCB1CCF-F9E3-4E69-BF4E-2B1CAFB60544}">
      <formula1>$D$113:$T$113</formula1>
    </dataValidation>
    <dataValidation type="list" allowBlank="1" showInputMessage="1" showErrorMessage="1" sqref="U57" xr:uid="{D15D4185-9D6E-4CAE-AD00-D57C28BEA934}">
      <formula1>$D$57:$T$57</formula1>
    </dataValidation>
    <dataValidation type="list" allowBlank="1" showInputMessage="1" showErrorMessage="1" sqref="U51" xr:uid="{FA292E32-4D3A-4DDB-8752-7AF8AE769B40}">
      <formula1>$D$51:$T$51</formula1>
    </dataValidation>
    <dataValidation type="list" allowBlank="1" showInputMessage="1" showErrorMessage="1" sqref="U50" xr:uid="{ECFE4412-77E8-41C1-A859-03E3DC9D0742}">
      <formula1>$D$50:$T$50</formula1>
    </dataValidation>
    <dataValidation type="list" allowBlank="1" showInputMessage="1" showErrorMessage="1" sqref="U66" xr:uid="{B01DA1E3-58F3-43C9-A1CC-4E861FD17E6A}">
      <formula1>$D$66:$T$66</formula1>
    </dataValidation>
    <dataValidation type="list" allowBlank="1" showInputMessage="1" showErrorMessage="1" sqref="U65" xr:uid="{B94AA75B-C32C-4167-95E6-C51D70B8E24C}">
      <formula1>$D$65:$T$65</formula1>
    </dataValidation>
    <dataValidation type="list" allowBlank="1" showInputMessage="1" showErrorMessage="1" sqref="U64" xr:uid="{53DD3A4E-D7DD-4835-8499-2FA4E2946CBE}">
      <formula1>$D$64:$T$64</formula1>
    </dataValidation>
    <dataValidation type="list" allowBlank="1" showInputMessage="1" showErrorMessage="1" sqref="U63" xr:uid="{8ABEBCF8-AC64-49DA-9AC9-02CD9F74B1F9}">
      <formula1>$D$63:$T$63</formula1>
    </dataValidation>
    <dataValidation type="list" allowBlank="1" showInputMessage="1" showErrorMessage="1" sqref="U62" xr:uid="{E45E3001-E838-41F1-AAD9-FCBBA5338EA4}">
      <formula1>$D$62:$T$62</formula1>
    </dataValidation>
    <dataValidation type="list" allowBlank="1" showInputMessage="1" showErrorMessage="1" sqref="U35" xr:uid="{6522E033-49FE-4BF8-9900-347CDB9ADC5B}">
      <formula1>$D$35:$T$35</formula1>
    </dataValidation>
    <dataValidation type="list" allowBlank="1" showInputMessage="1" showErrorMessage="1" sqref="U34" xr:uid="{8AC704F7-7890-4E2F-888F-8BEC12A95CFE}">
      <formula1>$D$34:$T$34</formula1>
    </dataValidation>
    <dataValidation type="list" allowBlank="1" showInputMessage="1" showErrorMessage="1" sqref="U33" xr:uid="{41A394F7-7FA3-409A-85B1-EB07EDDDEEFE}">
      <formula1>$D$33:$T$33</formula1>
    </dataValidation>
    <dataValidation type="list" allowBlank="1" showInputMessage="1" showErrorMessage="1" sqref="U30" xr:uid="{F2343BA2-669E-4669-8208-7CDD212685D8}">
      <formula1>$D$30:$T$30</formula1>
    </dataValidation>
    <dataValidation type="list" allowBlank="1" showInputMessage="1" showErrorMessage="1" sqref="U29" xr:uid="{8185B37B-1394-4648-A4EB-2B63ABB10BAB}">
      <formula1>$D$29:$T$29</formula1>
    </dataValidation>
    <dataValidation type="list" allowBlank="1" showInputMessage="1" showErrorMessage="1" sqref="U28" xr:uid="{1EF35452-20FA-45E1-A570-546A45C03CC5}">
      <formula1>$D$28:$T$28</formula1>
    </dataValidation>
    <dataValidation type="list" allowBlank="1" showInputMessage="1" showErrorMessage="1" sqref="U27" xr:uid="{7A871C24-1FE8-4A46-A8F8-BA211604A5D7}">
      <formula1>$D$27:$T$27</formula1>
    </dataValidation>
    <dataValidation type="list" allowBlank="1" showInputMessage="1" showErrorMessage="1" sqref="U26" xr:uid="{BB612E44-95C2-4EE1-9A25-369980923BAD}">
      <formula1>$D$26:$T$26</formula1>
    </dataValidation>
    <dataValidation type="list" allowBlank="1" showInputMessage="1" showErrorMessage="1" sqref="U25" xr:uid="{0FBF9D80-2916-40D8-8CB7-5E5C7025A3AA}">
      <formula1>$D$25:$T$25</formula1>
    </dataValidation>
    <dataValidation type="list" allowBlank="1" showInputMessage="1" showErrorMessage="1" sqref="U24" xr:uid="{41247591-7443-4A5C-9C1C-65F9D21672D5}">
      <formula1>$D$24:$T$24</formula1>
    </dataValidation>
    <dataValidation type="list" allowBlank="1" showInputMessage="1" showErrorMessage="1" sqref="U21" xr:uid="{078BD31E-4EBF-4073-8FCE-4E360D099ECC}">
      <formula1>$D$21:$T$21</formula1>
    </dataValidation>
    <dataValidation type="list" allowBlank="1" showInputMessage="1" showErrorMessage="1" sqref="U20" xr:uid="{1B2F399B-9CC3-4A39-BCC2-17E0C8E56853}">
      <formula1>$D$20:$T$20</formula1>
    </dataValidation>
    <dataValidation type="list" allowBlank="1" showInputMessage="1" showErrorMessage="1" sqref="U19" xr:uid="{33CE9F92-D0E3-4E0A-BBB8-F2B6C1ABA74B}">
      <formula1>$D$19:$T$19</formula1>
    </dataValidation>
    <dataValidation type="list" allowBlank="1" showInputMessage="1" showErrorMessage="1" sqref="U18" xr:uid="{D7573333-C0D4-4B34-BF53-BB65C9F6C982}">
      <formula1>$D$18:$T$18</formula1>
    </dataValidation>
    <dataValidation type="list" allowBlank="1" showInputMessage="1" showErrorMessage="1" sqref="U17" xr:uid="{BC5BA553-3DED-4E93-9620-1BF160C577C8}">
      <formula1>$D$17:$T$17</formula1>
    </dataValidation>
    <dataValidation type="list" allowBlank="1" showInputMessage="1" showErrorMessage="1" sqref="U16" xr:uid="{0E6D5142-3CCA-4C93-8AF2-7BC5881A2570}">
      <formula1>$D$16:$T$16</formula1>
    </dataValidation>
    <dataValidation type="list" allowBlank="1" showInputMessage="1" showErrorMessage="1" sqref="U15" xr:uid="{C9685365-C9D4-46DF-A841-2D47B335DD39}">
      <formula1>$D$15:$T$15</formula1>
    </dataValidation>
    <dataValidation type="list" allowBlank="1" showInputMessage="1" showErrorMessage="1" sqref="U14" xr:uid="{A6345641-2C44-4B02-B97E-7D9D66B6F0FD}">
      <formula1>$D$14:$T$14</formula1>
    </dataValidation>
    <dataValidation type="list" allowBlank="1" showInputMessage="1" showErrorMessage="1" sqref="U13" xr:uid="{F79C462E-94AC-4664-9FEB-CC58D63FD344}">
      <formula1>$D$13:$T$13</formula1>
    </dataValidation>
    <dataValidation type="list" allowBlank="1" showInputMessage="1" showErrorMessage="1" sqref="U12" xr:uid="{5C9666E0-B256-4EF7-91AE-17F684D14733}">
      <formula1>$D$12:$T$12</formula1>
    </dataValidation>
    <dataValidation type="list" allowBlank="1" showInputMessage="1" showErrorMessage="1" sqref="U11" xr:uid="{078A5974-1C5B-467E-BC6F-646B0226DEFD}">
      <formula1>$D$11:$T$11</formula1>
    </dataValidation>
    <dataValidation type="list" allowBlank="1" showInputMessage="1" showErrorMessage="1" sqref="U22" xr:uid="{C194949B-A0B3-4972-852F-E470FB802056}">
      <formula1>$D$22:$T$22</formula1>
    </dataValidation>
    <dataValidation type="list" allowBlank="1" showInputMessage="1" showErrorMessage="1" sqref="U23" xr:uid="{43FD3D7A-DEBB-43C1-BC35-D84154878364}">
      <formula1>$D$23:$T$23</formula1>
    </dataValidation>
    <dataValidation type="list" allowBlank="1" showInputMessage="1" showErrorMessage="1" sqref="U36" xr:uid="{36410755-3A24-42EE-8C80-2CC86DC10531}">
      <formula1>$D$36:$T$36</formula1>
    </dataValidation>
    <dataValidation type="list" allowBlank="1" showInputMessage="1" showErrorMessage="1" sqref="U37" xr:uid="{C20B461E-B10D-43E5-A93F-95BF4C3236C7}">
      <formula1>$D$37:$T$37</formula1>
    </dataValidation>
    <dataValidation type="list" allowBlank="1" showInputMessage="1" showErrorMessage="1" sqref="U38" xr:uid="{4764010D-A4C9-4A0C-AEF1-488F6B9FF656}">
      <formula1>$D$38:$T$38</formula1>
    </dataValidation>
    <dataValidation type="list" allowBlank="1" showInputMessage="1" showErrorMessage="1" sqref="U39" xr:uid="{8387DE92-7DFD-4581-A6C6-692E32F63A5D}">
      <formula1>$D$39:$T$39</formula1>
    </dataValidation>
    <dataValidation type="list" allowBlank="1" showInputMessage="1" showErrorMessage="1" sqref="U40" xr:uid="{D7AEEA18-197B-4B4C-B152-5D452B8292B8}">
      <formula1>$D$40:$T$40</formula1>
    </dataValidation>
    <dataValidation type="list" allowBlank="1" showInputMessage="1" showErrorMessage="1" sqref="U58" xr:uid="{37CF70CC-4ED7-4FAF-9C98-20D78D2EF69B}">
      <formula1>$D$58:$T$58</formula1>
    </dataValidation>
    <dataValidation type="list" allowBlank="1" showInputMessage="1" showErrorMessage="1" sqref="U59" xr:uid="{301B97A5-8660-43DD-8A95-184354DE9EB5}">
      <formula1>$D$59:$T$59</formula1>
    </dataValidation>
    <dataValidation type="list" allowBlank="1" showInputMessage="1" showErrorMessage="1" sqref="U60" xr:uid="{D79619C0-2DDA-44B7-920F-51CEA252D30F}">
      <formula1>$D$60:$T$60</formula1>
    </dataValidation>
    <dataValidation type="list" allowBlank="1" showInputMessage="1" showErrorMessage="1" sqref="U61" xr:uid="{5036DD31-DDA4-4B7D-9652-C77FEBC5C275}">
      <formula1>$D$61:$T$61</formula1>
    </dataValidation>
    <dataValidation type="list" allowBlank="1" showInputMessage="1" showErrorMessage="1" sqref="U67" xr:uid="{5CAFD1F0-6543-441B-881A-9A45A3143793}">
      <formula1>$D$67:$T$67</formula1>
    </dataValidation>
    <dataValidation type="list" allowBlank="1" showInputMessage="1" showErrorMessage="1" sqref="U68" xr:uid="{52F6F2C3-9E1D-45E9-9341-D36F8E46B5FE}">
      <formula1>$D$68:$T$68</formula1>
    </dataValidation>
    <dataValidation type="list" allowBlank="1" showInputMessage="1" showErrorMessage="1" sqref="U96" xr:uid="{91438619-0B19-4F9D-A716-17C8B990FCC7}">
      <formula1>$D$96:$T$96</formula1>
    </dataValidation>
    <dataValidation type="list" allowBlank="1" showInputMessage="1" showErrorMessage="1" sqref="U166" xr:uid="{D845206A-1354-4C01-A47A-166870CE1888}">
      <formula1>$D$166:$T$166</formula1>
    </dataValidation>
    <dataValidation type="list" allowBlank="1" showInputMessage="1" showErrorMessage="1" sqref="U167" xr:uid="{219A21B7-585C-4D60-8277-98253C21E9E5}">
      <formula1>$D$167:$T$167</formula1>
    </dataValidation>
    <dataValidation type="list" allowBlank="1" showInputMessage="1" showErrorMessage="1" sqref="U168" xr:uid="{13406611-BC37-4A73-A480-5BDD17C7D13E}">
      <formula1>$D$168:$T$168</formula1>
    </dataValidation>
    <dataValidation type="list" allowBlank="1" showInputMessage="1" showErrorMessage="1" sqref="U169" xr:uid="{BA428690-C77E-4BB4-8BE7-B1DCAF516F11}">
      <formula1>$D$169:$T$169</formula1>
    </dataValidation>
    <dataValidation type="list" allowBlank="1" showInputMessage="1" showErrorMessage="1" sqref="U170" xr:uid="{457D25AE-62AD-4EBC-8D77-E5EA97EA5530}">
      <formula1>$D$170:$T$170</formula1>
    </dataValidation>
    <dataValidation type="list" allowBlank="1" showInputMessage="1" showErrorMessage="1" sqref="U171" xr:uid="{6D874750-4381-4B8D-B48C-F8DAE86B97BF}">
      <formula1>$D$171:$T$171</formula1>
    </dataValidation>
    <dataValidation type="list" allowBlank="1" showInputMessage="1" showErrorMessage="1" sqref="U172" xr:uid="{108F9833-6BFA-4942-9A82-A83548D71030}">
      <formula1>$D$172:$T$172</formula1>
    </dataValidation>
    <dataValidation type="list" allowBlank="1" showInputMessage="1" showErrorMessage="1" sqref="U173" xr:uid="{DE43AB53-16AB-4209-B925-8797D37D14C7}">
      <formula1>$D$173:$T$173</formula1>
    </dataValidation>
    <dataValidation type="list" allowBlank="1" showInputMessage="1" showErrorMessage="1" sqref="U174" xr:uid="{02861D53-4CF8-450B-A656-6FC931E17490}">
      <formula1>$D$174:$T$174</formula1>
    </dataValidation>
    <dataValidation type="list" allowBlank="1" showInputMessage="1" showErrorMessage="1" sqref="U175" xr:uid="{CC77182E-9B01-4BAF-8244-AD04CD684FEF}">
      <formula1>$D$175:$T$175</formula1>
    </dataValidation>
    <dataValidation type="list" allowBlank="1" showInputMessage="1" showErrorMessage="1" sqref="U176" xr:uid="{CA6661ED-2894-474F-B6E8-9C3AD5A999B3}">
      <formula1>$D$176:$T$176</formula1>
    </dataValidation>
    <dataValidation type="list" allowBlank="1" showInputMessage="1" showErrorMessage="1" sqref="U177" xr:uid="{3B5F70E4-E285-4AB6-8635-256EAD51267E}">
      <formula1>$D$177:$T$177</formula1>
    </dataValidation>
    <dataValidation type="list" allowBlank="1" showInputMessage="1" showErrorMessage="1" sqref="U178" xr:uid="{2AC8A170-D546-491B-B1D3-45ED91000FB7}">
      <formula1>$D$178:$T$178</formula1>
    </dataValidation>
    <dataValidation type="list" allowBlank="1" showInputMessage="1" showErrorMessage="1" sqref="U179" xr:uid="{E29B068E-4DBC-40CF-8B2E-9DC2A453D21C}">
      <formula1>$D$179:$T$179</formula1>
    </dataValidation>
    <dataValidation type="list" allowBlank="1" showInputMessage="1" showErrorMessage="1" sqref="U180" xr:uid="{0354DD4C-E0E9-4D55-85AA-CF4EAC497DFD}">
      <formula1>$D$180:$T$180</formula1>
    </dataValidation>
    <dataValidation type="list" allowBlank="1" showInputMessage="1" showErrorMessage="1" sqref="U181" xr:uid="{6EA4B743-3780-485B-B9B3-E8DCF86AA3D7}">
      <formula1>$D$181:$T$181</formula1>
    </dataValidation>
    <dataValidation type="list" allowBlank="1" showInputMessage="1" showErrorMessage="1" sqref="U182" xr:uid="{219E85D9-FCA7-484F-A53A-293CB0DD8A2F}">
      <formula1>$D$182:$T$182</formula1>
    </dataValidation>
    <dataValidation type="list" allowBlank="1" showInputMessage="1" showErrorMessage="1" sqref="U183" xr:uid="{92A07106-AB66-4642-A17E-FFA5D2172504}">
      <formula1>$D$183:$T$183</formula1>
    </dataValidation>
    <dataValidation type="list" allowBlank="1" showInputMessage="1" showErrorMessage="1" sqref="U184" xr:uid="{1B5887ED-891C-472A-99AA-192FC651A886}">
      <formula1>$D$184:$T$184</formula1>
    </dataValidation>
    <dataValidation type="list" allowBlank="1" showInputMessage="1" showErrorMessage="1" sqref="U99" xr:uid="{388141CF-E328-4E80-972D-F230929BE886}">
      <formula1>$D$99:$T$99</formula1>
    </dataValidation>
    <dataValidation type="list" allowBlank="1" showInputMessage="1" showErrorMessage="1" sqref="U108" xr:uid="{C9878397-BDBF-419E-A042-E61CC0405DD5}">
      <formula1>$D$108:$T$108</formula1>
    </dataValidation>
    <dataValidation type="list" allowBlank="1" showInputMessage="1" showErrorMessage="1" sqref="U109" xr:uid="{DF9808AD-133D-43F6-B992-848069A17E8A}">
      <formula1>$D$109:$T$109</formula1>
    </dataValidation>
    <dataValidation type="list" allowBlank="1" showInputMessage="1" showErrorMessage="1" sqref="U110" xr:uid="{AB57563C-CC9C-46FE-9CCA-BCB467A0A700}">
      <formula1>$D$110:$T$110</formula1>
    </dataValidation>
    <dataValidation type="list" allowBlank="1" showInputMessage="1" showErrorMessage="1" sqref="U111" xr:uid="{02F791E9-8D4A-40D1-8896-AC30BC6C678B}">
      <formula1>$D$111:$T$111</formula1>
    </dataValidation>
    <dataValidation type="list" allowBlank="1" showInputMessage="1" showErrorMessage="1" sqref="U112" xr:uid="{8B1311FB-D680-4944-8570-CBF866E0D73D}">
      <formula1>$D$112:$T$112</formula1>
    </dataValidation>
    <dataValidation type="list" allowBlank="1" showInputMessage="1" showErrorMessage="1" sqref="U156" xr:uid="{34414CD3-91FE-4969-A122-AA5AFA3811E5}">
      <formula1>$D$156:$T$156</formula1>
    </dataValidation>
    <dataValidation type="list" allowBlank="1" showInputMessage="1" showErrorMessage="1" sqref="U157" xr:uid="{4357FC18-C083-426D-AB33-3148C811E474}">
      <formula1>$D$157:$T$157</formula1>
    </dataValidation>
    <dataValidation type="list" allowBlank="1" showInputMessage="1" showErrorMessage="1" sqref="U158" xr:uid="{26D43EA6-6123-40E4-AE73-4CB592E0DDC4}">
      <formula1>$D$158:$T$158</formula1>
    </dataValidation>
    <dataValidation type="list" allowBlank="1" showInputMessage="1" showErrorMessage="1" sqref="U159" xr:uid="{7E79624D-0182-4D00-AFC3-50CCA5119DDF}">
      <formula1>$D$159:$T$159</formula1>
    </dataValidation>
    <dataValidation type="list" allowBlank="1" showInputMessage="1" showErrorMessage="1" sqref="U160" xr:uid="{368BBF1C-6FE2-4529-83A5-2F1F5A13B235}">
      <formula1>$D$160:$T$160</formula1>
    </dataValidation>
    <dataValidation type="list" allowBlank="1" showInputMessage="1" showErrorMessage="1" sqref="U143" xr:uid="{A18E504F-E564-49A8-8E0F-A7587C152F36}">
      <formula1>$D$143:$T$143</formula1>
    </dataValidation>
    <dataValidation type="list" allowBlank="1" showInputMessage="1" showErrorMessage="1" sqref="U144" xr:uid="{514FCEB2-288D-4EE0-815F-AB85BA11E186}">
      <formula1>$D$144:$T$144</formula1>
    </dataValidation>
    <dataValidation type="list" allowBlank="1" showInputMessage="1" showErrorMessage="1" sqref="U145" xr:uid="{949DD8A1-CECC-46A5-AF83-BED24A28DD0A}">
      <formula1>$D$145:$T$145</formula1>
    </dataValidation>
    <dataValidation type="list" allowBlank="1" showInputMessage="1" showErrorMessage="1" sqref="U146" xr:uid="{48A3F11D-442D-4854-84AE-D1B098E4CC54}">
      <formula1>$D$146:$T$146</formula1>
    </dataValidation>
    <dataValidation type="list" allowBlank="1" showInputMessage="1" showErrorMessage="1" sqref="U147" xr:uid="{A283048C-D28C-4047-80CD-DEBB7F2C1022}">
      <formula1>$D$147:$T$147</formula1>
    </dataValidation>
    <dataValidation type="list" allowBlank="1" showInputMessage="1" showErrorMessage="1" sqref="U148" xr:uid="{B2B5CAF5-0448-419F-BCD8-6AE563FEA394}">
      <formula1>$D$148:$T$148</formula1>
    </dataValidation>
    <dataValidation type="list" allowBlank="1" showInputMessage="1" showErrorMessage="1" sqref="U149" xr:uid="{399D9041-65EA-4255-84E0-A85A07222FA6}">
      <formula1>$D$149:$T$149</formula1>
    </dataValidation>
    <dataValidation type="list" allowBlank="1" showInputMessage="1" showErrorMessage="1" sqref="U150" xr:uid="{47DC4B09-40C8-41D1-939D-C4BE891E2EBE}">
      <formula1>$D$150:$T$150</formula1>
    </dataValidation>
    <dataValidation type="list" allowBlank="1" showInputMessage="1" showErrorMessage="1" sqref="U151" xr:uid="{204A5476-EB3B-4CE0-8A5D-C533E3B370D9}">
      <formula1>$D$151:$T$151</formula1>
    </dataValidation>
    <dataValidation type="list" allowBlank="1" showInputMessage="1" showErrorMessage="1" sqref="U152" xr:uid="{08F47B27-A1B0-4AE4-ABB0-6B7E2CD31B1C}">
      <formula1>$D$152:$T$152</formula1>
    </dataValidation>
    <dataValidation type="list" allowBlank="1" showInputMessage="1" showErrorMessage="1" sqref="U153" xr:uid="{044754BE-4631-4D59-9C9A-89C53542638B}">
      <formula1>$D$153:$T$153</formula1>
    </dataValidation>
    <dataValidation type="list" allowBlank="1" showInputMessage="1" showErrorMessage="1" sqref="U154" xr:uid="{058DD8D9-6E45-4D3E-B4D6-9A9B30C99790}">
      <formula1>$D$154:$T$154</formula1>
    </dataValidation>
    <dataValidation type="list" allowBlank="1" showInputMessage="1" showErrorMessage="1" sqref="U155" xr:uid="{D2006891-610C-42BE-886D-E5C6F41DBB49}">
      <formula1>$D$155:$T$155</formula1>
    </dataValidation>
    <dataValidation type="list" allowBlank="1" showInputMessage="1" showErrorMessage="1" sqref="U125" xr:uid="{B8064BED-A27A-4CB5-95B3-2A2CFE077D93}">
      <formula1>$D$125:$T$125</formula1>
    </dataValidation>
    <dataValidation type="list" allowBlank="1" showInputMessage="1" showErrorMessage="1" sqref="U126" xr:uid="{F89536F8-C4C3-4F59-BEE1-9645584B6D67}">
      <formula1>$D$126:$T$126</formula1>
    </dataValidation>
    <dataValidation type="list" allowBlank="1" showInputMessage="1" showErrorMessage="1" sqref="U127" xr:uid="{6E7C20C1-2F83-426D-B711-700F87B743F2}">
      <formula1>$D$127:$T$127</formula1>
    </dataValidation>
    <dataValidation type="list" allowBlank="1" showInputMessage="1" showErrorMessage="1" sqref="U128" xr:uid="{4F01B2A8-67BE-421F-8F75-5B0FB1C5C5DF}">
      <formula1>$D$128:$T$128</formula1>
    </dataValidation>
    <dataValidation type="list" allowBlank="1" showInputMessage="1" showErrorMessage="1" sqref="U129" xr:uid="{3356E4AB-AF17-48DF-B82C-1261FF3596A2}">
      <formula1>$D$129:$T$129</formula1>
    </dataValidation>
    <dataValidation type="list" allowBlank="1" showInputMessage="1" showErrorMessage="1" sqref="U130" xr:uid="{01E31BBF-CA24-4012-A607-AA864DC9B673}">
      <formula1>$D$130:$T$130</formula1>
    </dataValidation>
    <dataValidation type="list" allowBlank="1" showInputMessage="1" showErrorMessage="1" sqref="U131" xr:uid="{A39D24DD-A14A-4D42-9388-9FB2CA0B342A}">
      <formula1>$D$131:$T$131</formula1>
    </dataValidation>
    <dataValidation type="list" allowBlank="1" showInputMessage="1" showErrorMessage="1" sqref="U132" xr:uid="{03A1DD31-3460-4B2A-8BF0-419BF1CD5D43}">
      <formula1>$D$132:$T$132</formula1>
    </dataValidation>
    <dataValidation type="list" allowBlank="1" showInputMessage="1" showErrorMessage="1" sqref="U133" xr:uid="{67DC19FA-DAAA-4C87-A8C3-618BB40D2492}">
      <formula1>$D$133:$T$133</formula1>
    </dataValidation>
    <dataValidation type="list" allowBlank="1" showInputMessage="1" showErrorMessage="1" sqref="U134" xr:uid="{CD729765-9F10-4A44-97A1-54E4D24E867D}">
      <formula1>$D$134:$T$134</formula1>
    </dataValidation>
    <dataValidation type="list" allowBlank="1" showInputMessage="1" showErrorMessage="1" sqref="U135" xr:uid="{086C1D53-D447-4681-A18D-07DAF97F5E92}">
      <formula1>$D$135:$T$135</formula1>
    </dataValidation>
    <dataValidation type="list" allowBlank="1" showInputMessage="1" showErrorMessage="1" sqref="U136" xr:uid="{99C83CE6-3A40-4B72-947A-CFD114BDB581}">
      <formula1>$D$136:$T$136</formula1>
    </dataValidation>
    <dataValidation type="list" allowBlank="1" showInputMessage="1" showErrorMessage="1" sqref="U137" xr:uid="{E6B6667A-37EF-41C9-8821-61EBCCB6A5DA}">
      <formula1>$D$137:$T$137</formula1>
    </dataValidation>
    <dataValidation type="list" allowBlank="1" showInputMessage="1" showErrorMessage="1" sqref="U138" xr:uid="{7F6E0159-86EB-46CA-B2B0-79F6C0509DF6}">
      <formula1>$D$138:$U$138</formula1>
    </dataValidation>
    <dataValidation type="list" allowBlank="1" showInputMessage="1" showErrorMessage="1" sqref="U139" xr:uid="{00D0EB87-A82F-4756-9AFD-7C258E6B81C4}">
      <formula1>$D$139:$T$139</formula1>
    </dataValidation>
    <dataValidation type="list" allowBlank="1" showInputMessage="1" showErrorMessage="1" sqref="U140" xr:uid="{562FAE4E-162B-4527-94D0-24DA84244E35}">
      <formula1>$D$140:$T$140</formula1>
    </dataValidation>
    <dataValidation type="list" allowBlank="1" showInputMessage="1" showErrorMessage="1" sqref="V89" xr:uid="{BD22CFF8-93AB-4487-B66F-0CE3B74D29AA}">
      <formula1>"NA, SMARTIO12_0"</formula1>
    </dataValidation>
    <dataValidation type="list" allowBlank="1" showInputMessage="1" showErrorMessage="1" sqref="V90" xr:uid="{24C5D6AD-6856-4374-AC8E-6E03291C8232}">
      <formula1>"NA, SMARTIO12_1"</formula1>
    </dataValidation>
    <dataValidation type="list" allowBlank="1" showInputMessage="1" showErrorMessage="1" sqref="V91" xr:uid="{49F480D5-CBFB-4DE0-AE7B-6223F583A3C3}">
      <formula1>"NA, SMARTIO12_2"</formula1>
    </dataValidation>
    <dataValidation type="list" allowBlank="1" showInputMessage="1" showErrorMessage="1" sqref="V92" xr:uid="{EE8417B0-81C9-45C6-A03C-5802F6C7C8A1}">
      <formula1>"NA, SMARTIO12_3"</formula1>
    </dataValidation>
    <dataValidation type="list" allowBlank="1" showInputMessage="1" showErrorMessage="1" sqref="V93" xr:uid="{A0B37479-7727-4F90-A243-10F8838D04D4}">
      <formula1>"NA, SMARTIO12_4"</formula1>
    </dataValidation>
    <dataValidation type="list" allowBlank="1" showInputMessage="1" showErrorMessage="1" sqref="V94" xr:uid="{C204C11E-1E54-4C5D-B1DA-977F935C7D8B}">
      <formula1>"NA, SMARTIO12_5"</formula1>
    </dataValidation>
    <dataValidation type="list" allowBlank="1" showInputMessage="1" showErrorMessage="1" sqref="V95" xr:uid="{57F8C364-33B7-4025-86BE-A7A56D92B02E}">
      <formula1>"NA, SMARTIO12_6"</formula1>
    </dataValidation>
    <dataValidation type="list" allowBlank="1" showInputMessage="1" showErrorMessage="1" sqref="V96" xr:uid="{85936B5F-6D9E-4583-A809-B92E74B672FF}">
      <formula1>"NA, SMARTIO12_7"</formula1>
    </dataValidation>
    <dataValidation type="list" allowBlank="1" showInputMessage="1" showErrorMessage="1" sqref="V107" xr:uid="{E4E594AE-0C45-4CEF-B079-329F1F07AAA2}">
      <formula1>"NA, SMARTIO14_0"</formula1>
    </dataValidation>
    <dataValidation type="list" allowBlank="1" showInputMessage="1" showErrorMessage="1" sqref="V108" xr:uid="{31B9BDA5-3436-4201-A470-687C25F32C24}">
      <formula1>"NA, SMARTIO14_1"</formula1>
    </dataValidation>
    <dataValidation type="list" allowBlank="1" showInputMessage="1" showErrorMessage="1" sqref="V109" xr:uid="{3F71606E-7BB6-47B4-9AD5-BC5224BE640F}">
      <formula1>"NA, SMARTIO14_2"</formula1>
    </dataValidation>
    <dataValidation type="list" allowBlank="1" showInputMessage="1" showErrorMessage="1" sqref="V110" xr:uid="{102D891D-0790-449F-B096-1A9EA829E710}">
      <formula1>"NA, SMARTIO14_3"</formula1>
    </dataValidation>
    <dataValidation type="list" allowBlank="1" showInputMessage="1" showErrorMessage="1" sqref="V111" xr:uid="{C8C658B5-C04A-45CB-8C61-139B9E5978AB}">
      <formula1>"NA, SMARTIO14_4"</formula1>
    </dataValidation>
    <dataValidation type="list" allowBlank="1" showInputMessage="1" showErrorMessage="1" sqref="V112" xr:uid="{049D1937-2C29-4867-97F1-97EBDED78076}">
      <formula1>"NA, SMARTIO14_5"</formula1>
    </dataValidation>
    <dataValidation type="list" allowBlank="1" showInputMessage="1" showErrorMessage="1" sqref="V113" xr:uid="{5D1BC17C-220D-42E9-85C4-EAC99F5253F3}">
      <formula1>"NA, SMARTIO14_6"</formula1>
    </dataValidation>
    <dataValidation type="list" allowBlank="1" showInputMessage="1" showErrorMessage="1" sqref="V114" xr:uid="{395A7FC1-FF2D-47D3-A9E7-2A3B7EB8FF97}">
      <formula1>"NA, SMARTIO14_7"</formula1>
    </dataValidation>
    <dataValidation type="list" allowBlank="1" showInputMessage="1" showErrorMessage="1" sqref="V115" xr:uid="{113FCB18-06BE-490F-A9C0-10A12E984BB1}">
      <formula1>"NA, SMARTIO15_0"</formula1>
    </dataValidation>
    <dataValidation type="list" allowBlank="1" showInputMessage="1" showErrorMessage="1" sqref="V116" xr:uid="{938B3904-088B-4972-93B6-8D3D8CEA82EB}">
      <formula1>"NA, SMARTIO15_1"</formula1>
    </dataValidation>
    <dataValidation type="list" allowBlank="1" showInputMessage="1" showErrorMessage="1" sqref="V117" xr:uid="{41960A89-3184-46CE-893E-1988677C4B05}">
      <formula1>"NA, SMARTIO15_2"</formula1>
    </dataValidation>
    <dataValidation type="list" allowBlank="1" showInputMessage="1" showErrorMessage="1" sqref="V118" xr:uid="{3443E58D-77EC-4048-A666-826A070A3302}">
      <formula1>"NA, SMARTIO15_3"</formula1>
    </dataValidation>
    <dataValidation type="list" allowBlank="1" showInputMessage="1" showErrorMessage="1" sqref="V99" xr:uid="{115CC393-38FA-4B98-80A6-FDA96572BDCB}">
      <formula1>"NA, SMARTIO13_0"</formula1>
    </dataValidation>
    <dataValidation type="list" allowBlank="1" showInputMessage="1" showErrorMessage="1" sqref="V100" xr:uid="{0A8194EA-1F91-44E8-AD33-B0D77AD78B86}">
      <formula1>"NA, SMARTIO13_1"</formula1>
    </dataValidation>
    <dataValidation type="list" allowBlank="1" showInputMessage="1" showErrorMessage="1" sqref="V101" xr:uid="{78488662-512C-41AD-99DB-7C23839DAB4D}">
      <formula1>"NA, SMARTIO13_2"</formula1>
    </dataValidation>
    <dataValidation type="list" allowBlank="1" showInputMessage="1" showErrorMessage="1" sqref="V102" xr:uid="{6786C462-E8F5-44DC-B08C-0496C8E940BD}">
      <formula1>"NA, SMARTIO13_3"</formula1>
    </dataValidation>
    <dataValidation type="list" allowBlank="1" showInputMessage="1" showErrorMessage="1" sqref="V103" xr:uid="{6951DCE8-4F46-4773-B8AF-A7D8AF09A5FE}">
      <formula1>"NA, SMARTIO13_4"</formula1>
    </dataValidation>
    <dataValidation type="list" allowBlank="1" showInputMessage="1" showErrorMessage="1" sqref="V104" xr:uid="{A1001887-EA41-49D2-8452-36621C1F8621}">
      <formula1>"NA, SMARTIO13_5"</formula1>
    </dataValidation>
    <dataValidation type="list" allowBlank="1" showInputMessage="1" showErrorMessage="1" sqref="V105" xr:uid="{DF71E264-32DE-4A47-A20B-37DFAF7BAC71}">
      <formula1>"NA, SMARTIO13_6"</formula1>
    </dataValidation>
    <dataValidation type="list" allowBlank="1" showInputMessage="1" showErrorMessage="1" sqref="V106" xr:uid="{624BC470-7E7E-4C73-886B-14175F5CFA3A}">
      <formula1>"NA, SMARTIO13_7"</formula1>
    </dataValidation>
    <dataValidation type="list" allowBlank="1" showInputMessage="1" showErrorMessage="1" sqref="V125" xr:uid="{8F19E3AF-D1A3-483C-84D0-2F388A77879C}">
      <formula1>"NA, SMARTIO17_0"</formula1>
    </dataValidation>
    <dataValidation type="list" allowBlank="1" showInputMessage="1" showErrorMessage="1" sqref="V126" xr:uid="{4EEA273E-5095-42E4-B124-105399D025B4}">
      <formula1>"NA, SMARTIO17_1"</formula1>
    </dataValidation>
    <dataValidation type="list" allowBlank="1" showInputMessage="1" showErrorMessage="1" sqref="V127" xr:uid="{B7827C30-957B-49E7-8C20-165886CAD818}">
      <formula1>"NA, SMARTIO17_2"</formula1>
    </dataValidation>
    <dataValidation type="list" allowBlank="1" showInputMessage="1" showErrorMessage="1" sqref="V128" xr:uid="{D637C530-F1FB-4A3E-934C-11A6695971DA}">
      <formula1>"NA, SMARTIO17_3"</formula1>
    </dataValidation>
    <dataValidation type="list" allowBlank="1" showInputMessage="1" showErrorMessage="1" sqref="V129" xr:uid="{5C58100A-558D-49E7-8A9A-597F95DB2B0C}">
      <formula1>"NA, SMARTIO17_4"</formula1>
    </dataValidation>
    <dataValidation type="list" allowBlank="1" showInputMessage="1" showErrorMessage="1" sqref="V130" xr:uid="{E12E30DE-017A-40B7-8DAC-125E6D2DCC3C}">
      <formula1>"NA, SMARTIO17_5"</formula1>
    </dataValidation>
    <dataValidation type="list" allowBlank="1" showInputMessage="1" showErrorMessage="1" sqref="V131" xr:uid="{0C6BD770-9A8A-4212-A542-29C00300F70D}">
      <formula1>"NA, SMARTIO17_6"</formula1>
    </dataValidation>
    <dataValidation type="list" allowBlank="1" showInputMessage="1" showErrorMessage="1" sqref="V132" xr:uid="{BDCD154D-8A20-462B-A4C8-BA6BB6050B20}">
      <formula1>"NA, SMARTIO17_7"</formula1>
    </dataValidation>
  </dataValidations>
  <pageMargins left="0.7" right="0.7" top="0.75" bottom="0.75" header="0.3" footer="0.3"/>
  <pageSetup paperSize="9" orientation="portrait" r:id="rId1"/>
  <ignoredErrors>
    <ignoredError sqref="W11:W185" unlockedFormula="1"/>
  </ignoredErrors>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D61D2-19AF-48E6-84C0-0116AABC7E66}">
  <dimension ref="A1:AE156"/>
  <sheetViews>
    <sheetView zoomScale="85" zoomScaleNormal="85" workbookViewId="0">
      <pane xSplit="3" ySplit="9" topLeftCell="D100" activePane="bottomRight" state="frozen"/>
      <selection pane="topRight" activeCell="D1" sqref="D1"/>
      <selection pane="bottomLeft" activeCell="A6" sqref="A6"/>
      <selection pane="bottomRight" activeCell="U74" sqref="U74"/>
    </sheetView>
  </sheetViews>
  <sheetFormatPr defaultColWidth="8.58203125" defaultRowHeight="10" x14ac:dyDescent="0.55000000000000004"/>
  <cols>
    <col min="1" max="1" width="4.58203125" style="10" customWidth="1"/>
    <col min="2" max="2" width="7.08203125" style="10" bestFit="1" customWidth="1"/>
    <col min="3" max="3" width="3.5" style="10" bestFit="1" customWidth="1"/>
    <col min="4" max="4" width="6.33203125" style="10" bestFit="1" customWidth="1"/>
    <col min="5" max="5" width="9.4140625" style="10" bestFit="1" customWidth="1"/>
    <col min="6" max="6" width="11.1640625" style="10" bestFit="1" customWidth="1"/>
    <col min="7" max="8" width="11.58203125" style="10" bestFit="1" customWidth="1"/>
    <col min="9" max="9" width="11.5" style="10" bestFit="1" customWidth="1"/>
    <col min="10" max="11" width="10.4140625" style="10" bestFit="1" customWidth="1"/>
    <col min="12" max="12" width="11" style="10" bestFit="1" customWidth="1"/>
    <col min="13" max="13" width="7.25" style="10" bestFit="1" customWidth="1"/>
    <col min="14" max="14" width="8.83203125" style="10" bestFit="1" customWidth="1"/>
    <col min="15" max="15" width="8.75" style="10" bestFit="1" customWidth="1"/>
    <col min="16" max="16" width="14.1640625" style="10" bestFit="1" customWidth="1"/>
    <col min="17" max="17" width="10.4140625" style="10" bestFit="1" customWidth="1"/>
    <col min="18" max="18" width="14.08203125" style="10" bestFit="1" customWidth="1"/>
    <col min="19" max="19" width="11" style="10" bestFit="1" customWidth="1"/>
    <col min="20" max="20" width="17.1640625" style="10" bestFit="1" customWidth="1"/>
    <col min="21" max="21" width="16.33203125" style="10" bestFit="1" customWidth="1"/>
    <col min="22" max="22" width="10" style="10" bestFit="1" customWidth="1"/>
    <col min="23" max="23" width="24.83203125" style="10" bestFit="1" customWidth="1"/>
    <col min="24" max="24" width="24.83203125" style="10" customWidth="1"/>
    <col min="25" max="25" width="7.83203125" style="10" bestFit="1" customWidth="1"/>
    <col min="26" max="26" width="6.83203125" style="10" bestFit="1" customWidth="1"/>
    <col min="27" max="28" width="12.58203125" style="10" customWidth="1"/>
    <col min="29" max="16384" width="8.58203125" style="10"/>
  </cols>
  <sheetData>
    <row r="1" spans="1:31" ht="25" customHeight="1" x14ac:dyDescent="0.55000000000000004">
      <c r="A1" s="9" t="s">
        <v>371</v>
      </c>
      <c r="AC1" s="36"/>
      <c r="AD1" s="36"/>
      <c r="AE1" s="36"/>
    </row>
    <row r="2" spans="1:31" ht="25" customHeight="1" x14ac:dyDescent="0.55000000000000004">
      <c r="A2" s="9"/>
      <c r="AC2" s="36"/>
      <c r="AD2" s="36"/>
      <c r="AE2" s="36"/>
    </row>
    <row r="3" spans="1:31" ht="25" customHeight="1" x14ac:dyDescent="0.55000000000000004">
      <c r="A3" s="9"/>
      <c r="AC3" s="36"/>
      <c r="AD3" s="36"/>
      <c r="AE3" s="36"/>
    </row>
    <row r="4" spans="1:31" ht="25" customHeight="1" x14ac:dyDescent="0.55000000000000004">
      <c r="A4" s="9"/>
      <c r="AC4" s="36"/>
      <c r="AD4" s="36"/>
      <c r="AE4" s="36"/>
    </row>
    <row r="5" spans="1:31" ht="25" customHeight="1" x14ac:dyDescent="0.55000000000000004">
      <c r="A5" s="9"/>
      <c r="AB5" s="11"/>
      <c r="AC5" s="36"/>
      <c r="AD5" s="36"/>
      <c r="AE5" s="37" t="s">
        <v>814</v>
      </c>
    </row>
    <row r="6" spans="1:31" x14ac:dyDescent="0.55000000000000004">
      <c r="B6" s="10" t="s">
        <v>532</v>
      </c>
      <c r="E6" s="10" t="s">
        <v>542</v>
      </c>
      <c r="F6" s="10" t="s">
        <v>542</v>
      </c>
      <c r="G6" s="10" t="s">
        <v>533</v>
      </c>
      <c r="H6" s="10" t="s">
        <v>533</v>
      </c>
      <c r="I6" s="10" t="s">
        <v>542</v>
      </c>
      <c r="J6" s="10" t="s">
        <v>534</v>
      </c>
      <c r="K6" s="10" t="s">
        <v>535</v>
      </c>
      <c r="L6" s="10" t="s">
        <v>536</v>
      </c>
      <c r="M6" s="10" t="s">
        <v>537</v>
      </c>
      <c r="N6" s="10" t="s">
        <v>538</v>
      </c>
      <c r="O6" s="10" t="s">
        <v>539</v>
      </c>
      <c r="P6" s="10" t="s">
        <v>539</v>
      </c>
      <c r="Q6" s="10" t="s">
        <v>535</v>
      </c>
      <c r="R6" s="10" t="s">
        <v>540</v>
      </c>
      <c r="S6" s="10" t="s">
        <v>536</v>
      </c>
      <c r="T6" s="10" t="s">
        <v>541</v>
      </c>
    </row>
    <row r="7" spans="1:31" ht="10.5" x14ac:dyDescent="0.55000000000000004">
      <c r="B7" s="118" t="s">
        <v>0</v>
      </c>
      <c r="C7" s="118" t="s">
        <v>255</v>
      </c>
      <c r="D7" s="121" t="s">
        <v>383</v>
      </c>
      <c r="E7" s="12"/>
      <c r="F7" s="13"/>
      <c r="G7" s="13"/>
      <c r="H7" s="13"/>
      <c r="I7" s="119" t="s">
        <v>1</v>
      </c>
      <c r="J7" s="119"/>
      <c r="K7" s="119"/>
      <c r="L7" s="13"/>
      <c r="M7" s="13"/>
      <c r="N7" s="13"/>
      <c r="O7" s="13"/>
      <c r="P7" s="14"/>
      <c r="Q7" s="118" t="s">
        <v>343</v>
      </c>
      <c r="R7" s="118"/>
      <c r="S7" s="118"/>
      <c r="T7" s="118" t="s">
        <v>352</v>
      </c>
      <c r="U7" s="136" t="s">
        <v>265</v>
      </c>
      <c r="V7" s="137"/>
      <c r="W7" s="137"/>
      <c r="X7" s="138"/>
      <c r="Y7" s="132" t="s">
        <v>557</v>
      </c>
      <c r="Z7" s="133"/>
      <c r="AA7" s="124" t="s">
        <v>382</v>
      </c>
      <c r="AB7" s="125"/>
    </row>
    <row r="8" spans="1:31" ht="10.5" x14ac:dyDescent="0.55000000000000004">
      <c r="B8" s="118"/>
      <c r="C8" s="118"/>
      <c r="D8" s="122"/>
      <c r="E8" s="15" t="s">
        <v>350</v>
      </c>
      <c r="F8" s="15" t="s">
        <v>2</v>
      </c>
      <c r="G8" s="15" t="s">
        <v>3</v>
      </c>
      <c r="H8" s="15" t="s">
        <v>4</v>
      </c>
      <c r="I8" s="15" t="s">
        <v>5</v>
      </c>
      <c r="J8" s="15" t="s">
        <v>6</v>
      </c>
      <c r="K8" s="15" t="s">
        <v>7</v>
      </c>
      <c r="L8" s="15" t="s">
        <v>8</v>
      </c>
      <c r="M8" s="15" t="s">
        <v>9</v>
      </c>
      <c r="N8" s="15" t="s">
        <v>10</v>
      </c>
      <c r="O8" s="15" t="s">
        <v>11</v>
      </c>
      <c r="P8" s="15" t="s">
        <v>12</v>
      </c>
      <c r="Q8" s="15" t="s">
        <v>344</v>
      </c>
      <c r="R8" s="15" t="s">
        <v>345</v>
      </c>
      <c r="S8" s="15" t="s">
        <v>346</v>
      </c>
      <c r="T8" s="118"/>
      <c r="U8" s="128" t="s">
        <v>266</v>
      </c>
      <c r="V8" s="128" t="s">
        <v>828</v>
      </c>
      <c r="W8" s="130" t="s">
        <v>380</v>
      </c>
      <c r="X8" s="134" t="s">
        <v>829</v>
      </c>
      <c r="Y8" s="121" t="s">
        <v>556</v>
      </c>
      <c r="Z8" s="121" t="s">
        <v>554</v>
      </c>
      <c r="AA8" s="126" t="s">
        <v>812</v>
      </c>
      <c r="AB8" s="126" t="s">
        <v>813</v>
      </c>
    </row>
    <row r="9" spans="1:31" ht="10.5" x14ac:dyDescent="0.55000000000000004">
      <c r="B9" s="118"/>
      <c r="C9" s="118"/>
      <c r="D9" s="123"/>
      <c r="E9" s="15" t="s">
        <v>351</v>
      </c>
      <c r="F9" s="15" t="s">
        <v>13</v>
      </c>
      <c r="G9" s="15" t="s">
        <v>14</v>
      </c>
      <c r="H9" s="15" t="s">
        <v>15</v>
      </c>
      <c r="I9" s="15" t="s">
        <v>16</v>
      </c>
      <c r="J9" s="15" t="s">
        <v>17</v>
      </c>
      <c r="K9" s="15" t="s">
        <v>18</v>
      </c>
      <c r="L9" s="15" t="s">
        <v>19</v>
      </c>
      <c r="M9" s="15" t="s">
        <v>20</v>
      </c>
      <c r="N9" s="15" t="s">
        <v>21</v>
      </c>
      <c r="O9" s="15" t="s">
        <v>22</v>
      </c>
      <c r="P9" s="15" t="s">
        <v>23</v>
      </c>
      <c r="Q9" s="15" t="s">
        <v>349</v>
      </c>
      <c r="R9" s="15" t="s">
        <v>347</v>
      </c>
      <c r="S9" s="15" t="s">
        <v>348</v>
      </c>
      <c r="T9" s="118"/>
      <c r="U9" s="128"/>
      <c r="V9" s="128"/>
      <c r="W9" s="131"/>
      <c r="X9" s="135"/>
      <c r="Y9" s="129"/>
      <c r="Z9" s="129"/>
      <c r="AA9" s="127"/>
      <c r="AB9" s="127"/>
    </row>
    <row r="10" spans="1:31" x14ac:dyDescent="0.2">
      <c r="B10" s="16" t="s">
        <v>256</v>
      </c>
      <c r="C10" s="17">
        <v>1</v>
      </c>
      <c r="D10" s="18" t="s">
        <v>269</v>
      </c>
      <c r="E10" s="18" t="s">
        <v>269</v>
      </c>
      <c r="F10" s="18" t="s">
        <v>269</v>
      </c>
      <c r="G10" s="18" t="s">
        <v>269</v>
      </c>
      <c r="H10" s="18" t="s">
        <v>269</v>
      </c>
      <c r="I10" s="18" t="s">
        <v>269</v>
      </c>
      <c r="J10" s="18" t="s">
        <v>269</v>
      </c>
      <c r="K10" s="18" t="s">
        <v>269</v>
      </c>
      <c r="L10" s="18" t="s">
        <v>269</v>
      </c>
      <c r="M10" s="18" t="s">
        <v>269</v>
      </c>
      <c r="N10" s="18" t="s">
        <v>269</v>
      </c>
      <c r="O10" s="18" t="s">
        <v>269</v>
      </c>
      <c r="P10" s="18" t="s">
        <v>269</v>
      </c>
      <c r="Q10" s="18" t="s">
        <v>269</v>
      </c>
      <c r="R10" s="18" t="s">
        <v>269</v>
      </c>
      <c r="S10" s="18" t="s">
        <v>269</v>
      </c>
      <c r="T10" s="18" t="s">
        <v>269</v>
      </c>
      <c r="U10" s="16" t="s">
        <v>256</v>
      </c>
      <c r="V10" s="18" t="s">
        <v>269</v>
      </c>
      <c r="W10" s="38"/>
      <c r="X10" s="19" t="s">
        <v>545</v>
      </c>
      <c r="Y10" s="20" t="s">
        <v>555</v>
      </c>
      <c r="Z10" s="20" t="s">
        <v>555</v>
      </c>
      <c r="AA10" s="19"/>
      <c r="AB10" s="19"/>
    </row>
    <row r="11" spans="1:31" x14ac:dyDescent="0.2">
      <c r="B11" s="21" t="s">
        <v>24</v>
      </c>
      <c r="C11" s="22">
        <v>2</v>
      </c>
      <c r="D11" s="21" t="s">
        <v>24</v>
      </c>
      <c r="E11" s="22" t="s">
        <v>851</v>
      </c>
      <c r="F11" s="22" t="s">
        <v>852</v>
      </c>
      <c r="G11" s="22" t="s">
        <v>853</v>
      </c>
      <c r="H11" s="22" t="s">
        <v>854</v>
      </c>
      <c r="I11" s="18" t="s">
        <v>269</v>
      </c>
      <c r="J11" s="93" t="s">
        <v>593</v>
      </c>
      <c r="K11" s="93" t="s">
        <v>594</v>
      </c>
      <c r="L11" s="18" t="s">
        <v>269</v>
      </c>
      <c r="M11" s="21" t="s">
        <v>25</v>
      </c>
      <c r="N11" s="18" t="s">
        <v>269</v>
      </c>
      <c r="O11" s="18" t="s">
        <v>269</v>
      </c>
      <c r="P11" s="18" t="s">
        <v>269</v>
      </c>
      <c r="Q11" s="18" t="s">
        <v>269</v>
      </c>
      <c r="R11" s="18" t="s">
        <v>269</v>
      </c>
      <c r="S11" s="93" t="s">
        <v>582</v>
      </c>
      <c r="T11" s="18" t="s">
        <v>269</v>
      </c>
      <c r="U11" s="24"/>
      <c r="V11" s="18" t="s">
        <v>269</v>
      </c>
      <c r="W11" s="38" t="str">
        <f>_xlfn.IFS(AND(COUNTIF(U11,"SCB0*")=1, 'PCH80'!D60&gt;=2), "See the Notice *2", AND(COUNTIF(U11,"SCB7*")=1, 'PCH80'!K60&gt;=2), "See the Notice *2", TRUE, "")</f>
        <v/>
      </c>
      <c r="X11" s="19"/>
      <c r="Y11" s="20" t="s">
        <v>267</v>
      </c>
      <c r="Z11" s="20" t="s">
        <v>257</v>
      </c>
      <c r="AA11" s="19"/>
      <c r="AB11" s="19"/>
    </row>
    <row r="12" spans="1:31" x14ac:dyDescent="0.2">
      <c r="B12" s="21" t="s">
        <v>26</v>
      </c>
      <c r="C12" s="22">
        <v>3</v>
      </c>
      <c r="D12" s="21" t="s">
        <v>26</v>
      </c>
      <c r="E12" s="22" t="s">
        <v>855</v>
      </c>
      <c r="F12" s="22" t="s">
        <v>856</v>
      </c>
      <c r="G12" s="22" t="s">
        <v>857</v>
      </c>
      <c r="H12" s="22" t="s">
        <v>858</v>
      </c>
      <c r="I12" s="18" t="s">
        <v>269</v>
      </c>
      <c r="J12" s="93" t="s">
        <v>595</v>
      </c>
      <c r="K12" s="93" t="s">
        <v>596</v>
      </c>
      <c r="L12" s="18" t="s">
        <v>269</v>
      </c>
      <c r="M12" s="21" t="s">
        <v>27</v>
      </c>
      <c r="N12" s="18" t="s">
        <v>269</v>
      </c>
      <c r="O12" s="18" t="s">
        <v>269</v>
      </c>
      <c r="P12" s="18" t="s">
        <v>269</v>
      </c>
      <c r="Q12" s="18" t="s">
        <v>269</v>
      </c>
      <c r="R12" s="18" t="s">
        <v>269</v>
      </c>
      <c r="S12" s="93" t="s">
        <v>583</v>
      </c>
      <c r="T12" s="18" t="s">
        <v>269</v>
      </c>
      <c r="U12" s="25"/>
      <c r="V12" s="18" t="s">
        <v>269</v>
      </c>
      <c r="W12" s="38" t="str">
        <f>_xlfn.IFS(AND(COUNTIF(U12,"SCB0*")=1, 'PCH80'!D60&gt;=2), "See the Notice *2", AND(COUNTIF(U12,"SCB7*")=1, 'PCH80'!K60&gt;=2), "See the Notice *2", TRUE, "")</f>
        <v/>
      </c>
      <c r="X12" s="19"/>
      <c r="Y12" s="20" t="s">
        <v>267</v>
      </c>
      <c r="Z12" s="20" t="s">
        <v>257</v>
      </c>
      <c r="AA12" s="19"/>
      <c r="AB12" s="19"/>
    </row>
    <row r="13" spans="1:31" x14ac:dyDescent="0.2">
      <c r="B13" s="21" t="s">
        <v>28</v>
      </c>
      <c r="C13" s="22">
        <v>4</v>
      </c>
      <c r="D13" s="21" t="s">
        <v>28</v>
      </c>
      <c r="E13" s="22" t="s">
        <v>859</v>
      </c>
      <c r="F13" s="22" t="s">
        <v>860</v>
      </c>
      <c r="G13" s="22" t="s">
        <v>861</v>
      </c>
      <c r="H13" s="22" t="s">
        <v>862</v>
      </c>
      <c r="I13" s="18" t="s">
        <v>269</v>
      </c>
      <c r="J13" s="93" t="s">
        <v>597</v>
      </c>
      <c r="K13" s="18" t="s">
        <v>269</v>
      </c>
      <c r="L13" s="18" t="s">
        <v>269</v>
      </c>
      <c r="M13" s="21" t="s">
        <v>29</v>
      </c>
      <c r="N13" s="21" t="s">
        <v>30</v>
      </c>
      <c r="O13" s="18" t="s">
        <v>269</v>
      </c>
      <c r="P13" s="18" t="s">
        <v>269</v>
      </c>
      <c r="Q13" s="93" t="s">
        <v>581</v>
      </c>
      <c r="R13" s="18" t="s">
        <v>269</v>
      </c>
      <c r="S13" s="93" t="s">
        <v>584</v>
      </c>
      <c r="T13" s="18" t="s">
        <v>269</v>
      </c>
      <c r="U13" s="25"/>
      <c r="V13" s="18" t="s">
        <v>269</v>
      </c>
      <c r="W13" s="38" t="str">
        <f>_xlfn.IFS(AND(COUNTIF(U13,"SCB*")=1, 'PCH80'!D60&gt;=2), "See the Notice *2", TRUE, "")</f>
        <v/>
      </c>
      <c r="X13" s="19"/>
      <c r="Y13" s="20" t="s">
        <v>267</v>
      </c>
      <c r="Z13" s="20" t="s">
        <v>257</v>
      </c>
      <c r="AA13" s="19"/>
      <c r="AB13" s="19"/>
    </row>
    <row r="14" spans="1:31" x14ac:dyDescent="0.2">
      <c r="B14" s="21" t="s">
        <v>31</v>
      </c>
      <c r="C14" s="22">
        <v>5</v>
      </c>
      <c r="D14" s="21" t="s">
        <v>31</v>
      </c>
      <c r="E14" s="22" t="s">
        <v>863</v>
      </c>
      <c r="F14" s="22" t="s">
        <v>864</v>
      </c>
      <c r="G14" s="22" t="s">
        <v>865</v>
      </c>
      <c r="H14" s="22" t="s">
        <v>866</v>
      </c>
      <c r="I14" s="18" t="s">
        <v>269</v>
      </c>
      <c r="J14" s="93" t="s">
        <v>598</v>
      </c>
      <c r="K14" s="18" t="s">
        <v>269</v>
      </c>
      <c r="L14" s="18" t="s">
        <v>269</v>
      </c>
      <c r="M14" s="18" t="s">
        <v>269</v>
      </c>
      <c r="N14" s="21" t="s">
        <v>32</v>
      </c>
      <c r="O14" s="18" t="s">
        <v>269</v>
      </c>
      <c r="P14" s="18" t="s">
        <v>269</v>
      </c>
      <c r="Q14" s="93" t="s">
        <v>578</v>
      </c>
      <c r="R14" s="18" t="s">
        <v>269</v>
      </c>
      <c r="S14" s="93" t="s">
        <v>585</v>
      </c>
      <c r="T14" s="18" t="s">
        <v>269</v>
      </c>
      <c r="U14" s="25"/>
      <c r="V14" s="18" t="s">
        <v>269</v>
      </c>
      <c r="W14" s="38" t="str">
        <f>_xlfn.IFS(AND(COUNTIF(U14,"SCB*")=1, 'PCH80'!D60&gt;=2), "See the Notice *2", TRUE, "")</f>
        <v/>
      </c>
      <c r="X14" s="19"/>
      <c r="Y14" s="20" t="s">
        <v>267</v>
      </c>
      <c r="Z14" s="20" t="s">
        <v>257</v>
      </c>
      <c r="AA14" s="19"/>
      <c r="AB14" s="19"/>
    </row>
    <row r="15" spans="1:31" x14ac:dyDescent="0.2">
      <c r="B15" s="21" t="s">
        <v>39</v>
      </c>
      <c r="C15" s="22">
        <v>6</v>
      </c>
      <c r="D15" s="21" t="s">
        <v>39</v>
      </c>
      <c r="E15" s="22" t="s">
        <v>883</v>
      </c>
      <c r="F15" s="22" t="s">
        <v>884</v>
      </c>
      <c r="G15" s="22" t="s">
        <v>885</v>
      </c>
      <c r="H15" s="22" t="s">
        <v>886</v>
      </c>
      <c r="I15" s="18" t="s">
        <v>269</v>
      </c>
      <c r="J15" s="93" t="s">
        <v>599</v>
      </c>
      <c r="K15" s="18" t="s">
        <v>269</v>
      </c>
      <c r="L15" s="95" t="s">
        <v>617</v>
      </c>
      <c r="M15" s="21" t="s">
        <v>40</v>
      </c>
      <c r="N15" s="21" t="s">
        <v>41</v>
      </c>
      <c r="O15" s="21" t="s">
        <v>42</v>
      </c>
      <c r="P15" s="18" t="s">
        <v>269</v>
      </c>
      <c r="Q15" s="18" t="s">
        <v>269</v>
      </c>
      <c r="R15" s="21" t="s">
        <v>270</v>
      </c>
      <c r="S15" s="93" t="s">
        <v>590</v>
      </c>
      <c r="T15" s="18" t="s">
        <v>269</v>
      </c>
      <c r="U15" s="25"/>
      <c r="V15" s="18" t="s">
        <v>269</v>
      </c>
      <c r="W15" s="38" t="str">
        <f>_xlfn.IFS(AND(COUNTIF(U15,"SCB0*")=1, 'PCH80'!D60&gt;=2), "See the Notice *2", AND(COUNTIF(U15,"SCB7*")=1, 'PCH80'!K60&gt;=2), "See the Notice *2", TRUE, "")</f>
        <v/>
      </c>
      <c r="X15" s="19"/>
      <c r="Y15" s="20" t="s">
        <v>268</v>
      </c>
      <c r="Z15" s="20" t="s">
        <v>257</v>
      </c>
      <c r="AA15" s="19"/>
      <c r="AB15" s="19"/>
    </row>
    <row r="16" spans="1:31" x14ac:dyDescent="0.2">
      <c r="B16" s="21" t="s">
        <v>43</v>
      </c>
      <c r="C16" s="22">
        <v>7</v>
      </c>
      <c r="D16" s="21" t="s">
        <v>43</v>
      </c>
      <c r="E16" s="22" t="s">
        <v>887</v>
      </c>
      <c r="F16" s="22" t="s">
        <v>888</v>
      </c>
      <c r="G16" s="22" t="s">
        <v>889</v>
      </c>
      <c r="H16" s="22" t="s">
        <v>890</v>
      </c>
      <c r="I16" s="18" t="s">
        <v>269</v>
      </c>
      <c r="J16" s="93" t="s">
        <v>600</v>
      </c>
      <c r="K16" s="96" t="s">
        <v>601</v>
      </c>
      <c r="L16" s="95" t="s">
        <v>618</v>
      </c>
      <c r="M16" s="21" t="s">
        <v>44</v>
      </c>
      <c r="N16" s="21" t="s">
        <v>45</v>
      </c>
      <c r="O16" s="21" t="s">
        <v>46</v>
      </c>
      <c r="P16" s="18" t="s">
        <v>269</v>
      </c>
      <c r="Q16" s="18" t="s">
        <v>269</v>
      </c>
      <c r="R16" s="18" t="s">
        <v>269</v>
      </c>
      <c r="S16" s="93" t="s">
        <v>591</v>
      </c>
      <c r="T16" s="18" t="s">
        <v>269</v>
      </c>
      <c r="U16" s="25"/>
      <c r="V16" s="18" t="s">
        <v>269</v>
      </c>
      <c r="W16" s="38" t="str">
        <f>_xlfn.IFS(AND(COUNTIF(U16,"SCB0*")=1, 'PCH80'!D60&gt;=2), "See the Notice *2", AND(COUNTIF(U16,"SCB7*")=1, 'PCH80'!K60&gt;=2), "See the Notice *2", TRUE, "")</f>
        <v/>
      </c>
      <c r="X16" s="19"/>
      <c r="Y16" s="20" t="s">
        <v>268</v>
      </c>
      <c r="Z16" s="20" t="s">
        <v>257</v>
      </c>
      <c r="AA16" s="19"/>
      <c r="AB16" s="19"/>
    </row>
    <row r="17" spans="2:28" x14ac:dyDescent="0.2">
      <c r="B17" s="21" t="s">
        <v>47</v>
      </c>
      <c r="C17" s="22">
        <v>8</v>
      </c>
      <c r="D17" s="21" t="s">
        <v>47</v>
      </c>
      <c r="E17" s="22" t="s">
        <v>891</v>
      </c>
      <c r="F17" s="22" t="s">
        <v>892</v>
      </c>
      <c r="G17" s="22" t="s">
        <v>893</v>
      </c>
      <c r="H17" s="22" t="s">
        <v>894</v>
      </c>
      <c r="I17" s="18" t="s">
        <v>269</v>
      </c>
      <c r="J17" s="93" t="s">
        <v>602</v>
      </c>
      <c r="K17" s="96" t="s">
        <v>603</v>
      </c>
      <c r="L17" s="95" t="s">
        <v>619</v>
      </c>
      <c r="M17" s="21" t="s">
        <v>48</v>
      </c>
      <c r="N17" s="18" t="s">
        <v>269</v>
      </c>
      <c r="O17" s="21" t="s">
        <v>49</v>
      </c>
      <c r="P17" s="18" t="s">
        <v>269</v>
      </c>
      <c r="Q17" s="18" t="s">
        <v>269</v>
      </c>
      <c r="R17" s="18" t="s">
        <v>269</v>
      </c>
      <c r="S17" s="93" t="s">
        <v>592</v>
      </c>
      <c r="T17" s="18" t="s">
        <v>269</v>
      </c>
      <c r="U17" s="25"/>
      <c r="V17" s="18" t="s">
        <v>269</v>
      </c>
      <c r="W17" s="38" t="str">
        <f>_xlfn.IFS(AND(COUNTIF(U17,"SCB0*")=1, 'PCH80'!D60&gt;=2), "See the Notice *2", AND(COUNTIF(U17,"SCB7*")=1, 'PCH80'!K60&gt;=2), "See the Notice *2", TRUE, "")</f>
        <v/>
      </c>
      <c r="X17" s="19"/>
      <c r="Y17" s="20" t="s">
        <v>268</v>
      </c>
      <c r="Z17" s="20" t="s">
        <v>257</v>
      </c>
      <c r="AA17" s="19"/>
      <c r="AB17" s="19"/>
    </row>
    <row r="18" spans="2:28" x14ac:dyDescent="0.2">
      <c r="B18" s="21" t="s">
        <v>50</v>
      </c>
      <c r="C18" s="22">
        <v>9</v>
      </c>
      <c r="D18" s="21" t="s">
        <v>50</v>
      </c>
      <c r="E18" s="22" t="s">
        <v>895</v>
      </c>
      <c r="F18" s="22" t="s">
        <v>896</v>
      </c>
      <c r="G18" s="22" t="s">
        <v>897</v>
      </c>
      <c r="H18" s="22" t="s">
        <v>898</v>
      </c>
      <c r="I18" s="18" t="s">
        <v>269</v>
      </c>
      <c r="J18" s="93" t="s">
        <v>604</v>
      </c>
      <c r="K18" s="18" t="s">
        <v>269</v>
      </c>
      <c r="L18" s="95" t="s">
        <v>620</v>
      </c>
      <c r="M18" s="21" t="s">
        <v>51</v>
      </c>
      <c r="N18" s="18" t="s">
        <v>269</v>
      </c>
      <c r="O18" s="21" t="s">
        <v>52</v>
      </c>
      <c r="P18" s="18" t="s">
        <v>269</v>
      </c>
      <c r="Q18" s="18" t="s">
        <v>269</v>
      </c>
      <c r="R18" s="18" t="s">
        <v>269</v>
      </c>
      <c r="S18" s="18" t="s">
        <v>269</v>
      </c>
      <c r="T18" s="18" t="s">
        <v>269</v>
      </c>
      <c r="U18" s="24"/>
      <c r="V18" s="18" t="s">
        <v>269</v>
      </c>
      <c r="W18" s="38" t="str">
        <f>_xlfn.IFS(AND(COUNTIF(U18,"SCB*")=1, 'PCH80'!K60&gt;=2), "See the Notice *2", TRUE, "")</f>
        <v/>
      </c>
      <c r="X18" s="19"/>
      <c r="Y18" s="20" t="s">
        <v>268</v>
      </c>
      <c r="Z18" s="20" t="s">
        <v>257</v>
      </c>
      <c r="AA18" s="19"/>
      <c r="AB18" s="19"/>
    </row>
    <row r="19" spans="2:28" x14ac:dyDescent="0.2">
      <c r="B19" s="21" t="s">
        <v>80</v>
      </c>
      <c r="C19" s="22">
        <v>10</v>
      </c>
      <c r="D19" s="21" t="s">
        <v>80</v>
      </c>
      <c r="E19" s="109" t="s">
        <v>933</v>
      </c>
      <c r="F19" s="109" t="s">
        <v>884</v>
      </c>
      <c r="G19" s="109" t="s">
        <v>934</v>
      </c>
      <c r="H19" s="109" t="s">
        <v>886</v>
      </c>
      <c r="I19" s="18" t="s">
        <v>269</v>
      </c>
      <c r="J19" s="18" t="s">
        <v>269</v>
      </c>
      <c r="K19" s="18" t="s">
        <v>269</v>
      </c>
      <c r="L19" s="95" t="s">
        <v>634</v>
      </c>
      <c r="M19" s="21" t="s">
        <v>81</v>
      </c>
      <c r="N19" s="18" t="s">
        <v>269</v>
      </c>
      <c r="O19" s="18" t="s">
        <v>269</v>
      </c>
      <c r="P19" s="18" t="s">
        <v>269</v>
      </c>
      <c r="Q19" s="18" t="s">
        <v>269</v>
      </c>
      <c r="R19" s="18" t="s">
        <v>269</v>
      </c>
      <c r="S19" s="18" t="s">
        <v>269</v>
      </c>
      <c r="T19" s="18" t="s">
        <v>269</v>
      </c>
      <c r="U19" s="24"/>
      <c r="V19" s="18" t="s">
        <v>269</v>
      </c>
      <c r="W19" s="38" t="str">
        <f>_xlfn.IFS(AND(COUNTIF(U19,"SCB*")=1, 'PCH80'!I60&gt;=2), "See the Notice *2", TRUE, "")</f>
        <v/>
      </c>
      <c r="X19" s="19"/>
      <c r="Y19" s="20" t="s">
        <v>268</v>
      </c>
      <c r="Z19" s="20" t="s">
        <v>257</v>
      </c>
      <c r="AA19" s="19"/>
      <c r="AB19" s="19"/>
    </row>
    <row r="20" spans="2:28" x14ac:dyDescent="0.2">
      <c r="B20" s="21" t="s">
        <v>82</v>
      </c>
      <c r="C20" s="22">
        <v>11</v>
      </c>
      <c r="D20" s="21" t="s">
        <v>82</v>
      </c>
      <c r="E20" s="109" t="s">
        <v>875</v>
      </c>
      <c r="F20" s="109" t="s">
        <v>935</v>
      </c>
      <c r="G20" s="109" t="s">
        <v>877</v>
      </c>
      <c r="H20" s="109" t="s">
        <v>936</v>
      </c>
      <c r="I20" s="18" t="s">
        <v>269</v>
      </c>
      <c r="J20" s="18" t="s">
        <v>269</v>
      </c>
      <c r="K20" s="18" t="s">
        <v>269</v>
      </c>
      <c r="L20" s="18" t="s">
        <v>269</v>
      </c>
      <c r="M20" s="21" t="s">
        <v>83</v>
      </c>
      <c r="N20" s="18" t="s">
        <v>269</v>
      </c>
      <c r="O20" s="18" t="s">
        <v>269</v>
      </c>
      <c r="P20" s="18" t="s">
        <v>269</v>
      </c>
      <c r="Q20" s="18" t="s">
        <v>269</v>
      </c>
      <c r="R20" s="18" t="s">
        <v>269</v>
      </c>
      <c r="S20" s="18" t="s">
        <v>269</v>
      </c>
      <c r="T20" s="18" t="s">
        <v>269</v>
      </c>
      <c r="U20" s="24"/>
      <c r="V20" s="18" t="s">
        <v>269</v>
      </c>
      <c r="W20" s="38"/>
      <c r="X20" s="19"/>
      <c r="Y20" s="20" t="s">
        <v>268</v>
      </c>
      <c r="Z20" s="20" t="s">
        <v>257</v>
      </c>
      <c r="AA20" s="19"/>
      <c r="AB20" s="19"/>
    </row>
    <row r="21" spans="2:28" x14ac:dyDescent="0.2">
      <c r="B21" s="21" t="s">
        <v>84</v>
      </c>
      <c r="C21" s="22">
        <v>12</v>
      </c>
      <c r="D21" s="21" t="s">
        <v>84</v>
      </c>
      <c r="E21" s="109" t="s">
        <v>871</v>
      </c>
      <c r="F21" s="109" t="s">
        <v>880</v>
      </c>
      <c r="G21" s="109" t="s">
        <v>873</v>
      </c>
      <c r="H21" s="109" t="s">
        <v>882</v>
      </c>
      <c r="I21" s="18" t="s">
        <v>269</v>
      </c>
      <c r="J21" s="18" t="s">
        <v>269</v>
      </c>
      <c r="K21" s="18" t="s">
        <v>269</v>
      </c>
      <c r="L21" s="18" t="s">
        <v>269</v>
      </c>
      <c r="M21" s="21" t="s">
        <v>85</v>
      </c>
      <c r="N21" s="18" t="s">
        <v>269</v>
      </c>
      <c r="O21" s="18" t="s">
        <v>269</v>
      </c>
      <c r="P21" s="18" t="s">
        <v>269</v>
      </c>
      <c r="Q21" s="18" t="s">
        <v>269</v>
      </c>
      <c r="R21" s="18" t="s">
        <v>269</v>
      </c>
      <c r="S21" s="18" t="s">
        <v>269</v>
      </c>
      <c r="T21" s="18" t="s">
        <v>269</v>
      </c>
      <c r="U21" s="24"/>
      <c r="V21" s="18" t="s">
        <v>269</v>
      </c>
      <c r="W21" s="38"/>
      <c r="X21" s="19"/>
      <c r="Y21" s="20" t="s">
        <v>268</v>
      </c>
      <c r="Z21" s="20" t="s">
        <v>257</v>
      </c>
      <c r="AA21" s="19"/>
      <c r="AB21" s="19"/>
    </row>
    <row r="22" spans="2:28" x14ac:dyDescent="0.2">
      <c r="B22" s="21" t="s">
        <v>86</v>
      </c>
      <c r="C22" s="22">
        <v>13</v>
      </c>
      <c r="D22" s="21" t="s">
        <v>86</v>
      </c>
      <c r="E22" s="109" t="s">
        <v>867</v>
      </c>
      <c r="F22" s="109" t="s">
        <v>876</v>
      </c>
      <c r="G22" s="109" t="s">
        <v>869</v>
      </c>
      <c r="H22" s="109" t="s">
        <v>878</v>
      </c>
      <c r="I22" s="18" t="s">
        <v>269</v>
      </c>
      <c r="J22" s="18" t="s">
        <v>269</v>
      </c>
      <c r="K22" s="18" t="s">
        <v>269</v>
      </c>
      <c r="L22" s="18" t="s">
        <v>269</v>
      </c>
      <c r="M22" s="21" t="s">
        <v>87</v>
      </c>
      <c r="N22" s="18" t="s">
        <v>269</v>
      </c>
      <c r="O22" s="18" t="s">
        <v>269</v>
      </c>
      <c r="P22" s="18" t="s">
        <v>269</v>
      </c>
      <c r="Q22" s="18" t="s">
        <v>269</v>
      </c>
      <c r="R22" s="18" t="s">
        <v>269</v>
      </c>
      <c r="S22" s="18" t="s">
        <v>269</v>
      </c>
      <c r="T22" s="18" t="s">
        <v>269</v>
      </c>
      <c r="U22" s="25"/>
      <c r="V22" s="18" t="s">
        <v>269</v>
      </c>
      <c r="W22" s="38"/>
      <c r="X22" s="19"/>
      <c r="Y22" s="20" t="s">
        <v>268</v>
      </c>
      <c r="Z22" s="20" t="s">
        <v>257</v>
      </c>
      <c r="AA22" s="19"/>
      <c r="AB22" s="19"/>
    </row>
    <row r="23" spans="2:28" x14ac:dyDescent="0.2">
      <c r="B23" s="21" t="s">
        <v>92</v>
      </c>
      <c r="C23" s="22">
        <v>14</v>
      </c>
      <c r="D23" s="21" t="s">
        <v>92</v>
      </c>
      <c r="E23" s="109" t="s">
        <v>927</v>
      </c>
      <c r="F23" s="109" t="s">
        <v>864</v>
      </c>
      <c r="G23" s="109" t="s">
        <v>929</v>
      </c>
      <c r="H23" s="109" t="s">
        <v>866</v>
      </c>
      <c r="I23" s="18" t="s">
        <v>269</v>
      </c>
      <c r="J23" s="93" t="s">
        <v>635</v>
      </c>
      <c r="K23" s="18" t="s">
        <v>269</v>
      </c>
      <c r="L23" s="93" t="s">
        <v>636</v>
      </c>
      <c r="M23" s="21" t="s">
        <v>93</v>
      </c>
      <c r="N23" s="18" t="s">
        <v>269</v>
      </c>
      <c r="O23" s="18" t="s">
        <v>269</v>
      </c>
      <c r="P23" s="18" t="s">
        <v>269</v>
      </c>
      <c r="Q23" s="18" t="s">
        <v>269</v>
      </c>
      <c r="R23" s="18" t="s">
        <v>269</v>
      </c>
      <c r="S23" s="18" t="s">
        <v>269</v>
      </c>
      <c r="T23" s="21" t="s">
        <v>271</v>
      </c>
      <c r="U23" s="25"/>
      <c r="V23" s="18" t="s">
        <v>269</v>
      </c>
      <c r="W23" s="38" t="str">
        <f>_xlfn.IFS(AND(COUNTIF(U23,"SCB*")=1, 'PCH80'!H60&gt;=2), "See the Notice *2", TRUE, "")</f>
        <v/>
      </c>
      <c r="X23" s="19"/>
      <c r="Y23" s="20" t="s">
        <v>268</v>
      </c>
      <c r="Z23" s="19" t="s">
        <v>559</v>
      </c>
      <c r="AA23" s="19"/>
      <c r="AB23" s="19"/>
    </row>
    <row r="24" spans="2:28" x14ac:dyDescent="0.2">
      <c r="B24" s="21" t="s">
        <v>94</v>
      </c>
      <c r="C24" s="22">
        <v>15</v>
      </c>
      <c r="D24" s="21" t="s">
        <v>94</v>
      </c>
      <c r="E24" s="109" t="s">
        <v>911</v>
      </c>
      <c r="F24" s="109" t="s">
        <v>931</v>
      </c>
      <c r="G24" s="109" t="s">
        <v>913</v>
      </c>
      <c r="H24" s="109" t="s">
        <v>932</v>
      </c>
      <c r="I24" s="18" t="s">
        <v>269</v>
      </c>
      <c r="J24" s="93" t="s">
        <v>637</v>
      </c>
      <c r="K24" s="93" t="s">
        <v>638</v>
      </c>
      <c r="L24" s="93" t="s">
        <v>639</v>
      </c>
      <c r="M24" s="21" t="s">
        <v>95</v>
      </c>
      <c r="N24" s="18" t="s">
        <v>269</v>
      </c>
      <c r="O24" s="18" t="s">
        <v>269</v>
      </c>
      <c r="P24" s="18" t="s">
        <v>269</v>
      </c>
      <c r="Q24" s="18" t="s">
        <v>269</v>
      </c>
      <c r="R24" s="18" t="s">
        <v>269</v>
      </c>
      <c r="S24" s="18" t="s">
        <v>269</v>
      </c>
      <c r="T24" s="21" t="s">
        <v>272</v>
      </c>
      <c r="U24" s="25"/>
      <c r="V24" s="18" t="s">
        <v>269</v>
      </c>
      <c r="W24" s="38" t="str">
        <f>_xlfn.IFS(AND(COUNTIF(U24,"SCB*")=1, 'PCH80'!H60&gt;=2), "See the Notice *2", TRUE, "")</f>
        <v/>
      </c>
      <c r="X24" s="19"/>
      <c r="Y24" s="20" t="s">
        <v>268</v>
      </c>
      <c r="Z24" s="19" t="s">
        <v>559</v>
      </c>
      <c r="AA24" s="19"/>
      <c r="AB24" s="19"/>
    </row>
    <row r="25" spans="2:28" x14ac:dyDescent="0.2">
      <c r="B25" s="21" t="s">
        <v>96</v>
      </c>
      <c r="C25" s="22">
        <v>16</v>
      </c>
      <c r="D25" s="21" t="s">
        <v>96</v>
      </c>
      <c r="E25" s="109" t="s">
        <v>923</v>
      </c>
      <c r="F25" s="109" t="s">
        <v>916</v>
      </c>
      <c r="G25" s="109" t="s">
        <v>925</v>
      </c>
      <c r="H25" s="109" t="s">
        <v>918</v>
      </c>
      <c r="I25" s="18" t="s">
        <v>269</v>
      </c>
      <c r="J25" s="93" t="s">
        <v>640</v>
      </c>
      <c r="K25" s="93" t="s">
        <v>641</v>
      </c>
      <c r="L25" s="93" t="s">
        <v>642</v>
      </c>
      <c r="M25" s="21" t="s">
        <v>97</v>
      </c>
      <c r="N25" s="21" t="s">
        <v>98</v>
      </c>
      <c r="O25" s="18" t="s">
        <v>269</v>
      </c>
      <c r="P25" s="18" t="s">
        <v>269</v>
      </c>
      <c r="Q25" s="18" t="s">
        <v>269</v>
      </c>
      <c r="R25" s="18" t="s">
        <v>269</v>
      </c>
      <c r="S25" s="18" t="s">
        <v>269</v>
      </c>
      <c r="T25" s="21" t="s">
        <v>273</v>
      </c>
      <c r="U25" s="25"/>
      <c r="V25" s="18" t="s">
        <v>269</v>
      </c>
      <c r="W25" s="38" t="str">
        <f>_xlfn.IFS(AND(COUNTIF(U25,"SCB*")=1, 'PCH80'!H60&gt;=2), "See the Notice *2", TRUE, "")</f>
        <v/>
      </c>
      <c r="X25" s="19"/>
      <c r="Y25" s="20" t="s">
        <v>268</v>
      </c>
      <c r="Z25" s="19" t="s">
        <v>559</v>
      </c>
      <c r="AA25" s="19"/>
      <c r="AB25" s="19"/>
    </row>
    <row r="26" spans="2:28" x14ac:dyDescent="0.2">
      <c r="B26" s="21" t="s">
        <v>99</v>
      </c>
      <c r="C26" s="22">
        <v>17</v>
      </c>
      <c r="D26" s="21" t="s">
        <v>99</v>
      </c>
      <c r="E26" s="109" t="s">
        <v>907</v>
      </c>
      <c r="F26" s="109" t="s">
        <v>928</v>
      </c>
      <c r="G26" s="109" t="s">
        <v>909</v>
      </c>
      <c r="H26" s="109" t="s">
        <v>930</v>
      </c>
      <c r="I26" s="18" t="s">
        <v>269</v>
      </c>
      <c r="J26" s="93" t="s">
        <v>643</v>
      </c>
      <c r="K26" s="18" t="s">
        <v>269</v>
      </c>
      <c r="L26" s="93" t="s">
        <v>644</v>
      </c>
      <c r="M26" s="21" t="s">
        <v>100</v>
      </c>
      <c r="N26" s="21" t="s">
        <v>101</v>
      </c>
      <c r="O26" s="18" t="s">
        <v>269</v>
      </c>
      <c r="P26" s="21" t="s">
        <v>102</v>
      </c>
      <c r="Q26" s="18" t="s">
        <v>269</v>
      </c>
      <c r="R26" s="18" t="s">
        <v>269</v>
      </c>
      <c r="S26" s="18" t="s">
        <v>269</v>
      </c>
      <c r="T26" s="21" t="s">
        <v>274</v>
      </c>
      <c r="U26" s="25"/>
      <c r="V26" s="18" t="s">
        <v>269</v>
      </c>
      <c r="W26" s="38" t="str">
        <f>_xlfn.IFS(AND(COUNTIF(U26,"SCB*")=1, 'PCH80'!H60&gt;=2), "See the Notice *2", TRUE, "")</f>
        <v/>
      </c>
      <c r="X26" s="19"/>
      <c r="Y26" s="20" t="s">
        <v>268</v>
      </c>
      <c r="Z26" s="19" t="s">
        <v>559</v>
      </c>
      <c r="AA26" s="19"/>
      <c r="AB26" s="19"/>
    </row>
    <row r="27" spans="2:28" x14ac:dyDescent="0.2">
      <c r="B27" s="21" t="s">
        <v>103</v>
      </c>
      <c r="C27" s="22">
        <v>18</v>
      </c>
      <c r="D27" s="21" t="s">
        <v>103</v>
      </c>
      <c r="E27" s="109" t="s">
        <v>919</v>
      </c>
      <c r="F27" s="109" t="s">
        <v>912</v>
      </c>
      <c r="G27" s="109" t="s">
        <v>921</v>
      </c>
      <c r="H27" s="109" t="s">
        <v>914</v>
      </c>
      <c r="I27" s="18" t="s">
        <v>269</v>
      </c>
      <c r="J27" s="18" t="s">
        <v>269</v>
      </c>
      <c r="K27" s="18" t="s">
        <v>269</v>
      </c>
      <c r="L27" s="93" t="s">
        <v>645</v>
      </c>
      <c r="M27" s="21" t="s">
        <v>104</v>
      </c>
      <c r="N27" s="18" t="s">
        <v>269</v>
      </c>
      <c r="O27" s="18" t="s">
        <v>269</v>
      </c>
      <c r="P27" s="18" t="s">
        <v>269</v>
      </c>
      <c r="Q27" s="18" t="s">
        <v>269</v>
      </c>
      <c r="R27" s="18" t="s">
        <v>269</v>
      </c>
      <c r="S27" s="18" t="s">
        <v>269</v>
      </c>
      <c r="T27" s="21" t="s">
        <v>275</v>
      </c>
      <c r="U27" s="25"/>
      <c r="V27" s="18" t="s">
        <v>269</v>
      </c>
      <c r="W27" s="38" t="str">
        <f>_xlfn.IFS(AND(COUNTIF(U27,"SCB*")=1, 'PCH80'!H60&gt;=2), "See the Notice *2", TRUE, "")</f>
        <v/>
      </c>
      <c r="X27" s="19"/>
      <c r="Y27" s="20" t="s">
        <v>268</v>
      </c>
      <c r="Z27" s="19" t="s">
        <v>559</v>
      </c>
      <c r="AA27" s="19"/>
      <c r="AB27" s="19"/>
    </row>
    <row r="28" spans="2:28" x14ac:dyDescent="0.2">
      <c r="B28" s="21" t="s">
        <v>105</v>
      </c>
      <c r="C28" s="22">
        <v>19</v>
      </c>
      <c r="D28" s="21" t="s">
        <v>105</v>
      </c>
      <c r="E28" s="109" t="s">
        <v>903</v>
      </c>
      <c r="F28" s="109" t="s">
        <v>924</v>
      </c>
      <c r="G28" s="109" t="s">
        <v>905</v>
      </c>
      <c r="H28" s="109" t="s">
        <v>926</v>
      </c>
      <c r="I28" s="18" t="s">
        <v>269</v>
      </c>
      <c r="J28" s="18" t="s">
        <v>269</v>
      </c>
      <c r="K28" s="18" t="s">
        <v>269</v>
      </c>
      <c r="L28" s="93" t="s">
        <v>646</v>
      </c>
      <c r="M28" s="21" t="s">
        <v>106</v>
      </c>
      <c r="N28" s="18" t="s">
        <v>269</v>
      </c>
      <c r="O28" s="18" t="s">
        <v>269</v>
      </c>
      <c r="P28" s="18" t="s">
        <v>269</v>
      </c>
      <c r="Q28" s="18" t="s">
        <v>269</v>
      </c>
      <c r="R28" s="18" t="s">
        <v>269</v>
      </c>
      <c r="S28" s="18" t="s">
        <v>269</v>
      </c>
      <c r="T28" s="21" t="s">
        <v>276</v>
      </c>
      <c r="U28" s="25"/>
      <c r="V28" s="18" t="s">
        <v>269</v>
      </c>
      <c r="W28" s="38" t="str">
        <f>_xlfn.IFS(AND(COUNTIF(U28,"SCB*")=1, 'PCH80'!H60&gt;=2), "See the Notice *2", TRUE, "")</f>
        <v/>
      </c>
      <c r="X28" s="19"/>
      <c r="Y28" s="20" t="s">
        <v>268</v>
      </c>
      <c r="Z28" s="19" t="s">
        <v>559</v>
      </c>
      <c r="AA28" s="19"/>
      <c r="AB28" s="19"/>
    </row>
    <row r="29" spans="2:28" x14ac:dyDescent="0.2">
      <c r="B29" s="28" t="s">
        <v>258</v>
      </c>
      <c r="C29" s="17">
        <v>20</v>
      </c>
      <c r="D29" s="18" t="s">
        <v>269</v>
      </c>
      <c r="E29" s="18" t="s">
        <v>269</v>
      </c>
      <c r="F29" s="18" t="s">
        <v>269</v>
      </c>
      <c r="G29" s="18" t="s">
        <v>269</v>
      </c>
      <c r="H29" s="18" t="s">
        <v>269</v>
      </c>
      <c r="I29" s="18" t="s">
        <v>269</v>
      </c>
      <c r="J29" s="18" t="s">
        <v>269</v>
      </c>
      <c r="K29" s="18" t="s">
        <v>269</v>
      </c>
      <c r="L29" s="18" t="s">
        <v>269</v>
      </c>
      <c r="M29" s="18" t="s">
        <v>269</v>
      </c>
      <c r="N29" s="18" t="s">
        <v>269</v>
      </c>
      <c r="O29" s="18" t="s">
        <v>269</v>
      </c>
      <c r="P29" s="18" t="s">
        <v>269</v>
      </c>
      <c r="Q29" s="18" t="s">
        <v>269</v>
      </c>
      <c r="R29" s="18" t="s">
        <v>269</v>
      </c>
      <c r="S29" s="18" t="s">
        <v>269</v>
      </c>
      <c r="T29" s="18" t="s">
        <v>269</v>
      </c>
      <c r="U29" s="28" t="s">
        <v>258</v>
      </c>
      <c r="V29" s="18" t="s">
        <v>269</v>
      </c>
      <c r="W29" s="38"/>
      <c r="X29" s="19" t="s">
        <v>546</v>
      </c>
      <c r="Y29" s="20" t="s">
        <v>555</v>
      </c>
      <c r="Z29" s="20" t="s">
        <v>555</v>
      </c>
      <c r="AA29" s="19"/>
      <c r="AB29" s="19"/>
    </row>
    <row r="30" spans="2:28" x14ac:dyDescent="0.2">
      <c r="B30" s="16" t="s">
        <v>256</v>
      </c>
      <c r="C30" s="17">
        <v>21</v>
      </c>
      <c r="D30" s="18" t="s">
        <v>269</v>
      </c>
      <c r="E30" s="18" t="s">
        <v>269</v>
      </c>
      <c r="F30" s="18" t="s">
        <v>269</v>
      </c>
      <c r="G30" s="18" t="s">
        <v>269</v>
      </c>
      <c r="H30" s="18" t="s">
        <v>269</v>
      </c>
      <c r="I30" s="18" t="s">
        <v>269</v>
      </c>
      <c r="J30" s="18" t="s">
        <v>269</v>
      </c>
      <c r="K30" s="18" t="s">
        <v>269</v>
      </c>
      <c r="L30" s="18" t="s">
        <v>269</v>
      </c>
      <c r="M30" s="18" t="s">
        <v>269</v>
      </c>
      <c r="N30" s="18" t="s">
        <v>269</v>
      </c>
      <c r="O30" s="18" t="s">
        <v>269</v>
      </c>
      <c r="P30" s="18" t="s">
        <v>269</v>
      </c>
      <c r="Q30" s="18" t="s">
        <v>269</v>
      </c>
      <c r="R30" s="18" t="s">
        <v>269</v>
      </c>
      <c r="S30" s="18" t="s">
        <v>269</v>
      </c>
      <c r="T30" s="18" t="s">
        <v>269</v>
      </c>
      <c r="U30" s="16" t="s">
        <v>256</v>
      </c>
      <c r="V30" s="18" t="s">
        <v>269</v>
      </c>
      <c r="W30" s="38"/>
      <c r="X30" s="19" t="s">
        <v>545</v>
      </c>
      <c r="Y30" s="20" t="s">
        <v>555</v>
      </c>
      <c r="Z30" s="20" t="s">
        <v>555</v>
      </c>
      <c r="AA30" s="19"/>
      <c r="AB30" s="19"/>
    </row>
    <row r="31" spans="2:28" x14ac:dyDescent="0.2">
      <c r="B31" s="21" t="s">
        <v>111</v>
      </c>
      <c r="C31" s="22">
        <v>22</v>
      </c>
      <c r="D31" s="21" t="s">
        <v>111</v>
      </c>
      <c r="E31" s="109" t="s">
        <v>937</v>
      </c>
      <c r="F31" s="109" t="s">
        <v>904</v>
      </c>
      <c r="G31" s="109" t="s">
        <v>938</v>
      </c>
      <c r="H31" s="109" t="s">
        <v>906</v>
      </c>
      <c r="I31" s="18" t="s">
        <v>269</v>
      </c>
      <c r="J31" s="93" t="s">
        <v>648</v>
      </c>
      <c r="K31" s="18" t="s">
        <v>269</v>
      </c>
      <c r="L31" s="93" t="s">
        <v>649</v>
      </c>
      <c r="M31" s="21" t="s">
        <v>100</v>
      </c>
      <c r="N31" s="18" t="s">
        <v>269</v>
      </c>
      <c r="O31" s="18" t="s">
        <v>269</v>
      </c>
      <c r="P31" s="18" t="s">
        <v>269</v>
      </c>
      <c r="Q31" s="18" t="s">
        <v>269</v>
      </c>
      <c r="R31" s="18" t="s">
        <v>269</v>
      </c>
      <c r="S31" s="18" t="s">
        <v>269</v>
      </c>
      <c r="T31" s="21" t="s">
        <v>279</v>
      </c>
      <c r="U31" s="29"/>
      <c r="V31" s="18" t="s">
        <v>269</v>
      </c>
      <c r="W31" s="38" t="str">
        <f>_xlfn.IFS(AND(COUNTIF(U31,"SCB*")=1, 'PCH80'!I60&gt;=2), "See the Notice *2", TRUE, "")</f>
        <v/>
      </c>
      <c r="X31" s="19"/>
      <c r="Y31" s="20" t="s">
        <v>268</v>
      </c>
      <c r="Z31" s="19" t="s">
        <v>559</v>
      </c>
      <c r="AA31" s="19"/>
      <c r="AB31" s="19"/>
    </row>
    <row r="32" spans="2:28" x14ac:dyDescent="0.2">
      <c r="B32" s="21" t="s">
        <v>112</v>
      </c>
      <c r="C32" s="22">
        <v>23</v>
      </c>
      <c r="D32" s="21" t="s">
        <v>112</v>
      </c>
      <c r="E32" s="109" t="s">
        <v>939</v>
      </c>
      <c r="F32" s="109" t="s">
        <v>940</v>
      </c>
      <c r="G32" s="109" t="s">
        <v>941</v>
      </c>
      <c r="H32" s="109" t="s">
        <v>942</v>
      </c>
      <c r="I32" s="18" t="s">
        <v>269</v>
      </c>
      <c r="J32" s="93" t="s">
        <v>650</v>
      </c>
      <c r="K32" s="93" t="s">
        <v>651</v>
      </c>
      <c r="L32" s="93" t="s">
        <v>652</v>
      </c>
      <c r="M32" s="21" t="s">
        <v>104</v>
      </c>
      <c r="N32" s="18" t="s">
        <v>269</v>
      </c>
      <c r="O32" s="18" t="s">
        <v>269</v>
      </c>
      <c r="P32" s="18" t="s">
        <v>269</v>
      </c>
      <c r="Q32" s="18" t="s">
        <v>269</v>
      </c>
      <c r="R32" s="18" t="s">
        <v>269</v>
      </c>
      <c r="S32" s="18" t="s">
        <v>269</v>
      </c>
      <c r="T32" s="21" t="s">
        <v>280</v>
      </c>
      <c r="U32" s="24"/>
      <c r="V32" s="18" t="s">
        <v>269</v>
      </c>
      <c r="W32" s="38" t="str">
        <f>_xlfn.IFS(AND(COUNTIF(U32,"SCB*")=1, 'PCH80'!I60&gt;=2), "See the Notice *2", TRUE, "")</f>
        <v/>
      </c>
      <c r="X32" s="19"/>
      <c r="Y32" s="20" t="s">
        <v>268</v>
      </c>
      <c r="Z32" s="19" t="s">
        <v>559</v>
      </c>
      <c r="AA32" s="19"/>
      <c r="AB32" s="19"/>
    </row>
    <row r="33" spans="2:28" x14ac:dyDescent="0.2">
      <c r="B33" s="21" t="s">
        <v>113</v>
      </c>
      <c r="C33" s="22">
        <v>24</v>
      </c>
      <c r="D33" s="21" t="s">
        <v>113</v>
      </c>
      <c r="E33" s="109" t="s">
        <v>943</v>
      </c>
      <c r="F33" s="109" t="s">
        <v>944</v>
      </c>
      <c r="G33" s="109" t="s">
        <v>945</v>
      </c>
      <c r="H33" s="109" t="s">
        <v>946</v>
      </c>
      <c r="I33" s="18" t="s">
        <v>269</v>
      </c>
      <c r="J33" s="93" t="s">
        <v>653</v>
      </c>
      <c r="K33" s="93" t="s">
        <v>654</v>
      </c>
      <c r="L33" s="93" t="s">
        <v>655</v>
      </c>
      <c r="M33" s="21" t="s">
        <v>106</v>
      </c>
      <c r="N33" s="18" t="s">
        <v>269</v>
      </c>
      <c r="O33" s="18" t="s">
        <v>269</v>
      </c>
      <c r="P33" s="18" t="s">
        <v>269</v>
      </c>
      <c r="Q33" s="18" t="s">
        <v>269</v>
      </c>
      <c r="R33" s="18" t="s">
        <v>269</v>
      </c>
      <c r="S33" s="18" t="s">
        <v>269</v>
      </c>
      <c r="T33" s="21" t="s">
        <v>281</v>
      </c>
      <c r="U33" s="24"/>
      <c r="V33" s="18" t="s">
        <v>269</v>
      </c>
      <c r="W33" s="38" t="str">
        <f>_xlfn.IFS(AND(COUNTIF(U33,"SCB*")=1, 'PCH80'!I60&gt;=2), "See the Notice *2", TRUE, "")</f>
        <v/>
      </c>
      <c r="X33" s="19"/>
      <c r="Y33" s="20" t="s">
        <v>268</v>
      </c>
      <c r="Z33" s="19" t="s">
        <v>559</v>
      </c>
      <c r="AA33" s="19"/>
      <c r="AB33" s="19"/>
    </row>
    <row r="34" spans="2:28" x14ac:dyDescent="0.2">
      <c r="B34" s="21" t="s">
        <v>114</v>
      </c>
      <c r="C34" s="22">
        <v>25</v>
      </c>
      <c r="D34" s="21" t="s">
        <v>114</v>
      </c>
      <c r="E34" s="109" t="s">
        <v>947</v>
      </c>
      <c r="F34" s="109" t="s">
        <v>948</v>
      </c>
      <c r="G34" s="109" t="s">
        <v>949</v>
      </c>
      <c r="H34" s="109" t="s">
        <v>950</v>
      </c>
      <c r="I34" s="18" t="s">
        <v>269</v>
      </c>
      <c r="J34" s="93" t="s">
        <v>656</v>
      </c>
      <c r="K34" s="18" t="s">
        <v>269</v>
      </c>
      <c r="L34" s="93" t="s">
        <v>657</v>
      </c>
      <c r="M34" s="18" t="s">
        <v>269</v>
      </c>
      <c r="N34" s="18" t="s">
        <v>269</v>
      </c>
      <c r="O34" s="18" t="s">
        <v>269</v>
      </c>
      <c r="P34" s="18" t="s">
        <v>269</v>
      </c>
      <c r="Q34" s="18" t="s">
        <v>269</v>
      </c>
      <c r="R34" s="18" t="s">
        <v>269</v>
      </c>
      <c r="S34" s="18" t="s">
        <v>269</v>
      </c>
      <c r="T34" s="21" t="s">
        <v>282</v>
      </c>
      <c r="U34" s="24"/>
      <c r="V34" s="18" t="s">
        <v>269</v>
      </c>
      <c r="W34" s="38" t="str">
        <f>_xlfn.IFS(AND(COUNTIF(U34,"SCB*")=1, 'PCH80'!I60&gt;=2), "See the Notice *2", TRUE, "")</f>
        <v/>
      </c>
      <c r="X34" s="19"/>
      <c r="Y34" s="20" t="s">
        <v>268</v>
      </c>
      <c r="Z34" s="19" t="s">
        <v>559</v>
      </c>
      <c r="AA34" s="19"/>
      <c r="AB34" s="19"/>
    </row>
    <row r="35" spans="2:28" x14ac:dyDescent="0.2">
      <c r="B35" s="21" t="s">
        <v>121</v>
      </c>
      <c r="C35" s="22">
        <v>26</v>
      </c>
      <c r="D35" s="21" t="s">
        <v>121</v>
      </c>
      <c r="E35" s="109" t="s">
        <v>961</v>
      </c>
      <c r="F35" s="109" t="s">
        <v>856</v>
      </c>
      <c r="G35" s="109" t="s">
        <v>962</v>
      </c>
      <c r="H35" s="109" t="s">
        <v>858</v>
      </c>
      <c r="I35" s="18" t="s">
        <v>269</v>
      </c>
      <c r="J35" s="18" t="s">
        <v>269</v>
      </c>
      <c r="K35" s="18" t="s">
        <v>269</v>
      </c>
      <c r="L35" s="18" t="s">
        <v>269</v>
      </c>
      <c r="M35" s="21" t="s">
        <v>87</v>
      </c>
      <c r="N35" s="21" t="s">
        <v>41</v>
      </c>
      <c r="O35" s="18" t="s">
        <v>269</v>
      </c>
      <c r="P35" s="18" t="s">
        <v>269</v>
      </c>
      <c r="Q35" s="18" t="s">
        <v>269</v>
      </c>
      <c r="R35" s="18" t="s">
        <v>269</v>
      </c>
      <c r="S35" s="18" t="s">
        <v>269</v>
      </c>
      <c r="T35" s="18" t="s">
        <v>269</v>
      </c>
      <c r="U35" s="25"/>
      <c r="V35" s="18" t="s">
        <v>269</v>
      </c>
      <c r="W35" s="38"/>
      <c r="X35" s="19"/>
      <c r="Y35" s="20" t="s">
        <v>268</v>
      </c>
      <c r="Z35" s="19" t="s">
        <v>559</v>
      </c>
      <c r="AA35" s="19"/>
      <c r="AB35" s="19"/>
    </row>
    <row r="36" spans="2:28" x14ac:dyDescent="0.2">
      <c r="B36" s="21" t="s">
        <v>122</v>
      </c>
      <c r="C36" s="22">
        <v>27</v>
      </c>
      <c r="D36" s="21" t="s">
        <v>122</v>
      </c>
      <c r="E36" s="109" t="s">
        <v>963</v>
      </c>
      <c r="F36" s="109" t="s">
        <v>964</v>
      </c>
      <c r="G36" s="109" t="s">
        <v>965</v>
      </c>
      <c r="H36" s="109" t="s">
        <v>966</v>
      </c>
      <c r="I36" s="18" t="s">
        <v>269</v>
      </c>
      <c r="J36" s="18" t="s">
        <v>269</v>
      </c>
      <c r="K36" s="18" t="s">
        <v>269</v>
      </c>
      <c r="L36" s="18" t="s">
        <v>269</v>
      </c>
      <c r="M36" s="21" t="s">
        <v>89</v>
      </c>
      <c r="N36" s="21" t="s">
        <v>45</v>
      </c>
      <c r="O36" s="21" t="s">
        <v>123</v>
      </c>
      <c r="P36" s="18" t="s">
        <v>269</v>
      </c>
      <c r="Q36" s="18" t="s">
        <v>269</v>
      </c>
      <c r="R36" s="18" t="s">
        <v>269</v>
      </c>
      <c r="S36" s="18" t="s">
        <v>269</v>
      </c>
      <c r="T36" s="21" t="s">
        <v>287</v>
      </c>
      <c r="U36" s="25"/>
      <c r="V36" s="18" t="s">
        <v>269</v>
      </c>
      <c r="W36" s="38"/>
      <c r="X36" s="19"/>
      <c r="Y36" s="20" t="s">
        <v>268</v>
      </c>
      <c r="Z36" s="19" t="s">
        <v>559</v>
      </c>
      <c r="AA36" s="19"/>
      <c r="AB36" s="19"/>
    </row>
    <row r="37" spans="2:28" x14ac:dyDescent="0.2">
      <c r="B37" s="21" t="s">
        <v>124</v>
      </c>
      <c r="C37" s="22">
        <v>28</v>
      </c>
      <c r="D37" s="21" t="s">
        <v>124</v>
      </c>
      <c r="E37" s="109" t="s">
        <v>967</v>
      </c>
      <c r="F37" s="109" t="s">
        <v>968</v>
      </c>
      <c r="G37" s="109" t="s">
        <v>969</v>
      </c>
      <c r="H37" s="109" t="s">
        <v>970</v>
      </c>
      <c r="I37" s="18" t="s">
        <v>269</v>
      </c>
      <c r="J37" s="18" t="s">
        <v>269</v>
      </c>
      <c r="K37" s="18" t="s">
        <v>269</v>
      </c>
      <c r="L37" s="18" t="s">
        <v>269</v>
      </c>
      <c r="M37" s="21" t="s">
        <v>91</v>
      </c>
      <c r="N37" s="18" t="s">
        <v>269</v>
      </c>
      <c r="O37" s="21" t="s">
        <v>125</v>
      </c>
      <c r="P37" s="18" t="s">
        <v>269</v>
      </c>
      <c r="Q37" s="18" t="s">
        <v>269</v>
      </c>
      <c r="R37" s="18" t="s">
        <v>269</v>
      </c>
      <c r="S37" s="18" t="s">
        <v>269</v>
      </c>
      <c r="T37" s="21" t="s">
        <v>288</v>
      </c>
      <c r="U37" s="24"/>
      <c r="V37" s="18" t="s">
        <v>269</v>
      </c>
      <c r="W37" s="38"/>
      <c r="X37" s="19"/>
      <c r="Y37" s="20" t="s">
        <v>268</v>
      </c>
      <c r="Z37" s="19" t="s">
        <v>559</v>
      </c>
      <c r="AA37" s="19"/>
      <c r="AB37" s="19"/>
    </row>
    <row r="38" spans="2:28" x14ac:dyDescent="0.2">
      <c r="B38" s="30" t="s">
        <v>564</v>
      </c>
      <c r="C38" s="22">
        <v>29</v>
      </c>
      <c r="D38" s="30" t="s">
        <v>562</v>
      </c>
      <c r="E38" s="18" t="s">
        <v>269</v>
      </c>
      <c r="F38" s="18" t="s">
        <v>269</v>
      </c>
      <c r="G38" s="18" t="s">
        <v>269</v>
      </c>
      <c r="H38" s="18" t="s">
        <v>269</v>
      </c>
      <c r="I38" s="18" t="s">
        <v>269</v>
      </c>
      <c r="J38" s="18" t="s">
        <v>269</v>
      </c>
      <c r="K38" s="18" t="s">
        <v>269</v>
      </c>
      <c r="L38" s="18" t="s">
        <v>269</v>
      </c>
      <c r="M38" s="18" t="s">
        <v>269</v>
      </c>
      <c r="N38" s="18" t="s">
        <v>269</v>
      </c>
      <c r="O38" s="18" t="s">
        <v>269</v>
      </c>
      <c r="P38" s="18" t="s">
        <v>269</v>
      </c>
      <c r="Q38" s="18" t="s">
        <v>269</v>
      </c>
      <c r="R38" s="18" t="s">
        <v>269</v>
      </c>
      <c r="S38" s="18" t="s">
        <v>269</v>
      </c>
      <c r="T38" s="21" t="s">
        <v>299</v>
      </c>
      <c r="U38" s="25"/>
      <c r="V38" s="18" t="s">
        <v>269</v>
      </c>
      <c r="W38" s="38"/>
      <c r="X38" s="19"/>
      <c r="Y38" s="20" t="s">
        <v>268</v>
      </c>
      <c r="Z38" s="19" t="s">
        <v>560</v>
      </c>
      <c r="AA38" s="19"/>
      <c r="AB38" s="19"/>
    </row>
    <row r="39" spans="2:28" x14ac:dyDescent="0.2">
      <c r="B39" s="30" t="s">
        <v>565</v>
      </c>
      <c r="C39" s="22">
        <v>30</v>
      </c>
      <c r="D39" s="30" t="s">
        <v>776</v>
      </c>
      <c r="E39" s="18" t="s">
        <v>269</v>
      </c>
      <c r="F39" s="18" t="s">
        <v>269</v>
      </c>
      <c r="G39" s="18" t="s">
        <v>269</v>
      </c>
      <c r="H39" s="18" t="s">
        <v>269</v>
      </c>
      <c r="I39" s="18" t="s">
        <v>269</v>
      </c>
      <c r="J39" s="18" t="s">
        <v>269</v>
      </c>
      <c r="K39" s="18" t="s">
        <v>269</v>
      </c>
      <c r="L39" s="18" t="s">
        <v>269</v>
      </c>
      <c r="M39" s="18" t="s">
        <v>269</v>
      </c>
      <c r="N39" s="18" t="s">
        <v>269</v>
      </c>
      <c r="O39" s="18" t="s">
        <v>269</v>
      </c>
      <c r="P39" s="18" t="s">
        <v>269</v>
      </c>
      <c r="Q39" s="18" t="s">
        <v>269</v>
      </c>
      <c r="R39" s="18" t="s">
        <v>269</v>
      </c>
      <c r="S39" s="18" t="s">
        <v>269</v>
      </c>
      <c r="T39" s="21" t="s">
        <v>300</v>
      </c>
      <c r="U39" s="25"/>
      <c r="V39" s="18" t="s">
        <v>269</v>
      </c>
      <c r="W39" s="38"/>
      <c r="X39" s="19"/>
      <c r="Y39" s="20" t="s">
        <v>268</v>
      </c>
      <c r="Z39" s="19" t="s">
        <v>560</v>
      </c>
      <c r="AA39" s="19"/>
      <c r="AB39" s="19"/>
    </row>
    <row r="40" spans="2:28" x14ac:dyDescent="0.2">
      <c r="B40" s="30" t="s">
        <v>566</v>
      </c>
      <c r="C40" s="22">
        <v>31</v>
      </c>
      <c r="D40" s="30" t="s">
        <v>777</v>
      </c>
      <c r="E40" s="18" t="s">
        <v>269</v>
      </c>
      <c r="F40" s="18" t="s">
        <v>269</v>
      </c>
      <c r="G40" s="18" t="s">
        <v>269</v>
      </c>
      <c r="H40" s="18" t="s">
        <v>269</v>
      </c>
      <c r="I40" s="18" t="s">
        <v>269</v>
      </c>
      <c r="J40" s="18" t="s">
        <v>269</v>
      </c>
      <c r="K40" s="18" t="s">
        <v>269</v>
      </c>
      <c r="L40" s="18" t="s">
        <v>269</v>
      </c>
      <c r="M40" s="18" t="s">
        <v>269</v>
      </c>
      <c r="N40" s="18" t="s">
        <v>269</v>
      </c>
      <c r="O40" s="18" t="s">
        <v>269</v>
      </c>
      <c r="P40" s="18" t="s">
        <v>269</v>
      </c>
      <c r="Q40" s="18" t="s">
        <v>269</v>
      </c>
      <c r="R40" s="18" t="s">
        <v>269</v>
      </c>
      <c r="S40" s="18" t="s">
        <v>269</v>
      </c>
      <c r="T40" s="21" t="s">
        <v>301</v>
      </c>
      <c r="U40" s="25"/>
      <c r="V40" s="18" t="s">
        <v>269</v>
      </c>
      <c r="W40" s="38"/>
      <c r="X40" s="19"/>
      <c r="Y40" s="20" t="s">
        <v>268</v>
      </c>
      <c r="Z40" s="19" t="s">
        <v>560</v>
      </c>
      <c r="AA40" s="19"/>
      <c r="AB40" s="19"/>
    </row>
    <row r="41" spans="2:28" x14ac:dyDescent="0.2">
      <c r="B41" s="31" t="s">
        <v>260</v>
      </c>
      <c r="C41" s="17">
        <v>32</v>
      </c>
      <c r="D41" s="18" t="s">
        <v>269</v>
      </c>
      <c r="E41" s="18" t="s">
        <v>269</v>
      </c>
      <c r="F41" s="18" t="s">
        <v>269</v>
      </c>
      <c r="G41" s="18" t="s">
        <v>269</v>
      </c>
      <c r="H41" s="18" t="s">
        <v>269</v>
      </c>
      <c r="I41" s="18" t="s">
        <v>269</v>
      </c>
      <c r="J41" s="18" t="s">
        <v>269</v>
      </c>
      <c r="K41" s="18" t="s">
        <v>269</v>
      </c>
      <c r="L41" s="18" t="s">
        <v>269</v>
      </c>
      <c r="M41" s="18" t="s">
        <v>269</v>
      </c>
      <c r="N41" s="18" t="s">
        <v>269</v>
      </c>
      <c r="O41" s="18" t="s">
        <v>269</v>
      </c>
      <c r="P41" s="18" t="s">
        <v>269</v>
      </c>
      <c r="Q41" s="18" t="s">
        <v>269</v>
      </c>
      <c r="R41" s="18" t="s">
        <v>269</v>
      </c>
      <c r="S41" s="18" t="s">
        <v>269</v>
      </c>
      <c r="T41" s="18" t="s">
        <v>269</v>
      </c>
      <c r="U41" s="31" t="s">
        <v>260</v>
      </c>
      <c r="V41" s="18" t="s">
        <v>269</v>
      </c>
      <c r="W41" s="38"/>
      <c r="X41" s="19" t="s">
        <v>548</v>
      </c>
      <c r="Y41" s="20" t="s">
        <v>555</v>
      </c>
      <c r="Z41" s="20" t="s">
        <v>555</v>
      </c>
      <c r="AA41" s="19"/>
      <c r="AB41" s="19"/>
    </row>
    <row r="42" spans="2:28" x14ac:dyDescent="0.2">
      <c r="B42" s="16" t="s">
        <v>261</v>
      </c>
      <c r="C42" s="17">
        <v>33</v>
      </c>
      <c r="D42" s="18" t="s">
        <v>269</v>
      </c>
      <c r="E42" s="18" t="s">
        <v>269</v>
      </c>
      <c r="F42" s="18" t="s">
        <v>269</v>
      </c>
      <c r="G42" s="18" t="s">
        <v>269</v>
      </c>
      <c r="H42" s="18" t="s">
        <v>269</v>
      </c>
      <c r="I42" s="18" t="s">
        <v>269</v>
      </c>
      <c r="J42" s="18" t="s">
        <v>269</v>
      </c>
      <c r="K42" s="18" t="s">
        <v>269</v>
      </c>
      <c r="L42" s="18" t="s">
        <v>269</v>
      </c>
      <c r="M42" s="18" t="s">
        <v>269</v>
      </c>
      <c r="N42" s="18" t="s">
        <v>269</v>
      </c>
      <c r="O42" s="18" t="s">
        <v>269</v>
      </c>
      <c r="P42" s="18" t="s">
        <v>269</v>
      </c>
      <c r="Q42" s="18" t="s">
        <v>269</v>
      </c>
      <c r="R42" s="18" t="s">
        <v>269</v>
      </c>
      <c r="S42" s="18" t="s">
        <v>269</v>
      </c>
      <c r="T42" s="18" t="s">
        <v>269</v>
      </c>
      <c r="U42" s="16" t="s">
        <v>261</v>
      </c>
      <c r="V42" s="18" t="s">
        <v>269</v>
      </c>
      <c r="W42" s="38"/>
      <c r="X42" s="19" t="s">
        <v>550</v>
      </c>
      <c r="Y42" s="20" t="s">
        <v>555</v>
      </c>
      <c r="Z42" s="20" t="s">
        <v>555</v>
      </c>
      <c r="AA42" s="19"/>
      <c r="AB42" s="19"/>
    </row>
    <row r="43" spans="2:28" x14ac:dyDescent="0.2">
      <c r="B43" s="28" t="s">
        <v>262</v>
      </c>
      <c r="C43" s="17">
        <v>34</v>
      </c>
      <c r="D43" s="18" t="s">
        <v>269</v>
      </c>
      <c r="E43" s="18" t="s">
        <v>269</v>
      </c>
      <c r="F43" s="18" t="s">
        <v>269</v>
      </c>
      <c r="G43" s="18" t="s">
        <v>269</v>
      </c>
      <c r="H43" s="18" t="s">
        <v>269</v>
      </c>
      <c r="I43" s="18" t="s">
        <v>269</v>
      </c>
      <c r="J43" s="18" t="s">
        <v>269</v>
      </c>
      <c r="K43" s="18" t="s">
        <v>269</v>
      </c>
      <c r="L43" s="18" t="s">
        <v>269</v>
      </c>
      <c r="M43" s="18" t="s">
        <v>269</v>
      </c>
      <c r="N43" s="18" t="s">
        <v>269</v>
      </c>
      <c r="O43" s="18" t="s">
        <v>269</v>
      </c>
      <c r="P43" s="18" t="s">
        <v>269</v>
      </c>
      <c r="Q43" s="18" t="s">
        <v>269</v>
      </c>
      <c r="R43" s="18" t="s">
        <v>269</v>
      </c>
      <c r="S43" s="18" t="s">
        <v>269</v>
      </c>
      <c r="T43" s="18" t="s">
        <v>269</v>
      </c>
      <c r="U43" s="28" t="s">
        <v>262</v>
      </c>
      <c r="V43" s="18" t="s">
        <v>269</v>
      </c>
      <c r="W43" s="38"/>
      <c r="X43" s="19" t="s">
        <v>551</v>
      </c>
      <c r="Y43" s="20" t="s">
        <v>555</v>
      </c>
      <c r="Z43" s="20" t="s">
        <v>555</v>
      </c>
      <c r="AA43" s="19"/>
      <c r="AB43" s="19"/>
    </row>
    <row r="44" spans="2:28" x14ac:dyDescent="0.2">
      <c r="B44" s="31" t="s">
        <v>263</v>
      </c>
      <c r="C44" s="17">
        <v>35</v>
      </c>
      <c r="D44" s="18" t="s">
        <v>269</v>
      </c>
      <c r="E44" s="18" t="s">
        <v>269</v>
      </c>
      <c r="F44" s="18" t="s">
        <v>269</v>
      </c>
      <c r="G44" s="18" t="s">
        <v>269</v>
      </c>
      <c r="H44" s="18" t="s">
        <v>269</v>
      </c>
      <c r="I44" s="18" t="s">
        <v>269</v>
      </c>
      <c r="J44" s="18" t="s">
        <v>269</v>
      </c>
      <c r="K44" s="18" t="s">
        <v>269</v>
      </c>
      <c r="L44" s="18" t="s">
        <v>269</v>
      </c>
      <c r="M44" s="18" t="s">
        <v>269</v>
      </c>
      <c r="N44" s="18" t="s">
        <v>269</v>
      </c>
      <c r="O44" s="18" t="s">
        <v>269</v>
      </c>
      <c r="P44" s="18" t="s">
        <v>269</v>
      </c>
      <c r="Q44" s="18" t="s">
        <v>269</v>
      </c>
      <c r="R44" s="18" t="s">
        <v>269</v>
      </c>
      <c r="S44" s="18" t="s">
        <v>269</v>
      </c>
      <c r="T44" s="18" t="s">
        <v>269</v>
      </c>
      <c r="U44" s="31" t="s">
        <v>263</v>
      </c>
      <c r="V44" s="18" t="s">
        <v>269</v>
      </c>
      <c r="W44" s="38"/>
      <c r="X44" s="19" t="s">
        <v>549</v>
      </c>
      <c r="Y44" s="20" t="s">
        <v>555</v>
      </c>
      <c r="Z44" s="20" t="s">
        <v>555</v>
      </c>
      <c r="AA44" s="19"/>
      <c r="AB44" s="19"/>
    </row>
    <row r="45" spans="2:28" x14ac:dyDescent="0.2">
      <c r="B45" s="21" t="s">
        <v>142</v>
      </c>
      <c r="C45" s="22">
        <v>36</v>
      </c>
      <c r="D45" s="21" t="s">
        <v>142</v>
      </c>
      <c r="E45" s="109" t="s">
        <v>1025</v>
      </c>
      <c r="F45" s="109" t="s">
        <v>1026</v>
      </c>
      <c r="G45" s="109" t="s">
        <v>1027</v>
      </c>
      <c r="H45" s="109" t="s">
        <v>1028</v>
      </c>
      <c r="I45" s="18" t="s">
        <v>269</v>
      </c>
      <c r="J45" s="18" t="s">
        <v>269</v>
      </c>
      <c r="K45" s="18" t="s">
        <v>269</v>
      </c>
      <c r="L45" s="18" t="s">
        <v>269</v>
      </c>
      <c r="M45" s="18" t="s">
        <v>269</v>
      </c>
      <c r="N45" s="21" t="s">
        <v>98</v>
      </c>
      <c r="O45" s="21" t="s">
        <v>143</v>
      </c>
      <c r="P45" s="18" t="s">
        <v>269</v>
      </c>
      <c r="Q45" s="18" t="s">
        <v>269</v>
      </c>
      <c r="R45" s="18" t="s">
        <v>269</v>
      </c>
      <c r="S45" s="18" t="s">
        <v>269</v>
      </c>
      <c r="T45" s="21" t="s">
        <v>302</v>
      </c>
      <c r="U45" s="25"/>
      <c r="V45" s="33"/>
      <c r="W45" s="38"/>
      <c r="X45" s="19"/>
      <c r="Y45" s="20" t="s">
        <v>268</v>
      </c>
      <c r="Z45" s="19" t="s">
        <v>560</v>
      </c>
      <c r="AA45" s="19"/>
      <c r="AB45" s="19"/>
    </row>
    <row r="46" spans="2:28" x14ac:dyDescent="0.2">
      <c r="B46" s="21" t="s">
        <v>144</v>
      </c>
      <c r="C46" s="22">
        <v>37</v>
      </c>
      <c r="D46" s="21" t="s">
        <v>144</v>
      </c>
      <c r="E46" s="109" t="s">
        <v>1029</v>
      </c>
      <c r="F46" s="109" t="s">
        <v>1030</v>
      </c>
      <c r="G46" s="109" t="s">
        <v>1031</v>
      </c>
      <c r="H46" s="109" t="s">
        <v>1032</v>
      </c>
      <c r="I46" s="18" t="s">
        <v>269</v>
      </c>
      <c r="J46" s="18" t="s">
        <v>269</v>
      </c>
      <c r="K46" s="18" t="s">
        <v>269</v>
      </c>
      <c r="L46" s="18" t="s">
        <v>269</v>
      </c>
      <c r="M46" s="21" t="s">
        <v>145</v>
      </c>
      <c r="N46" s="21" t="s">
        <v>101</v>
      </c>
      <c r="O46" s="21" t="s">
        <v>146</v>
      </c>
      <c r="P46" s="18" t="s">
        <v>269</v>
      </c>
      <c r="Q46" s="18" t="s">
        <v>269</v>
      </c>
      <c r="R46" s="18" t="s">
        <v>269</v>
      </c>
      <c r="S46" s="18" t="s">
        <v>269</v>
      </c>
      <c r="T46" s="21" t="s">
        <v>303</v>
      </c>
      <c r="U46" s="25"/>
      <c r="V46" s="33"/>
      <c r="W46" s="38"/>
      <c r="X46" s="19"/>
      <c r="Y46" s="20" t="s">
        <v>268</v>
      </c>
      <c r="Z46" s="19" t="s">
        <v>560</v>
      </c>
      <c r="AA46" s="19"/>
      <c r="AB46" s="19"/>
    </row>
    <row r="47" spans="2:28" x14ac:dyDescent="0.2">
      <c r="B47" s="21" t="s">
        <v>147</v>
      </c>
      <c r="C47" s="22">
        <v>38</v>
      </c>
      <c r="D47" s="21" t="s">
        <v>147</v>
      </c>
      <c r="E47" s="109" t="s">
        <v>1033</v>
      </c>
      <c r="F47" s="109" t="s">
        <v>1034</v>
      </c>
      <c r="G47" s="109" t="s">
        <v>1035</v>
      </c>
      <c r="H47" s="110" t="s">
        <v>1036</v>
      </c>
      <c r="I47" s="21" t="s">
        <v>148</v>
      </c>
      <c r="J47" s="18" t="s">
        <v>269</v>
      </c>
      <c r="K47" s="18" t="s">
        <v>269</v>
      </c>
      <c r="L47" s="18" t="s">
        <v>269</v>
      </c>
      <c r="M47" s="21" t="s">
        <v>149</v>
      </c>
      <c r="N47" s="18" t="s">
        <v>269</v>
      </c>
      <c r="O47" s="18" t="s">
        <v>269</v>
      </c>
      <c r="P47" s="18" t="s">
        <v>269</v>
      </c>
      <c r="Q47" s="18" t="s">
        <v>269</v>
      </c>
      <c r="R47" s="18" t="s">
        <v>269</v>
      </c>
      <c r="S47" s="18" t="s">
        <v>269</v>
      </c>
      <c r="T47" s="21" t="s">
        <v>304</v>
      </c>
      <c r="U47" s="25"/>
      <c r="V47" s="33"/>
      <c r="W47" s="38"/>
      <c r="X47" s="19"/>
      <c r="Y47" s="20" t="s">
        <v>268</v>
      </c>
      <c r="Z47" s="19" t="s">
        <v>560</v>
      </c>
      <c r="AA47" s="19"/>
      <c r="AB47" s="19"/>
    </row>
    <row r="48" spans="2:28" x14ac:dyDescent="0.2">
      <c r="B48" s="21" t="s">
        <v>150</v>
      </c>
      <c r="C48" s="22">
        <v>39</v>
      </c>
      <c r="D48" s="21" t="s">
        <v>150</v>
      </c>
      <c r="E48" s="109" t="s">
        <v>1037</v>
      </c>
      <c r="F48" s="109" t="s">
        <v>1038</v>
      </c>
      <c r="G48" s="109" t="s">
        <v>1039</v>
      </c>
      <c r="H48" s="110" t="s">
        <v>1040</v>
      </c>
      <c r="I48" s="21" t="s">
        <v>151</v>
      </c>
      <c r="J48" s="18" t="s">
        <v>269</v>
      </c>
      <c r="K48" s="18" t="s">
        <v>269</v>
      </c>
      <c r="L48" s="18" t="s">
        <v>269</v>
      </c>
      <c r="M48" s="21" t="s">
        <v>152</v>
      </c>
      <c r="N48" s="18" t="s">
        <v>269</v>
      </c>
      <c r="O48" s="18" t="s">
        <v>269</v>
      </c>
      <c r="P48" s="18" t="s">
        <v>269</v>
      </c>
      <c r="Q48" s="18" t="s">
        <v>269</v>
      </c>
      <c r="R48" s="18" t="s">
        <v>269</v>
      </c>
      <c r="S48" s="18" t="s">
        <v>269</v>
      </c>
      <c r="T48" s="21" t="s">
        <v>305</v>
      </c>
      <c r="U48" s="25"/>
      <c r="V48" s="33"/>
      <c r="W48" s="38"/>
      <c r="X48" s="19"/>
      <c r="Y48" s="20" t="s">
        <v>268</v>
      </c>
      <c r="Z48" s="19" t="s">
        <v>560</v>
      </c>
      <c r="AA48" s="19"/>
      <c r="AB48" s="19"/>
    </row>
    <row r="49" spans="2:28" x14ac:dyDescent="0.2">
      <c r="B49" s="28" t="s">
        <v>363</v>
      </c>
      <c r="C49" s="17">
        <v>40</v>
      </c>
      <c r="D49" s="18" t="s">
        <v>269</v>
      </c>
      <c r="E49" s="18" t="s">
        <v>269</v>
      </c>
      <c r="F49" s="18" t="s">
        <v>269</v>
      </c>
      <c r="G49" s="18" t="s">
        <v>269</v>
      </c>
      <c r="H49" s="18" t="s">
        <v>269</v>
      </c>
      <c r="I49" s="18" t="s">
        <v>269</v>
      </c>
      <c r="J49" s="18" t="s">
        <v>269</v>
      </c>
      <c r="K49" s="18" t="s">
        <v>269</v>
      </c>
      <c r="L49" s="18" t="s">
        <v>269</v>
      </c>
      <c r="M49" s="18" t="s">
        <v>269</v>
      </c>
      <c r="N49" s="18" t="s">
        <v>269</v>
      </c>
      <c r="O49" s="18" t="s">
        <v>269</v>
      </c>
      <c r="P49" s="18" t="s">
        <v>269</v>
      </c>
      <c r="Q49" s="18" t="s">
        <v>269</v>
      </c>
      <c r="R49" s="18" t="s">
        <v>269</v>
      </c>
      <c r="S49" s="18" t="s">
        <v>269</v>
      </c>
      <c r="T49" s="18" t="s">
        <v>269</v>
      </c>
      <c r="U49" s="28" t="s">
        <v>363</v>
      </c>
      <c r="V49" s="18" t="s">
        <v>269</v>
      </c>
      <c r="W49" s="38"/>
      <c r="X49" s="19" t="s">
        <v>546</v>
      </c>
      <c r="Y49" s="20" t="s">
        <v>555</v>
      </c>
      <c r="Z49" s="20" t="s">
        <v>555</v>
      </c>
      <c r="AA49" s="19"/>
      <c r="AB49" s="19"/>
    </row>
    <row r="50" spans="2:28" x14ac:dyDescent="0.2">
      <c r="B50" s="16" t="s">
        <v>256</v>
      </c>
      <c r="C50" s="17">
        <v>41</v>
      </c>
      <c r="D50" s="18" t="s">
        <v>269</v>
      </c>
      <c r="E50" s="18" t="s">
        <v>269</v>
      </c>
      <c r="F50" s="18" t="s">
        <v>269</v>
      </c>
      <c r="G50" s="18" t="s">
        <v>269</v>
      </c>
      <c r="H50" s="18" t="s">
        <v>269</v>
      </c>
      <c r="I50" s="18" t="s">
        <v>269</v>
      </c>
      <c r="J50" s="18" t="s">
        <v>269</v>
      </c>
      <c r="K50" s="18" t="s">
        <v>269</v>
      </c>
      <c r="L50" s="18" t="s">
        <v>269</v>
      </c>
      <c r="M50" s="18" t="s">
        <v>269</v>
      </c>
      <c r="N50" s="18" t="s">
        <v>269</v>
      </c>
      <c r="O50" s="18" t="s">
        <v>269</v>
      </c>
      <c r="P50" s="18" t="s">
        <v>269</v>
      </c>
      <c r="Q50" s="18" t="s">
        <v>269</v>
      </c>
      <c r="R50" s="18" t="s">
        <v>269</v>
      </c>
      <c r="S50" s="18" t="s">
        <v>269</v>
      </c>
      <c r="T50" s="18" t="s">
        <v>269</v>
      </c>
      <c r="U50" s="16" t="s">
        <v>256</v>
      </c>
      <c r="V50" s="18" t="s">
        <v>269</v>
      </c>
      <c r="W50" s="38"/>
      <c r="X50" s="19" t="s">
        <v>545</v>
      </c>
      <c r="Y50" s="20" t="s">
        <v>555</v>
      </c>
      <c r="Z50" s="20" t="s">
        <v>555</v>
      </c>
      <c r="AA50" s="19"/>
      <c r="AB50" s="19"/>
    </row>
    <row r="51" spans="2:28" x14ac:dyDescent="0.2">
      <c r="B51" s="21" t="s">
        <v>159</v>
      </c>
      <c r="C51" s="22">
        <v>42</v>
      </c>
      <c r="D51" s="21" t="s">
        <v>159</v>
      </c>
      <c r="E51" s="109" t="s">
        <v>1057</v>
      </c>
      <c r="F51" s="109" t="s">
        <v>1058</v>
      </c>
      <c r="G51" s="109" t="s">
        <v>1059</v>
      </c>
      <c r="H51" s="110" t="s">
        <v>1060</v>
      </c>
      <c r="I51" s="21" t="s">
        <v>160</v>
      </c>
      <c r="J51" s="93" t="s">
        <v>672</v>
      </c>
      <c r="K51" s="18" t="s">
        <v>269</v>
      </c>
      <c r="L51" s="93" t="s">
        <v>673</v>
      </c>
      <c r="M51" s="18" t="s">
        <v>269</v>
      </c>
      <c r="N51" s="18" t="s">
        <v>269</v>
      </c>
      <c r="O51" s="18" t="s">
        <v>269</v>
      </c>
      <c r="P51" s="18" t="s">
        <v>269</v>
      </c>
      <c r="Q51" s="18" t="s">
        <v>269</v>
      </c>
      <c r="R51" s="18" t="s">
        <v>269</v>
      </c>
      <c r="S51" s="18" t="s">
        <v>269</v>
      </c>
      <c r="T51" s="21" t="s">
        <v>310</v>
      </c>
      <c r="U51" s="24"/>
      <c r="V51" s="33"/>
      <c r="W51" s="38" t="str">
        <f>_xlfn.IFS(AND(COUNTIF(U51,"SCB*")=1, 'PCH80'!G60&gt;=2), "See the Notice *2", TRUE, "")</f>
        <v/>
      </c>
      <c r="X51" s="19"/>
      <c r="Y51" s="20" t="s">
        <v>268</v>
      </c>
      <c r="Z51" s="19" t="s">
        <v>560</v>
      </c>
      <c r="AA51" s="19"/>
      <c r="AB51" s="19"/>
    </row>
    <row r="52" spans="2:28" x14ac:dyDescent="0.2">
      <c r="B52" s="21" t="s">
        <v>161</v>
      </c>
      <c r="C52" s="22">
        <v>43</v>
      </c>
      <c r="D52" s="21" t="s">
        <v>161</v>
      </c>
      <c r="E52" s="109" t="s">
        <v>1061</v>
      </c>
      <c r="F52" s="109" t="s">
        <v>1062</v>
      </c>
      <c r="G52" s="109" t="s">
        <v>1063</v>
      </c>
      <c r="H52" s="110" t="s">
        <v>1064</v>
      </c>
      <c r="I52" s="21" t="s">
        <v>162</v>
      </c>
      <c r="J52" s="93" t="s">
        <v>674</v>
      </c>
      <c r="K52" s="93" t="s">
        <v>675</v>
      </c>
      <c r="L52" s="93" t="s">
        <v>676</v>
      </c>
      <c r="M52" s="18" t="s">
        <v>269</v>
      </c>
      <c r="N52" s="18" t="s">
        <v>269</v>
      </c>
      <c r="O52" s="18" t="s">
        <v>269</v>
      </c>
      <c r="P52" s="18" t="s">
        <v>269</v>
      </c>
      <c r="Q52" s="18" t="s">
        <v>269</v>
      </c>
      <c r="R52" s="18" t="s">
        <v>269</v>
      </c>
      <c r="S52" s="18" t="s">
        <v>269</v>
      </c>
      <c r="T52" s="21" t="s">
        <v>311</v>
      </c>
      <c r="U52" s="25"/>
      <c r="V52" s="33"/>
      <c r="W52" s="38" t="str">
        <f>_xlfn.IFS(AND(COUNTIF(U52,"SCB*")=1, 'PCH80'!G60&gt;=2), "See the Notice *2", TRUE, "")</f>
        <v/>
      </c>
      <c r="X52" s="19"/>
      <c r="Y52" s="20" t="s">
        <v>268</v>
      </c>
      <c r="Z52" s="19" t="s">
        <v>560</v>
      </c>
      <c r="AA52" s="19"/>
      <c r="AB52" s="19"/>
    </row>
    <row r="53" spans="2:28" x14ac:dyDescent="0.2">
      <c r="B53" s="21" t="s">
        <v>163</v>
      </c>
      <c r="C53" s="22">
        <v>44</v>
      </c>
      <c r="D53" s="21" t="s">
        <v>163</v>
      </c>
      <c r="E53" s="109" t="s">
        <v>1065</v>
      </c>
      <c r="F53" s="109" t="s">
        <v>1066</v>
      </c>
      <c r="G53" s="109" t="s">
        <v>1067</v>
      </c>
      <c r="H53" s="110" t="s">
        <v>1068</v>
      </c>
      <c r="I53" s="21" t="s">
        <v>164</v>
      </c>
      <c r="J53" s="93" t="s">
        <v>677</v>
      </c>
      <c r="K53" s="93" t="s">
        <v>678</v>
      </c>
      <c r="L53" s="93" t="s">
        <v>679</v>
      </c>
      <c r="M53" s="18" t="s">
        <v>269</v>
      </c>
      <c r="N53" s="18" t="s">
        <v>269</v>
      </c>
      <c r="O53" s="18" t="s">
        <v>269</v>
      </c>
      <c r="P53" s="18" t="s">
        <v>269</v>
      </c>
      <c r="Q53" s="18" t="s">
        <v>269</v>
      </c>
      <c r="R53" s="18" t="s">
        <v>269</v>
      </c>
      <c r="S53" s="18" t="s">
        <v>269</v>
      </c>
      <c r="T53" s="21" t="s">
        <v>312</v>
      </c>
      <c r="U53" s="25"/>
      <c r="V53" s="33"/>
      <c r="W53" s="38" t="str">
        <f>_xlfn.IFS(AND(COUNTIF(U53,"SCB*")=1, 'PCH80'!G60&gt;=2), "See the Notice *2", TRUE, "")</f>
        <v/>
      </c>
      <c r="X53" s="19"/>
      <c r="Y53" s="20" t="s">
        <v>268</v>
      </c>
      <c r="Z53" s="19" t="s">
        <v>560</v>
      </c>
      <c r="AA53" s="19"/>
      <c r="AB53" s="19"/>
    </row>
    <row r="54" spans="2:28" x14ac:dyDescent="0.2">
      <c r="B54" s="21" t="s">
        <v>165</v>
      </c>
      <c r="C54" s="22">
        <v>45</v>
      </c>
      <c r="D54" s="21" t="s">
        <v>165</v>
      </c>
      <c r="E54" s="109" t="s">
        <v>1069</v>
      </c>
      <c r="F54" s="109" t="s">
        <v>1070</v>
      </c>
      <c r="G54" s="109" t="s">
        <v>1071</v>
      </c>
      <c r="H54" s="110" t="s">
        <v>1072</v>
      </c>
      <c r="I54" s="21" t="s">
        <v>166</v>
      </c>
      <c r="J54" s="93" t="s">
        <v>680</v>
      </c>
      <c r="K54" s="18" t="s">
        <v>269</v>
      </c>
      <c r="L54" s="93" t="s">
        <v>681</v>
      </c>
      <c r="M54" s="18" t="s">
        <v>269</v>
      </c>
      <c r="N54" s="18" t="s">
        <v>269</v>
      </c>
      <c r="O54" s="18" t="s">
        <v>269</v>
      </c>
      <c r="P54" s="18" t="s">
        <v>269</v>
      </c>
      <c r="Q54" s="18" t="s">
        <v>269</v>
      </c>
      <c r="R54" s="18" t="s">
        <v>269</v>
      </c>
      <c r="S54" s="18" t="s">
        <v>269</v>
      </c>
      <c r="T54" s="21" t="s">
        <v>313</v>
      </c>
      <c r="U54" s="25"/>
      <c r="V54" s="33"/>
      <c r="W54" s="38" t="str">
        <f>_xlfn.IFS(AND(COUNTIF(U54,"SCB*")=1, 'PCH80'!G60&gt;=2), "See the Notice *2", TRUE, "")</f>
        <v/>
      </c>
      <c r="X54" s="19"/>
      <c r="Y54" s="20" t="s">
        <v>268</v>
      </c>
      <c r="Z54" s="19" t="s">
        <v>560</v>
      </c>
      <c r="AA54" s="19"/>
      <c r="AB54" s="19"/>
    </row>
    <row r="55" spans="2:28" x14ac:dyDescent="0.2">
      <c r="B55" s="21" t="s">
        <v>167</v>
      </c>
      <c r="C55" s="22">
        <v>46</v>
      </c>
      <c r="D55" s="21" t="s">
        <v>167</v>
      </c>
      <c r="E55" s="109" t="s">
        <v>1182</v>
      </c>
      <c r="F55" s="109" t="s">
        <v>1074</v>
      </c>
      <c r="G55" s="109" t="s">
        <v>1075</v>
      </c>
      <c r="H55" s="109" t="s">
        <v>1076</v>
      </c>
      <c r="I55" s="18" t="s">
        <v>269</v>
      </c>
      <c r="J55" s="18" t="s">
        <v>269</v>
      </c>
      <c r="K55" s="18" t="s">
        <v>269</v>
      </c>
      <c r="L55" s="93" t="s">
        <v>682</v>
      </c>
      <c r="M55" s="18" t="s">
        <v>269</v>
      </c>
      <c r="N55" s="18" t="s">
        <v>269</v>
      </c>
      <c r="O55" s="18" t="s">
        <v>269</v>
      </c>
      <c r="P55" s="18" t="s">
        <v>269</v>
      </c>
      <c r="Q55" s="18" t="s">
        <v>269</v>
      </c>
      <c r="R55" s="18" t="s">
        <v>269</v>
      </c>
      <c r="S55" s="18" t="s">
        <v>269</v>
      </c>
      <c r="T55" s="21" t="s">
        <v>314</v>
      </c>
      <c r="U55" s="25"/>
      <c r="V55" s="33"/>
      <c r="W55" s="38" t="str">
        <f>_xlfn.IFS(AND(COUNTIF(U55,"SCB*")=1, 'PCH80'!G60&gt;=2), "See the Notice *2", TRUE, "")</f>
        <v/>
      </c>
      <c r="X55" s="19"/>
      <c r="Y55" s="20" t="s">
        <v>268</v>
      </c>
      <c r="Z55" s="19" t="s">
        <v>560</v>
      </c>
      <c r="AA55" s="19"/>
      <c r="AB55" s="19"/>
    </row>
    <row r="56" spans="2:28" x14ac:dyDescent="0.2">
      <c r="B56" s="21" t="s">
        <v>168</v>
      </c>
      <c r="C56" s="22">
        <v>47</v>
      </c>
      <c r="D56" s="21" t="s">
        <v>168</v>
      </c>
      <c r="E56" s="109" t="s">
        <v>1183</v>
      </c>
      <c r="F56" s="109" t="s">
        <v>1078</v>
      </c>
      <c r="G56" s="109" t="s">
        <v>1079</v>
      </c>
      <c r="H56" s="109" t="s">
        <v>1080</v>
      </c>
      <c r="I56" s="18" t="s">
        <v>269</v>
      </c>
      <c r="J56" s="18" t="s">
        <v>269</v>
      </c>
      <c r="K56" s="18" t="s">
        <v>269</v>
      </c>
      <c r="L56" s="93" t="s">
        <v>683</v>
      </c>
      <c r="M56" s="18" t="s">
        <v>269</v>
      </c>
      <c r="N56" s="18" t="s">
        <v>269</v>
      </c>
      <c r="O56" s="18" t="s">
        <v>269</v>
      </c>
      <c r="P56" s="18" t="s">
        <v>269</v>
      </c>
      <c r="Q56" s="18" t="s">
        <v>269</v>
      </c>
      <c r="R56" s="18" t="s">
        <v>269</v>
      </c>
      <c r="S56" s="18" t="s">
        <v>269</v>
      </c>
      <c r="T56" s="21" t="s">
        <v>315</v>
      </c>
      <c r="U56" s="25"/>
      <c r="V56" s="33"/>
      <c r="W56" s="38" t="str">
        <f>_xlfn.IFS(AND(COUNTIF(U56,"SCB*")=1, 'PCH80'!G60&gt;=2), "See the Notice *2", TRUE, "")</f>
        <v/>
      </c>
      <c r="X56" s="19"/>
      <c r="Y56" s="20" t="s">
        <v>268</v>
      </c>
      <c r="Z56" s="19" t="s">
        <v>560</v>
      </c>
      <c r="AA56" s="19"/>
      <c r="AB56" s="19"/>
    </row>
    <row r="57" spans="2:28" x14ac:dyDescent="0.2">
      <c r="B57" s="21" t="s">
        <v>169</v>
      </c>
      <c r="C57" s="22">
        <v>48</v>
      </c>
      <c r="D57" s="21" t="s">
        <v>169</v>
      </c>
      <c r="E57" s="109" t="s">
        <v>1184</v>
      </c>
      <c r="F57" s="109" t="s">
        <v>1082</v>
      </c>
      <c r="G57" s="109" t="s">
        <v>1083</v>
      </c>
      <c r="H57" s="109" t="s">
        <v>1084</v>
      </c>
      <c r="I57" s="18" t="s">
        <v>269</v>
      </c>
      <c r="J57" s="18" t="s">
        <v>269</v>
      </c>
      <c r="K57" s="18" t="s">
        <v>269</v>
      </c>
      <c r="L57" s="93" t="s">
        <v>684</v>
      </c>
      <c r="M57" s="18" t="s">
        <v>269</v>
      </c>
      <c r="N57" s="18" t="s">
        <v>269</v>
      </c>
      <c r="O57" s="21" t="s">
        <v>170</v>
      </c>
      <c r="P57" s="18" t="s">
        <v>269</v>
      </c>
      <c r="Q57" s="18" t="s">
        <v>269</v>
      </c>
      <c r="R57" s="18" t="s">
        <v>269</v>
      </c>
      <c r="S57" s="18" t="s">
        <v>269</v>
      </c>
      <c r="T57" s="21" t="s">
        <v>316</v>
      </c>
      <c r="U57" s="25"/>
      <c r="V57" s="33"/>
      <c r="W57" s="38" t="str">
        <f>_xlfn.IFS(AND(COUNTIF(U57,"SCB*")=1, 'PCH80'!G60&gt;=2), "See the Notice *2", TRUE, "")</f>
        <v/>
      </c>
      <c r="X57" s="19"/>
      <c r="Y57" s="20" t="s">
        <v>268</v>
      </c>
      <c r="Z57" s="19" t="s">
        <v>560</v>
      </c>
      <c r="AA57" s="19"/>
      <c r="AB57" s="19"/>
    </row>
    <row r="58" spans="2:28" x14ac:dyDescent="0.2">
      <c r="B58" s="21" t="s">
        <v>171</v>
      </c>
      <c r="C58" s="22">
        <v>49</v>
      </c>
      <c r="D58" s="21" t="s">
        <v>171</v>
      </c>
      <c r="E58" s="109" t="s">
        <v>1185</v>
      </c>
      <c r="F58" s="109" t="s">
        <v>1086</v>
      </c>
      <c r="G58" s="109" t="s">
        <v>1087</v>
      </c>
      <c r="H58" s="109" t="s">
        <v>1088</v>
      </c>
      <c r="I58" s="18" t="s">
        <v>269</v>
      </c>
      <c r="J58" s="18" t="s">
        <v>269</v>
      </c>
      <c r="K58" s="18" t="s">
        <v>269</v>
      </c>
      <c r="L58" s="18" t="s">
        <v>269</v>
      </c>
      <c r="M58" s="18" t="s">
        <v>269</v>
      </c>
      <c r="N58" s="18" t="s">
        <v>269</v>
      </c>
      <c r="O58" s="21" t="s">
        <v>172</v>
      </c>
      <c r="P58" s="18" t="s">
        <v>269</v>
      </c>
      <c r="Q58" s="18" t="s">
        <v>269</v>
      </c>
      <c r="R58" s="18" t="s">
        <v>269</v>
      </c>
      <c r="S58" s="18" t="s">
        <v>269</v>
      </c>
      <c r="T58" s="21" t="s">
        <v>317</v>
      </c>
      <c r="U58" s="25"/>
      <c r="V58" s="33"/>
      <c r="W58" s="38"/>
      <c r="X58" s="19"/>
      <c r="Y58" s="20" t="s">
        <v>268</v>
      </c>
      <c r="Z58" s="19" t="s">
        <v>560</v>
      </c>
      <c r="AA58" s="19"/>
      <c r="AB58" s="19"/>
    </row>
    <row r="59" spans="2:28" x14ac:dyDescent="0.2">
      <c r="B59" s="21" t="s">
        <v>173</v>
      </c>
      <c r="C59" s="22">
        <v>50</v>
      </c>
      <c r="D59" s="21" t="s">
        <v>173</v>
      </c>
      <c r="E59" s="109" t="s">
        <v>1089</v>
      </c>
      <c r="F59" s="109" t="s">
        <v>1090</v>
      </c>
      <c r="G59" s="109" t="s">
        <v>1091</v>
      </c>
      <c r="H59" s="109" t="s">
        <v>1092</v>
      </c>
      <c r="I59" s="18" t="s">
        <v>269</v>
      </c>
      <c r="J59" s="93" t="s">
        <v>685</v>
      </c>
      <c r="K59" s="18" t="s">
        <v>269</v>
      </c>
      <c r="L59" s="93" t="s">
        <v>686</v>
      </c>
      <c r="M59" s="18" t="s">
        <v>269</v>
      </c>
      <c r="N59" s="21" t="s">
        <v>174</v>
      </c>
      <c r="O59" s="18" t="s">
        <v>269</v>
      </c>
      <c r="P59" s="18" t="s">
        <v>269</v>
      </c>
      <c r="Q59" s="18" t="s">
        <v>269</v>
      </c>
      <c r="R59" s="18" t="s">
        <v>269</v>
      </c>
      <c r="S59" s="18" t="s">
        <v>269</v>
      </c>
      <c r="T59" s="21" t="s">
        <v>318</v>
      </c>
      <c r="U59" s="25"/>
      <c r="V59" s="33"/>
      <c r="W59" s="38" t="str">
        <f>_xlfn.IFS(AND(COUNTIF(U59,"SCB*")=1, 'PCH80'!F60&gt;=2), "See the Notice *2", TRUE, "")</f>
        <v/>
      </c>
      <c r="X59" s="19"/>
      <c r="Y59" s="20" t="s">
        <v>268</v>
      </c>
      <c r="Z59" s="19" t="s">
        <v>560</v>
      </c>
      <c r="AA59" s="19"/>
      <c r="AB59" s="19"/>
    </row>
    <row r="60" spans="2:28" x14ac:dyDescent="0.2">
      <c r="B60" s="21" t="s">
        <v>175</v>
      </c>
      <c r="C60" s="22">
        <v>51</v>
      </c>
      <c r="D60" s="21" t="s">
        <v>175</v>
      </c>
      <c r="E60" s="109" t="s">
        <v>1093</v>
      </c>
      <c r="F60" s="109" t="s">
        <v>1094</v>
      </c>
      <c r="G60" s="109" t="s">
        <v>1095</v>
      </c>
      <c r="H60" s="109" t="s">
        <v>1096</v>
      </c>
      <c r="I60" s="18" t="s">
        <v>269</v>
      </c>
      <c r="J60" s="93" t="s">
        <v>687</v>
      </c>
      <c r="K60" s="93" t="s">
        <v>688</v>
      </c>
      <c r="L60" s="93" t="s">
        <v>689</v>
      </c>
      <c r="M60" s="18" t="s">
        <v>269</v>
      </c>
      <c r="N60" s="21" t="s">
        <v>176</v>
      </c>
      <c r="O60" s="18" t="s">
        <v>269</v>
      </c>
      <c r="P60" s="18" t="s">
        <v>269</v>
      </c>
      <c r="Q60" s="18" t="s">
        <v>269</v>
      </c>
      <c r="R60" s="18" t="s">
        <v>269</v>
      </c>
      <c r="S60" s="18" t="s">
        <v>269</v>
      </c>
      <c r="T60" s="21" t="s">
        <v>319</v>
      </c>
      <c r="U60" s="24"/>
      <c r="V60" s="33"/>
      <c r="W60" s="38" t="str">
        <f>_xlfn.IFS(AND(COUNTIF(U60,"SCB*")=1, 'PCH80'!F60&gt;=2), "See the Notice *2", TRUE, "")</f>
        <v/>
      </c>
      <c r="X60" s="19"/>
      <c r="Y60" s="20" t="s">
        <v>268</v>
      </c>
      <c r="Z60" s="19" t="s">
        <v>560</v>
      </c>
      <c r="AA60" s="19"/>
      <c r="AB60" s="19"/>
    </row>
    <row r="61" spans="2:28" x14ac:dyDescent="0.2">
      <c r="B61" s="21" t="s">
        <v>205</v>
      </c>
      <c r="C61" s="22">
        <v>52</v>
      </c>
      <c r="D61" s="21" t="s">
        <v>205</v>
      </c>
      <c r="E61" s="111" t="s">
        <v>951</v>
      </c>
      <c r="F61" s="111" t="s">
        <v>948</v>
      </c>
      <c r="G61" s="111" t="s">
        <v>953</v>
      </c>
      <c r="H61" s="112" t="s">
        <v>950</v>
      </c>
      <c r="I61" s="113" t="s">
        <v>1151</v>
      </c>
      <c r="J61" s="93" t="s">
        <v>709</v>
      </c>
      <c r="K61" s="18" t="s">
        <v>269</v>
      </c>
      <c r="L61" s="93" t="s">
        <v>710</v>
      </c>
      <c r="M61" s="18" t="s">
        <v>269</v>
      </c>
      <c r="N61" s="18" t="s">
        <v>269</v>
      </c>
      <c r="O61" s="18" t="s">
        <v>269</v>
      </c>
      <c r="P61" s="21" t="s">
        <v>206</v>
      </c>
      <c r="Q61" s="18" t="s">
        <v>269</v>
      </c>
      <c r="R61" s="18" t="s">
        <v>269</v>
      </c>
      <c r="S61" s="18" t="s">
        <v>269</v>
      </c>
      <c r="T61" s="21" t="s">
        <v>330</v>
      </c>
      <c r="U61" s="24"/>
      <c r="V61" s="18" t="s">
        <v>269</v>
      </c>
      <c r="W61" s="38" t="str">
        <f>_xlfn.IFS(AND(COUNTIF(U61,"SCB*")=1, 'PCH80'!E60&gt;=2), "See the Notice *2", TRUE, "")</f>
        <v/>
      </c>
      <c r="X61" s="19"/>
      <c r="Y61" s="20" t="s">
        <v>268</v>
      </c>
      <c r="Z61" s="19" t="s">
        <v>561</v>
      </c>
      <c r="AA61" s="19"/>
      <c r="AB61" s="19"/>
    </row>
    <row r="62" spans="2:28" x14ac:dyDescent="0.2">
      <c r="B62" s="21" t="s">
        <v>207</v>
      </c>
      <c r="C62" s="22">
        <v>53</v>
      </c>
      <c r="D62" s="21" t="s">
        <v>207</v>
      </c>
      <c r="E62" s="112" t="s">
        <v>957</v>
      </c>
      <c r="F62" s="112" t="s">
        <v>955</v>
      </c>
      <c r="G62" s="112" t="s">
        <v>958</v>
      </c>
      <c r="H62" s="112" t="s">
        <v>956</v>
      </c>
      <c r="I62" s="113" t="s">
        <v>1152</v>
      </c>
      <c r="J62" s="93" t="s">
        <v>711</v>
      </c>
      <c r="K62" s="93" t="s">
        <v>712</v>
      </c>
      <c r="L62" s="93" t="s">
        <v>713</v>
      </c>
      <c r="M62" s="18" t="s">
        <v>269</v>
      </c>
      <c r="N62" s="18" t="s">
        <v>269</v>
      </c>
      <c r="O62" s="18" t="s">
        <v>269</v>
      </c>
      <c r="P62" s="21" t="s">
        <v>208</v>
      </c>
      <c r="Q62" s="18" t="s">
        <v>269</v>
      </c>
      <c r="R62" s="18" t="s">
        <v>269</v>
      </c>
      <c r="S62" s="18" t="s">
        <v>269</v>
      </c>
      <c r="T62" s="21" t="s">
        <v>331</v>
      </c>
      <c r="U62" s="24"/>
      <c r="V62" s="18" t="s">
        <v>269</v>
      </c>
      <c r="W62" s="38" t="str">
        <f>_xlfn.IFS(AND(COUNTIF(U62,"SCB*")=1, 'PCH80'!E60&gt;=2), "See the Notice *2", TRUE, "")</f>
        <v/>
      </c>
      <c r="X62" s="19"/>
      <c r="Y62" s="20" t="s">
        <v>268</v>
      </c>
      <c r="Z62" s="19" t="s">
        <v>561</v>
      </c>
      <c r="AA62" s="19"/>
      <c r="AB62" s="19"/>
    </row>
    <row r="63" spans="2:28" x14ac:dyDescent="0.2">
      <c r="B63" s="21" t="s">
        <v>209</v>
      </c>
      <c r="C63" s="22">
        <v>54</v>
      </c>
      <c r="D63" s="21" t="s">
        <v>209</v>
      </c>
      <c r="E63" s="112" t="s">
        <v>1132</v>
      </c>
      <c r="F63" s="112" t="s">
        <v>959</v>
      </c>
      <c r="G63" s="112" t="s">
        <v>1114</v>
      </c>
      <c r="H63" s="112" t="s">
        <v>960</v>
      </c>
      <c r="I63" s="113" t="s">
        <v>1153</v>
      </c>
      <c r="J63" s="93" t="s">
        <v>714</v>
      </c>
      <c r="K63" s="93" t="s">
        <v>715</v>
      </c>
      <c r="L63" s="93" t="s">
        <v>716</v>
      </c>
      <c r="M63" s="18" t="s">
        <v>269</v>
      </c>
      <c r="N63" s="18" t="s">
        <v>269</v>
      </c>
      <c r="O63" s="18" t="s">
        <v>269</v>
      </c>
      <c r="P63" s="18" t="s">
        <v>269</v>
      </c>
      <c r="Q63" s="18" t="s">
        <v>269</v>
      </c>
      <c r="R63" s="18" t="s">
        <v>269</v>
      </c>
      <c r="S63" s="18" t="s">
        <v>269</v>
      </c>
      <c r="T63" s="21" t="s">
        <v>332</v>
      </c>
      <c r="U63" s="24"/>
      <c r="V63" s="18" t="s">
        <v>269</v>
      </c>
      <c r="W63" s="38" t="str">
        <f>_xlfn.IFS(AND(COUNTIF(U63,"SCB*")=1, 'PCH80'!E60&gt;=2), "See the Notice *2", TRUE, "")</f>
        <v/>
      </c>
      <c r="X63" s="19"/>
      <c r="Y63" s="20" t="s">
        <v>268</v>
      </c>
      <c r="Z63" s="19" t="s">
        <v>561</v>
      </c>
      <c r="AA63" s="19"/>
      <c r="AB63" s="19"/>
    </row>
    <row r="64" spans="2:28" x14ac:dyDescent="0.2">
      <c r="B64" s="21" t="s">
        <v>210</v>
      </c>
      <c r="C64" s="22">
        <v>55</v>
      </c>
      <c r="D64" s="21" t="s">
        <v>210</v>
      </c>
      <c r="E64" s="112" t="s">
        <v>1131</v>
      </c>
      <c r="F64" s="112" t="s">
        <v>1116</v>
      </c>
      <c r="G64" s="112" t="s">
        <v>1111</v>
      </c>
      <c r="H64" s="112" t="s">
        <v>1118</v>
      </c>
      <c r="I64" s="113" t="s">
        <v>1154</v>
      </c>
      <c r="J64" s="93" t="s">
        <v>717</v>
      </c>
      <c r="K64" s="18" t="s">
        <v>269</v>
      </c>
      <c r="L64" s="93" t="s">
        <v>718</v>
      </c>
      <c r="M64" s="18" t="s">
        <v>269</v>
      </c>
      <c r="N64" s="18" t="s">
        <v>269</v>
      </c>
      <c r="O64" s="18" t="s">
        <v>269</v>
      </c>
      <c r="P64" s="32" t="s">
        <v>1167</v>
      </c>
      <c r="Q64" s="18" t="s">
        <v>269</v>
      </c>
      <c r="R64" s="18" t="s">
        <v>269</v>
      </c>
      <c r="S64" s="18" t="s">
        <v>269</v>
      </c>
      <c r="T64" s="21" t="s">
        <v>333</v>
      </c>
      <c r="U64" s="24"/>
      <c r="V64" s="18" t="s">
        <v>269</v>
      </c>
      <c r="W64" s="38" t="str">
        <f>_xlfn.IFS(AND(COUNTIF(U64,"SCB*")=1, 'PCH80'!E60&gt;=2), "See the Notice *2", TRUE, "")</f>
        <v/>
      </c>
      <c r="X64" s="19"/>
      <c r="Y64" s="20" t="s">
        <v>268</v>
      </c>
      <c r="Z64" s="19" t="s">
        <v>561</v>
      </c>
      <c r="AA64" s="19"/>
      <c r="AB64" s="19"/>
    </row>
    <row r="65" spans="2:28" x14ac:dyDescent="0.2">
      <c r="B65" s="21" t="s">
        <v>211</v>
      </c>
      <c r="C65" s="22">
        <v>56</v>
      </c>
      <c r="D65" s="21" t="s">
        <v>211</v>
      </c>
      <c r="E65" s="112" t="s">
        <v>1130</v>
      </c>
      <c r="F65" s="112" t="s">
        <v>1113</v>
      </c>
      <c r="G65" s="112" t="s">
        <v>1108</v>
      </c>
      <c r="H65" s="112" t="s">
        <v>1115</v>
      </c>
      <c r="I65" s="32" t="s">
        <v>1155</v>
      </c>
      <c r="J65" s="18" t="s">
        <v>269</v>
      </c>
      <c r="K65" s="18" t="s">
        <v>269</v>
      </c>
      <c r="L65" s="93" t="s">
        <v>719</v>
      </c>
      <c r="M65" s="18" t="s">
        <v>269</v>
      </c>
      <c r="N65" s="18" t="s">
        <v>269</v>
      </c>
      <c r="O65" s="18" t="s">
        <v>269</v>
      </c>
      <c r="P65" s="32" t="s">
        <v>1168</v>
      </c>
      <c r="Q65" s="18" t="s">
        <v>269</v>
      </c>
      <c r="R65" s="18" t="s">
        <v>269</v>
      </c>
      <c r="S65" s="18" t="s">
        <v>269</v>
      </c>
      <c r="T65" s="21" t="s">
        <v>334</v>
      </c>
      <c r="U65" s="24"/>
      <c r="V65" s="18" t="s">
        <v>269</v>
      </c>
      <c r="W65" s="38" t="str">
        <f>_xlfn.IFS(AND(COUNTIF(U65,"SCB*")=1, 'PCH80'!E60&gt;=2), "See the Notice *2", TRUE, "")</f>
        <v/>
      </c>
      <c r="X65" s="19"/>
      <c r="Y65" s="20" t="s">
        <v>268</v>
      </c>
      <c r="Z65" s="19" t="s">
        <v>561</v>
      </c>
      <c r="AA65" s="19"/>
      <c r="AB65" s="19"/>
    </row>
    <row r="66" spans="2:28" x14ac:dyDescent="0.2">
      <c r="B66" s="21" t="s">
        <v>212</v>
      </c>
      <c r="C66" s="22">
        <v>57</v>
      </c>
      <c r="D66" s="21" t="s">
        <v>212</v>
      </c>
      <c r="E66" s="112" t="s">
        <v>1129</v>
      </c>
      <c r="F66" s="112" t="s">
        <v>1110</v>
      </c>
      <c r="G66" s="112" t="s">
        <v>1105</v>
      </c>
      <c r="H66" s="112" t="s">
        <v>1112</v>
      </c>
      <c r="I66" s="32" t="s">
        <v>1156</v>
      </c>
      <c r="J66" s="18" t="s">
        <v>269</v>
      </c>
      <c r="K66" s="18" t="s">
        <v>269</v>
      </c>
      <c r="L66" s="93" t="s">
        <v>720</v>
      </c>
      <c r="M66" s="18" t="s">
        <v>269</v>
      </c>
      <c r="N66" s="18" t="s">
        <v>269</v>
      </c>
      <c r="O66" s="18" t="s">
        <v>269</v>
      </c>
      <c r="P66" s="32" t="s">
        <v>1169</v>
      </c>
      <c r="Q66" s="18" t="s">
        <v>269</v>
      </c>
      <c r="R66" s="18" t="s">
        <v>269</v>
      </c>
      <c r="S66" s="18" t="s">
        <v>269</v>
      </c>
      <c r="T66" s="21" t="s">
        <v>335</v>
      </c>
      <c r="U66" s="24"/>
      <c r="V66" s="18" t="s">
        <v>269</v>
      </c>
      <c r="W66" s="38" t="str">
        <f>_xlfn.IFS(AND(COUNTIF(U66,"SCB*")=1, 'PCH80'!E60&gt;=2), "See the Notice *2", TRUE, "")</f>
        <v/>
      </c>
      <c r="X66" s="19"/>
      <c r="Y66" s="20" t="s">
        <v>268</v>
      </c>
      <c r="Z66" s="19" t="s">
        <v>561</v>
      </c>
      <c r="AA66" s="19"/>
      <c r="AB66" s="19"/>
    </row>
    <row r="67" spans="2:28" x14ac:dyDescent="0.2">
      <c r="B67" s="21" t="s">
        <v>213</v>
      </c>
      <c r="C67" s="22">
        <v>58</v>
      </c>
      <c r="D67" s="21" t="s">
        <v>213</v>
      </c>
      <c r="E67" s="112" t="s">
        <v>1128</v>
      </c>
      <c r="F67" s="112" t="s">
        <v>1107</v>
      </c>
      <c r="G67" s="112" t="s">
        <v>1102</v>
      </c>
      <c r="H67" s="112" t="s">
        <v>1109</v>
      </c>
      <c r="I67" s="32" t="s">
        <v>1157</v>
      </c>
      <c r="J67" s="18" t="s">
        <v>269</v>
      </c>
      <c r="K67" s="18" t="s">
        <v>269</v>
      </c>
      <c r="L67" s="93" t="s">
        <v>721</v>
      </c>
      <c r="M67" s="18" t="s">
        <v>269</v>
      </c>
      <c r="N67" s="21" t="s">
        <v>214</v>
      </c>
      <c r="O67" s="18" t="s">
        <v>269</v>
      </c>
      <c r="P67" s="32" t="s">
        <v>1170</v>
      </c>
      <c r="Q67" s="18" t="s">
        <v>269</v>
      </c>
      <c r="R67" s="18" t="s">
        <v>269</v>
      </c>
      <c r="S67" s="18" t="s">
        <v>269</v>
      </c>
      <c r="T67" s="21" t="s">
        <v>336</v>
      </c>
      <c r="U67" s="24"/>
      <c r="V67" s="18" t="s">
        <v>269</v>
      </c>
      <c r="W67" s="38" t="str">
        <f>_xlfn.IFS(AND(COUNTIF(U67,"SCB*")=1, 'PCH80'!E60&gt;=2), "See the Notice *2", TRUE, "")</f>
        <v/>
      </c>
      <c r="X67" s="19"/>
      <c r="Y67" s="20" t="s">
        <v>268</v>
      </c>
      <c r="Z67" s="19" t="s">
        <v>561</v>
      </c>
      <c r="AA67" s="19"/>
      <c r="AB67" s="19"/>
    </row>
    <row r="68" spans="2:28" x14ac:dyDescent="0.2">
      <c r="B68" s="21" t="s">
        <v>215</v>
      </c>
      <c r="C68" s="22">
        <v>59</v>
      </c>
      <c r="D68" s="21" t="s">
        <v>215</v>
      </c>
      <c r="E68" s="112" t="s">
        <v>1097</v>
      </c>
      <c r="F68" s="112" t="s">
        <v>1104</v>
      </c>
      <c r="G68" s="112" t="s">
        <v>1099</v>
      </c>
      <c r="H68" s="112" t="s">
        <v>1106</v>
      </c>
      <c r="I68" s="32" t="s">
        <v>1158</v>
      </c>
      <c r="J68" s="18" t="s">
        <v>269</v>
      </c>
      <c r="K68" s="18" t="s">
        <v>269</v>
      </c>
      <c r="L68" s="18" t="s">
        <v>269</v>
      </c>
      <c r="M68" s="18" t="s">
        <v>269</v>
      </c>
      <c r="N68" s="21" t="s">
        <v>216</v>
      </c>
      <c r="O68" s="18" t="s">
        <v>269</v>
      </c>
      <c r="P68" s="32" t="s">
        <v>1171</v>
      </c>
      <c r="Q68" s="18" t="s">
        <v>269</v>
      </c>
      <c r="R68" s="18" t="s">
        <v>269</v>
      </c>
      <c r="S68" s="18" t="s">
        <v>269</v>
      </c>
      <c r="T68" s="21" t="s">
        <v>337</v>
      </c>
      <c r="U68" s="24"/>
      <c r="V68" s="18" t="s">
        <v>269</v>
      </c>
      <c r="W68" s="38"/>
      <c r="X68" s="19"/>
      <c r="Y68" s="20" t="s">
        <v>268</v>
      </c>
      <c r="Z68" s="19" t="s">
        <v>561</v>
      </c>
      <c r="AA68" s="19"/>
      <c r="AB68" s="19"/>
    </row>
    <row r="69" spans="2:28" x14ac:dyDescent="0.2">
      <c r="B69" s="28" t="s">
        <v>257</v>
      </c>
      <c r="C69" s="17">
        <v>60</v>
      </c>
      <c r="D69" s="18" t="s">
        <v>269</v>
      </c>
      <c r="E69" s="18" t="s">
        <v>269</v>
      </c>
      <c r="F69" s="18" t="s">
        <v>269</v>
      </c>
      <c r="G69" s="18" t="s">
        <v>269</v>
      </c>
      <c r="H69" s="18" t="s">
        <v>269</v>
      </c>
      <c r="I69" s="18" t="s">
        <v>269</v>
      </c>
      <c r="J69" s="18" t="s">
        <v>269</v>
      </c>
      <c r="K69" s="18" t="s">
        <v>269</v>
      </c>
      <c r="L69" s="18" t="s">
        <v>269</v>
      </c>
      <c r="M69" s="18" t="s">
        <v>269</v>
      </c>
      <c r="N69" s="18" t="s">
        <v>269</v>
      </c>
      <c r="O69" s="18" t="s">
        <v>269</v>
      </c>
      <c r="P69" s="18" t="s">
        <v>269</v>
      </c>
      <c r="Q69" s="18" t="s">
        <v>269</v>
      </c>
      <c r="R69" s="18" t="s">
        <v>269</v>
      </c>
      <c r="S69" s="18" t="s">
        <v>269</v>
      </c>
      <c r="T69" s="18" t="s">
        <v>269</v>
      </c>
      <c r="U69" s="28" t="s">
        <v>257</v>
      </c>
      <c r="V69" s="18" t="s">
        <v>269</v>
      </c>
      <c r="W69" s="38"/>
      <c r="X69" s="19" t="s">
        <v>544</v>
      </c>
      <c r="Y69" s="20" t="s">
        <v>555</v>
      </c>
      <c r="Z69" s="20" t="s">
        <v>555</v>
      </c>
      <c r="AA69" s="19"/>
      <c r="AB69" s="19"/>
    </row>
    <row r="70" spans="2:28" x14ac:dyDescent="0.2">
      <c r="B70" s="16" t="s">
        <v>256</v>
      </c>
      <c r="C70" s="17">
        <v>61</v>
      </c>
      <c r="D70" s="18" t="s">
        <v>269</v>
      </c>
      <c r="E70" s="18" t="s">
        <v>269</v>
      </c>
      <c r="F70" s="18" t="s">
        <v>269</v>
      </c>
      <c r="G70" s="18" t="s">
        <v>269</v>
      </c>
      <c r="H70" s="18" t="s">
        <v>269</v>
      </c>
      <c r="I70" s="18" t="s">
        <v>269</v>
      </c>
      <c r="J70" s="18" t="s">
        <v>269</v>
      </c>
      <c r="K70" s="18" t="s">
        <v>269</v>
      </c>
      <c r="L70" s="18" t="s">
        <v>269</v>
      </c>
      <c r="M70" s="18" t="s">
        <v>269</v>
      </c>
      <c r="N70" s="18" t="s">
        <v>269</v>
      </c>
      <c r="O70" s="18" t="s">
        <v>269</v>
      </c>
      <c r="P70" s="18" t="s">
        <v>269</v>
      </c>
      <c r="Q70" s="18" t="s">
        <v>269</v>
      </c>
      <c r="R70" s="18" t="s">
        <v>269</v>
      </c>
      <c r="S70" s="18" t="s">
        <v>269</v>
      </c>
      <c r="T70" s="18" t="s">
        <v>269</v>
      </c>
      <c r="U70" s="16" t="s">
        <v>256</v>
      </c>
      <c r="V70" s="18" t="s">
        <v>269</v>
      </c>
      <c r="W70" s="38"/>
      <c r="X70" s="19" t="s">
        <v>545</v>
      </c>
      <c r="Y70" s="20" t="s">
        <v>555</v>
      </c>
      <c r="Z70" s="20" t="s">
        <v>555</v>
      </c>
      <c r="AA70" s="19"/>
      <c r="AB70" s="19"/>
    </row>
    <row r="71" spans="2:28" x14ac:dyDescent="0.2">
      <c r="B71" s="21" t="s">
        <v>217</v>
      </c>
      <c r="C71" s="22">
        <v>62</v>
      </c>
      <c r="D71" s="21" t="s">
        <v>217</v>
      </c>
      <c r="E71" s="112" t="s">
        <v>915</v>
      </c>
      <c r="F71" s="112" t="s">
        <v>1101</v>
      </c>
      <c r="G71" s="112" t="s">
        <v>917</v>
      </c>
      <c r="H71" s="112" t="s">
        <v>1103</v>
      </c>
      <c r="I71" s="114" t="s">
        <v>1159</v>
      </c>
      <c r="J71" s="93" t="s">
        <v>722</v>
      </c>
      <c r="K71" s="18" t="s">
        <v>269</v>
      </c>
      <c r="L71" s="93" t="s">
        <v>723</v>
      </c>
      <c r="M71" s="18" t="s">
        <v>269</v>
      </c>
      <c r="N71" s="18" t="s">
        <v>269</v>
      </c>
      <c r="O71" s="18" t="s">
        <v>269</v>
      </c>
      <c r="P71" s="21" t="s">
        <v>218</v>
      </c>
      <c r="Q71" s="18" t="s">
        <v>269</v>
      </c>
      <c r="R71" s="18" t="s">
        <v>269</v>
      </c>
      <c r="S71" s="18" t="s">
        <v>269</v>
      </c>
      <c r="T71" s="18" t="s">
        <v>269</v>
      </c>
      <c r="U71" s="24"/>
      <c r="V71" s="18" t="s">
        <v>269</v>
      </c>
      <c r="W71" s="38" t="str">
        <f>_xlfn.IFS(AND(COUNTIF(U71,"SCB*")=1, 'PCH80'!F60&gt;=2), "See the Notice *2", TRUE, "")</f>
        <v/>
      </c>
      <c r="X71" s="19"/>
      <c r="Y71" s="20" t="s">
        <v>268</v>
      </c>
      <c r="Z71" s="19" t="s">
        <v>561</v>
      </c>
      <c r="AA71" s="19"/>
      <c r="AB71" s="19"/>
    </row>
    <row r="72" spans="2:28" x14ac:dyDescent="0.2">
      <c r="B72" s="21" t="s">
        <v>219</v>
      </c>
      <c r="C72" s="22">
        <v>63</v>
      </c>
      <c r="D72" s="21" t="s">
        <v>219</v>
      </c>
      <c r="E72" s="112" t="s">
        <v>985</v>
      </c>
      <c r="F72" s="112" t="s">
        <v>920</v>
      </c>
      <c r="G72" s="112" t="s">
        <v>987</v>
      </c>
      <c r="H72" s="112" t="s">
        <v>922</v>
      </c>
      <c r="I72" s="114" t="s">
        <v>1160</v>
      </c>
      <c r="J72" s="93" t="s">
        <v>724</v>
      </c>
      <c r="K72" s="93" t="s">
        <v>725</v>
      </c>
      <c r="L72" s="93" t="s">
        <v>726</v>
      </c>
      <c r="M72" s="18" t="s">
        <v>269</v>
      </c>
      <c r="N72" s="18" t="s">
        <v>269</v>
      </c>
      <c r="O72" s="18" t="s">
        <v>269</v>
      </c>
      <c r="P72" s="21" t="s">
        <v>220</v>
      </c>
      <c r="Q72" s="18" t="s">
        <v>269</v>
      </c>
      <c r="R72" s="18" t="s">
        <v>269</v>
      </c>
      <c r="S72" s="18" t="s">
        <v>269</v>
      </c>
      <c r="T72" s="18" t="s">
        <v>269</v>
      </c>
      <c r="U72" s="24"/>
      <c r="V72" s="18" t="s">
        <v>269</v>
      </c>
      <c r="W72" s="38" t="str">
        <f>_xlfn.IFS(AND(COUNTIF(U72,"SCB*")=1, 'PCH80'!F60&gt;=2), "See the Notice *2", TRUE, "")</f>
        <v/>
      </c>
      <c r="X72" s="19"/>
      <c r="Y72" s="20" t="s">
        <v>268</v>
      </c>
      <c r="Z72" s="19" t="s">
        <v>561</v>
      </c>
      <c r="AA72" s="19"/>
      <c r="AB72" s="19"/>
    </row>
    <row r="73" spans="2:28" x14ac:dyDescent="0.2">
      <c r="B73" s="21" t="s">
        <v>234</v>
      </c>
      <c r="C73" s="22">
        <v>64</v>
      </c>
      <c r="D73" s="21" t="s">
        <v>234</v>
      </c>
      <c r="E73" s="112" t="s">
        <v>1049</v>
      </c>
      <c r="F73" s="112" t="s">
        <v>1058</v>
      </c>
      <c r="G73" s="112" t="s">
        <v>1051</v>
      </c>
      <c r="H73" s="112" t="s">
        <v>1060</v>
      </c>
      <c r="I73" s="18" t="s">
        <v>269</v>
      </c>
      <c r="J73" s="18" t="s">
        <v>269</v>
      </c>
      <c r="K73" s="18" t="s">
        <v>269</v>
      </c>
      <c r="L73" s="93" t="s">
        <v>745</v>
      </c>
      <c r="M73" s="18" t="s">
        <v>269</v>
      </c>
      <c r="N73" s="18" t="s">
        <v>269</v>
      </c>
      <c r="O73" s="18" t="s">
        <v>269</v>
      </c>
      <c r="P73" s="18" t="s">
        <v>269</v>
      </c>
      <c r="Q73" s="18" t="s">
        <v>269</v>
      </c>
      <c r="R73" s="18" t="s">
        <v>269</v>
      </c>
      <c r="S73" s="18" t="s">
        <v>269</v>
      </c>
      <c r="T73" s="21" t="s">
        <v>353</v>
      </c>
      <c r="U73" s="24"/>
      <c r="V73" s="18" t="s">
        <v>269</v>
      </c>
      <c r="W73" s="38" t="str">
        <f>_xlfn.IFS(AND(COUNTIF(U73,"SCB*")=1, 'PCH80'!E60&gt;=2), "See the Notice *2", TRUE, "")</f>
        <v/>
      </c>
      <c r="X73" s="19"/>
      <c r="Y73" s="20" t="s">
        <v>268</v>
      </c>
      <c r="Z73" s="19" t="s">
        <v>561</v>
      </c>
      <c r="AA73" s="19"/>
      <c r="AB73" s="19"/>
    </row>
    <row r="74" spans="2:28" x14ac:dyDescent="0.2">
      <c r="B74" s="21" t="s">
        <v>568</v>
      </c>
      <c r="C74" s="22">
        <v>65</v>
      </c>
      <c r="D74" s="21" t="s">
        <v>771</v>
      </c>
      <c r="E74" s="112" t="s">
        <v>1045</v>
      </c>
      <c r="F74" s="112" t="s">
        <v>1054</v>
      </c>
      <c r="G74" s="112" t="s">
        <v>1047</v>
      </c>
      <c r="H74" s="112" t="s">
        <v>1056</v>
      </c>
      <c r="I74" s="18" t="s">
        <v>269</v>
      </c>
      <c r="J74" s="18" t="s">
        <v>269</v>
      </c>
      <c r="K74" s="18" t="s">
        <v>269</v>
      </c>
      <c r="L74" s="18" t="s">
        <v>269</v>
      </c>
      <c r="M74" s="18" t="s">
        <v>269</v>
      </c>
      <c r="N74" s="18" t="s">
        <v>269</v>
      </c>
      <c r="O74" s="18" t="s">
        <v>269</v>
      </c>
      <c r="P74" s="18" t="s">
        <v>269</v>
      </c>
      <c r="Q74" s="18" t="s">
        <v>269</v>
      </c>
      <c r="R74" s="18" t="s">
        <v>269</v>
      </c>
      <c r="S74" s="18" t="s">
        <v>269</v>
      </c>
      <c r="T74" s="21" t="s">
        <v>354</v>
      </c>
      <c r="U74" s="24"/>
      <c r="V74" s="18" t="s">
        <v>269</v>
      </c>
      <c r="W74" s="38"/>
      <c r="X74" s="19"/>
      <c r="Y74" s="20" t="s">
        <v>268</v>
      </c>
      <c r="Z74" s="19" t="s">
        <v>561</v>
      </c>
      <c r="AA74" s="19"/>
      <c r="AB74" s="19"/>
    </row>
    <row r="75" spans="2:28" x14ac:dyDescent="0.2">
      <c r="B75" s="21" t="s">
        <v>569</v>
      </c>
      <c r="C75" s="22">
        <v>66</v>
      </c>
      <c r="D75" s="21" t="s">
        <v>772</v>
      </c>
      <c r="E75" s="112" t="s">
        <v>1041</v>
      </c>
      <c r="F75" s="112" t="s">
        <v>1050</v>
      </c>
      <c r="G75" s="112" t="s">
        <v>1043</v>
      </c>
      <c r="H75" s="112" t="s">
        <v>1052</v>
      </c>
      <c r="I75" s="18" t="s">
        <v>269</v>
      </c>
      <c r="J75" s="18" t="s">
        <v>269</v>
      </c>
      <c r="K75" s="18" t="s">
        <v>269</v>
      </c>
      <c r="L75" s="18" t="s">
        <v>269</v>
      </c>
      <c r="M75" s="18" t="s">
        <v>269</v>
      </c>
      <c r="N75" s="18" t="s">
        <v>269</v>
      </c>
      <c r="O75" s="21" t="s">
        <v>235</v>
      </c>
      <c r="P75" s="21" t="s">
        <v>62</v>
      </c>
      <c r="Q75" s="18" t="s">
        <v>269</v>
      </c>
      <c r="R75" s="18" t="s">
        <v>269</v>
      </c>
      <c r="S75" s="18" t="s">
        <v>269</v>
      </c>
      <c r="T75" s="21" t="s">
        <v>355</v>
      </c>
      <c r="U75" s="24"/>
      <c r="V75" s="18" t="s">
        <v>269</v>
      </c>
      <c r="W75" s="38"/>
      <c r="X75" s="19"/>
      <c r="Y75" s="20" t="s">
        <v>268</v>
      </c>
      <c r="Z75" s="19" t="s">
        <v>561</v>
      </c>
      <c r="AA75" s="19"/>
      <c r="AB75" s="19"/>
    </row>
    <row r="76" spans="2:28" x14ac:dyDescent="0.2">
      <c r="B76" s="21" t="s">
        <v>570</v>
      </c>
      <c r="C76" s="22">
        <v>67</v>
      </c>
      <c r="D76" s="21" t="s">
        <v>773</v>
      </c>
      <c r="E76" s="112" t="s">
        <v>1037</v>
      </c>
      <c r="F76" s="112" t="s">
        <v>1046</v>
      </c>
      <c r="G76" s="112" t="s">
        <v>1039</v>
      </c>
      <c r="H76" s="112" t="s">
        <v>1048</v>
      </c>
      <c r="I76" s="18" t="s">
        <v>269</v>
      </c>
      <c r="J76" s="18" t="s">
        <v>269</v>
      </c>
      <c r="K76" s="18" t="s">
        <v>269</v>
      </c>
      <c r="L76" s="18" t="s">
        <v>269</v>
      </c>
      <c r="M76" s="18" t="s">
        <v>269</v>
      </c>
      <c r="N76" s="18" t="s">
        <v>269</v>
      </c>
      <c r="O76" s="18" t="s">
        <v>269</v>
      </c>
      <c r="P76" s="18" t="s">
        <v>269</v>
      </c>
      <c r="Q76" s="18" t="s">
        <v>269</v>
      </c>
      <c r="R76" s="18" t="s">
        <v>269</v>
      </c>
      <c r="S76" s="18" t="s">
        <v>269</v>
      </c>
      <c r="T76" s="21" t="s">
        <v>356</v>
      </c>
      <c r="U76" s="24"/>
      <c r="V76" s="18" t="s">
        <v>269</v>
      </c>
      <c r="W76" s="38"/>
      <c r="X76" s="19"/>
      <c r="Y76" s="20" t="s">
        <v>268</v>
      </c>
      <c r="Z76" s="19" t="s">
        <v>561</v>
      </c>
      <c r="AA76" s="19"/>
      <c r="AB76" s="19"/>
    </row>
    <row r="77" spans="2:28" x14ac:dyDescent="0.2">
      <c r="B77" s="34" t="s">
        <v>264</v>
      </c>
      <c r="C77" s="17">
        <v>68</v>
      </c>
      <c r="D77" s="34" t="s">
        <v>264</v>
      </c>
      <c r="E77" s="18" t="s">
        <v>269</v>
      </c>
      <c r="F77" s="18" t="s">
        <v>269</v>
      </c>
      <c r="G77" s="18" t="s">
        <v>269</v>
      </c>
      <c r="H77" s="18" t="s">
        <v>269</v>
      </c>
      <c r="I77" s="18" t="s">
        <v>269</v>
      </c>
      <c r="J77" s="18" t="s">
        <v>269</v>
      </c>
      <c r="K77" s="18" t="s">
        <v>269</v>
      </c>
      <c r="L77" s="18" t="s">
        <v>269</v>
      </c>
      <c r="M77" s="18" t="s">
        <v>269</v>
      </c>
      <c r="N77" s="18" t="s">
        <v>269</v>
      </c>
      <c r="O77" s="18" t="s">
        <v>269</v>
      </c>
      <c r="P77" s="18" t="s">
        <v>269</v>
      </c>
      <c r="Q77" s="18" t="s">
        <v>269</v>
      </c>
      <c r="R77" s="18" t="s">
        <v>269</v>
      </c>
      <c r="S77" s="18" t="s">
        <v>269</v>
      </c>
      <c r="T77" s="18" t="s">
        <v>269</v>
      </c>
      <c r="U77" s="34" t="s">
        <v>264</v>
      </c>
      <c r="V77" s="18" t="s">
        <v>269</v>
      </c>
      <c r="W77" s="38"/>
      <c r="X77" s="19" t="s">
        <v>552</v>
      </c>
      <c r="Y77" s="20" t="s">
        <v>555</v>
      </c>
      <c r="Z77" s="20" t="s">
        <v>555</v>
      </c>
      <c r="AA77" s="19"/>
      <c r="AB77" s="19"/>
    </row>
    <row r="78" spans="2:28" x14ac:dyDescent="0.2">
      <c r="B78" s="28" t="s">
        <v>257</v>
      </c>
      <c r="C78" s="17">
        <v>69</v>
      </c>
      <c r="D78" s="18" t="s">
        <v>269</v>
      </c>
      <c r="E78" s="18" t="s">
        <v>269</v>
      </c>
      <c r="F78" s="18" t="s">
        <v>269</v>
      </c>
      <c r="G78" s="18" t="s">
        <v>269</v>
      </c>
      <c r="H78" s="18" t="s">
        <v>269</v>
      </c>
      <c r="I78" s="18" t="s">
        <v>269</v>
      </c>
      <c r="J78" s="18" t="s">
        <v>269</v>
      </c>
      <c r="K78" s="18" t="s">
        <v>269</v>
      </c>
      <c r="L78" s="18" t="s">
        <v>269</v>
      </c>
      <c r="M78" s="18" t="s">
        <v>269</v>
      </c>
      <c r="N78" s="18" t="s">
        <v>269</v>
      </c>
      <c r="O78" s="18" t="s">
        <v>269</v>
      </c>
      <c r="P78" s="18" t="s">
        <v>269</v>
      </c>
      <c r="Q78" s="18" t="s">
        <v>269</v>
      </c>
      <c r="R78" s="18" t="s">
        <v>269</v>
      </c>
      <c r="S78" s="18" t="s">
        <v>269</v>
      </c>
      <c r="T78" s="18" t="s">
        <v>269</v>
      </c>
      <c r="U78" s="28" t="s">
        <v>257</v>
      </c>
      <c r="V78" s="18" t="s">
        <v>269</v>
      </c>
      <c r="W78" s="38"/>
      <c r="X78" s="19" t="s">
        <v>544</v>
      </c>
      <c r="Y78" s="20" t="s">
        <v>555</v>
      </c>
      <c r="Z78" s="20" t="s">
        <v>555</v>
      </c>
      <c r="AA78" s="19"/>
      <c r="AB78" s="19"/>
    </row>
    <row r="79" spans="2:28" x14ac:dyDescent="0.2">
      <c r="B79" s="16" t="s">
        <v>256</v>
      </c>
      <c r="C79" s="17">
        <v>70</v>
      </c>
      <c r="D79" s="18" t="s">
        <v>269</v>
      </c>
      <c r="E79" s="18" t="s">
        <v>269</v>
      </c>
      <c r="F79" s="18" t="s">
        <v>269</v>
      </c>
      <c r="G79" s="18" t="s">
        <v>269</v>
      </c>
      <c r="H79" s="18" t="s">
        <v>269</v>
      </c>
      <c r="I79" s="18" t="s">
        <v>269</v>
      </c>
      <c r="J79" s="18" t="s">
        <v>269</v>
      </c>
      <c r="K79" s="18" t="s">
        <v>269</v>
      </c>
      <c r="L79" s="18" t="s">
        <v>269</v>
      </c>
      <c r="M79" s="18" t="s">
        <v>269</v>
      </c>
      <c r="N79" s="18" t="s">
        <v>269</v>
      </c>
      <c r="O79" s="18" t="s">
        <v>269</v>
      </c>
      <c r="P79" s="18" t="s">
        <v>269</v>
      </c>
      <c r="Q79" s="18" t="s">
        <v>269</v>
      </c>
      <c r="R79" s="18" t="s">
        <v>269</v>
      </c>
      <c r="S79" s="18" t="s">
        <v>269</v>
      </c>
      <c r="T79" s="18" t="s">
        <v>269</v>
      </c>
      <c r="U79" s="16" t="s">
        <v>256</v>
      </c>
      <c r="V79" s="18" t="s">
        <v>269</v>
      </c>
      <c r="W79" s="38"/>
      <c r="X79" s="19" t="s">
        <v>545</v>
      </c>
      <c r="Y79" s="20" t="s">
        <v>555</v>
      </c>
      <c r="Z79" s="20" t="s">
        <v>555</v>
      </c>
      <c r="AA79" s="19"/>
      <c r="AB79" s="19"/>
    </row>
    <row r="80" spans="2:28" x14ac:dyDescent="0.2">
      <c r="B80" s="16" t="s">
        <v>256</v>
      </c>
      <c r="C80" s="17">
        <v>71</v>
      </c>
      <c r="D80" s="18" t="s">
        <v>269</v>
      </c>
      <c r="E80" s="18" t="s">
        <v>269</v>
      </c>
      <c r="F80" s="18" t="s">
        <v>269</v>
      </c>
      <c r="G80" s="18" t="s">
        <v>269</v>
      </c>
      <c r="H80" s="18" t="s">
        <v>269</v>
      </c>
      <c r="I80" s="18" t="s">
        <v>269</v>
      </c>
      <c r="J80" s="18" t="s">
        <v>269</v>
      </c>
      <c r="K80" s="18" t="s">
        <v>269</v>
      </c>
      <c r="L80" s="18" t="s">
        <v>269</v>
      </c>
      <c r="M80" s="18" t="s">
        <v>269</v>
      </c>
      <c r="N80" s="18" t="s">
        <v>269</v>
      </c>
      <c r="O80" s="18" t="s">
        <v>269</v>
      </c>
      <c r="P80" s="18" t="s">
        <v>269</v>
      </c>
      <c r="Q80" s="18" t="s">
        <v>269</v>
      </c>
      <c r="R80" s="18" t="s">
        <v>269</v>
      </c>
      <c r="S80" s="18" t="s">
        <v>269</v>
      </c>
      <c r="T80" s="18" t="s">
        <v>269</v>
      </c>
      <c r="U80" s="16" t="s">
        <v>256</v>
      </c>
      <c r="V80" s="18" t="s">
        <v>269</v>
      </c>
      <c r="W80" s="38"/>
      <c r="X80" s="19" t="s">
        <v>545</v>
      </c>
      <c r="Y80" s="20" t="s">
        <v>555</v>
      </c>
      <c r="Z80" s="20" t="s">
        <v>555</v>
      </c>
      <c r="AA80" s="19"/>
      <c r="AB80" s="19"/>
    </row>
    <row r="81" spans="2:28" x14ac:dyDescent="0.2">
      <c r="B81" s="28" t="s">
        <v>259</v>
      </c>
      <c r="C81" s="17">
        <v>72</v>
      </c>
      <c r="D81" s="18" t="s">
        <v>269</v>
      </c>
      <c r="E81" s="18" t="s">
        <v>269</v>
      </c>
      <c r="F81" s="18" t="s">
        <v>269</v>
      </c>
      <c r="G81" s="18" t="s">
        <v>269</v>
      </c>
      <c r="H81" s="18" t="s">
        <v>269</v>
      </c>
      <c r="I81" s="18" t="s">
        <v>269</v>
      </c>
      <c r="J81" s="18" t="s">
        <v>269</v>
      </c>
      <c r="K81" s="18" t="s">
        <v>269</v>
      </c>
      <c r="L81" s="18" t="s">
        <v>269</v>
      </c>
      <c r="M81" s="18" t="s">
        <v>269</v>
      </c>
      <c r="N81" s="18" t="s">
        <v>269</v>
      </c>
      <c r="O81" s="18" t="s">
        <v>269</v>
      </c>
      <c r="P81" s="18" t="s">
        <v>269</v>
      </c>
      <c r="Q81" s="18" t="s">
        <v>269</v>
      </c>
      <c r="R81" s="18" t="s">
        <v>269</v>
      </c>
      <c r="S81" s="18" t="s">
        <v>269</v>
      </c>
      <c r="T81" s="18" t="s">
        <v>269</v>
      </c>
      <c r="U81" s="28" t="s">
        <v>259</v>
      </c>
      <c r="V81" s="18" t="s">
        <v>269</v>
      </c>
      <c r="W81" s="38"/>
      <c r="X81" s="19" t="s">
        <v>547</v>
      </c>
      <c r="Y81" s="20" t="s">
        <v>555</v>
      </c>
      <c r="Z81" s="20" t="s">
        <v>555</v>
      </c>
      <c r="AA81" s="19"/>
      <c r="AB81" s="19"/>
    </row>
    <row r="82" spans="2:28" x14ac:dyDescent="0.2">
      <c r="B82" s="21" t="s">
        <v>237</v>
      </c>
      <c r="C82" s="22">
        <v>73</v>
      </c>
      <c r="D82" s="21" t="s">
        <v>237</v>
      </c>
      <c r="E82" s="112" t="s">
        <v>1017</v>
      </c>
      <c r="F82" s="112" t="s">
        <v>1026</v>
      </c>
      <c r="G82" s="112" t="s">
        <v>1019</v>
      </c>
      <c r="H82" s="112" t="s">
        <v>1028</v>
      </c>
      <c r="I82" s="18" t="s">
        <v>269</v>
      </c>
      <c r="J82" s="93" t="s">
        <v>746</v>
      </c>
      <c r="K82" s="18" t="s">
        <v>269</v>
      </c>
      <c r="L82" s="93" t="s">
        <v>747</v>
      </c>
      <c r="M82" s="18" t="s">
        <v>269</v>
      </c>
      <c r="N82" s="21" t="s">
        <v>194</v>
      </c>
      <c r="O82" s="18" t="s">
        <v>269</v>
      </c>
      <c r="P82" s="32" t="s">
        <v>1172</v>
      </c>
      <c r="Q82" s="18" t="s">
        <v>269</v>
      </c>
      <c r="R82" s="18" t="s">
        <v>269</v>
      </c>
      <c r="S82" s="18" t="s">
        <v>269</v>
      </c>
      <c r="T82" s="18" t="s">
        <v>269</v>
      </c>
      <c r="U82" s="24"/>
      <c r="V82" s="18" t="s">
        <v>269</v>
      </c>
      <c r="W82" s="38" t="str">
        <f>_xlfn.IFS(AND(COUNTIF(U82,"SCB*")=1, 'PCH80'!J60&gt;=2), "See the Notice *2", TRUE, "")</f>
        <v/>
      </c>
      <c r="X82" s="19"/>
      <c r="Y82" s="20" t="s">
        <v>268</v>
      </c>
      <c r="Z82" s="19" t="s">
        <v>561</v>
      </c>
      <c r="AA82" s="19"/>
      <c r="AB82" s="19"/>
    </row>
    <row r="83" spans="2:28" x14ac:dyDescent="0.2">
      <c r="B83" s="21" t="s">
        <v>238</v>
      </c>
      <c r="C83" s="22">
        <v>74</v>
      </c>
      <c r="D83" s="21" t="s">
        <v>238</v>
      </c>
      <c r="E83" s="112" t="s">
        <v>1013</v>
      </c>
      <c r="F83" s="112" t="s">
        <v>1022</v>
      </c>
      <c r="G83" s="112" t="s">
        <v>1015</v>
      </c>
      <c r="H83" s="112" t="s">
        <v>1024</v>
      </c>
      <c r="I83" s="18" t="s">
        <v>269</v>
      </c>
      <c r="J83" s="93" t="s">
        <v>748</v>
      </c>
      <c r="K83" s="93" t="s">
        <v>749</v>
      </c>
      <c r="L83" s="93" t="s">
        <v>750</v>
      </c>
      <c r="M83" s="18" t="s">
        <v>269</v>
      </c>
      <c r="N83" s="21" t="s">
        <v>196</v>
      </c>
      <c r="O83" s="18" t="s">
        <v>269</v>
      </c>
      <c r="P83" s="32" t="s">
        <v>1173</v>
      </c>
      <c r="Q83" s="18" t="s">
        <v>269</v>
      </c>
      <c r="R83" s="18" t="s">
        <v>269</v>
      </c>
      <c r="S83" s="18" t="s">
        <v>269</v>
      </c>
      <c r="T83" s="18" t="s">
        <v>269</v>
      </c>
      <c r="U83" s="24"/>
      <c r="V83" s="18" t="s">
        <v>269</v>
      </c>
      <c r="W83" s="38" t="str">
        <f>_xlfn.IFS(AND(COUNTIF(U83,"SCB*")=1, 'PCH80'!J60&gt;=2), "See the Notice *2", TRUE, "")</f>
        <v/>
      </c>
      <c r="X83" s="19"/>
      <c r="Y83" s="20" t="s">
        <v>268</v>
      </c>
      <c r="Z83" s="19" t="s">
        <v>561</v>
      </c>
      <c r="AA83" s="19"/>
      <c r="AB83" s="19"/>
    </row>
    <row r="84" spans="2:28" x14ac:dyDescent="0.2">
      <c r="B84" s="21" t="s">
        <v>248</v>
      </c>
      <c r="C84" s="22">
        <v>75</v>
      </c>
      <c r="D84" s="21" t="s">
        <v>248</v>
      </c>
      <c r="E84" s="112" t="s">
        <v>1081</v>
      </c>
      <c r="F84" s="112" t="s">
        <v>1078</v>
      </c>
      <c r="G84" s="112" t="s">
        <v>1083</v>
      </c>
      <c r="H84" s="112" t="s">
        <v>1080</v>
      </c>
      <c r="I84" s="18" t="s">
        <v>269</v>
      </c>
      <c r="J84" s="93" t="s">
        <v>766</v>
      </c>
      <c r="K84" s="18" t="s">
        <v>269</v>
      </c>
      <c r="L84" s="97" t="s">
        <v>767</v>
      </c>
      <c r="M84" s="18" t="s">
        <v>269</v>
      </c>
      <c r="N84" s="18" t="s">
        <v>269</v>
      </c>
      <c r="O84" s="21" t="s">
        <v>249</v>
      </c>
      <c r="P84" s="21" t="s">
        <v>220</v>
      </c>
      <c r="Q84" s="18" t="s">
        <v>269</v>
      </c>
      <c r="R84" s="18" t="s">
        <v>269</v>
      </c>
      <c r="S84" s="18" t="s">
        <v>269</v>
      </c>
      <c r="T84" s="18" t="s">
        <v>269</v>
      </c>
      <c r="U84" s="24"/>
      <c r="V84" s="18" t="s">
        <v>269</v>
      </c>
      <c r="W84" s="38" t="str">
        <f>_xlfn.IFS(AND(COUNTIF(U84,"SCB*")=1, 'PCH80'!K60&gt;=2), "See the Notice *2", TRUE, "")</f>
        <v/>
      </c>
      <c r="X84" s="19"/>
      <c r="Y84" s="20" t="s">
        <v>268</v>
      </c>
      <c r="Z84" s="19" t="s">
        <v>561</v>
      </c>
      <c r="AA84" s="19"/>
      <c r="AB84" s="19"/>
    </row>
    <row r="85" spans="2:28" x14ac:dyDescent="0.2">
      <c r="B85" s="21" t="s">
        <v>250</v>
      </c>
      <c r="C85" s="22">
        <v>76</v>
      </c>
      <c r="D85" s="21" t="s">
        <v>250</v>
      </c>
      <c r="E85" s="112" t="s">
        <v>981</v>
      </c>
      <c r="F85" s="112" t="s">
        <v>1086</v>
      </c>
      <c r="G85" s="112" t="s">
        <v>983</v>
      </c>
      <c r="H85" s="112" t="s">
        <v>1088</v>
      </c>
      <c r="I85" s="18" t="s">
        <v>269</v>
      </c>
      <c r="J85" s="18" t="s">
        <v>269</v>
      </c>
      <c r="K85" s="18" t="s">
        <v>269</v>
      </c>
      <c r="L85" s="93" t="s">
        <v>768</v>
      </c>
      <c r="M85" s="18" t="s">
        <v>269</v>
      </c>
      <c r="N85" s="18" t="s">
        <v>269</v>
      </c>
      <c r="O85" s="21" t="s">
        <v>251</v>
      </c>
      <c r="P85" s="21" t="s">
        <v>60</v>
      </c>
      <c r="Q85" s="18" t="s">
        <v>269</v>
      </c>
      <c r="R85" s="21" t="s">
        <v>339</v>
      </c>
      <c r="S85" s="18" t="s">
        <v>269</v>
      </c>
      <c r="T85" s="18" t="s">
        <v>269</v>
      </c>
      <c r="U85" s="24"/>
      <c r="V85" s="18" t="s">
        <v>269</v>
      </c>
      <c r="W85" s="38" t="str">
        <f>_xlfn.IFS(AND(COUNTIF(U85,"SCB*")=1, 'PCH80'!K60&gt;=2), "See the Notice *2", TRUE, "")</f>
        <v/>
      </c>
      <c r="X85" s="19"/>
      <c r="Y85" s="20" t="s">
        <v>268</v>
      </c>
      <c r="Z85" s="19" t="s">
        <v>561</v>
      </c>
      <c r="AA85" s="19"/>
      <c r="AB85" s="19"/>
    </row>
    <row r="86" spans="2:28" x14ac:dyDescent="0.2">
      <c r="B86" s="21" t="s">
        <v>252</v>
      </c>
      <c r="C86" s="22">
        <v>77</v>
      </c>
      <c r="D86" s="21" t="s">
        <v>252</v>
      </c>
      <c r="E86" s="112" t="s">
        <v>977</v>
      </c>
      <c r="F86" s="112" t="s">
        <v>986</v>
      </c>
      <c r="G86" s="112" t="s">
        <v>979</v>
      </c>
      <c r="H86" s="112" t="s">
        <v>988</v>
      </c>
      <c r="I86" s="18" t="s">
        <v>269</v>
      </c>
      <c r="J86" s="18" t="s">
        <v>269</v>
      </c>
      <c r="K86" s="18" t="s">
        <v>269</v>
      </c>
      <c r="L86" s="93" t="s">
        <v>769</v>
      </c>
      <c r="M86" s="18" t="s">
        <v>269</v>
      </c>
      <c r="N86" s="18" t="s">
        <v>269</v>
      </c>
      <c r="O86" s="18" t="s">
        <v>269</v>
      </c>
      <c r="P86" s="18" t="s">
        <v>269</v>
      </c>
      <c r="Q86" s="18" t="s">
        <v>269</v>
      </c>
      <c r="R86" s="21" t="s">
        <v>340</v>
      </c>
      <c r="S86" s="18" t="s">
        <v>269</v>
      </c>
      <c r="T86" s="18" t="s">
        <v>269</v>
      </c>
      <c r="U86" s="24"/>
      <c r="V86" s="18" t="s">
        <v>269</v>
      </c>
      <c r="W86" s="38" t="str">
        <f>_xlfn.IFS(AND(COUNTIF(U86,"SCB*")=1, 'PCH80'!K60&gt;=2), "See the Notice *2", TRUE, "")</f>
        <v/>
      </c>
      <c r="X86" s="19"/>
      <c r="Y86" s="20" t="s">
        <v>268</v>
      </c>
      <c r="Z86" s="19" t="s">
        <v>561</v>
      </c>
      <c r="AA86" s="19"/>
      <c r="AB86" s="19"/>
    </row>
    <row r="87" spans="2:28" x14ac:dyDescent="0.2">
      <c r="B87" s="21" t="s">
        <v>253</v>
      </c>
      <c r="C87" s="22">
        <v>78</v>
      </c>
      <c r="D87" s="21" t="s">
        <v>253</v>
      </c>
      <c r="E87" s="112" t="s">
        <v>975</v>
      </c>
      <c r="F87" s="112" t="s">
        <v>982</v>
      </c>
      <c r="G87" s="112" t="s">
        <v>976</v>
      </c>
      <c r="H87" s="112" t="s">
        <v>984</v>
      </c>
      <c r="I87" s="18" t="s">
        <v>269</v>
      </c>
      <c r="J87" s="18" t="s">
        <v>269</v>
      </c>
      <c r="K87" s="18" t="s">
        <v>269</v>
      </c>
      <c r="L87" s="18" t="s">
        <v>269</v>
      </c>
      <c r="M87" s="18" t="s">
        <v>269</v>
      </c>
      <c r="N87" s="18" t="s">
        <v>269</v>
      </c>
      <c r="O87" s="18" t="s">
        <v>269</v>
      </c>
      <c r="P87" s="18" t="s">
        <v>269</v>
      </c>
      <c r="Q87" s="18" t="s">
        <v>269</v>
      </c>
      <c r="R87" s="21" t="s">
        <v>341</v>
      </c>
      <c r="S87" s="18" t="s">
        <v>269</v>
      </c>
      <c r="T87" s="18" t="s">
        <v>269</v>
      </c>
      <c r="U87" s="24"/>
      <c r="V87" s="18" t="s">
        <v>269</v>
      </c>
      <c r="W87" s="38"/>
      <c r="X87" s="19"/>
      <c r="Y87" s="20" t="s">
        <v>268</v>
      </c>
      <c r="Z87" s="19" t="s">
        <v>561</v>
      </c>
      <c r="AA87" s="19"/>
      <c r="AB87" s="19"/>
    </row>
    <row r="88" spans="2:28" x14ac:dyDescent="0.2">
      <c r="B88" s="21" t="s">
        <v>254</v>
      </c>
      <c r="C88" s="22">
        <v>79</v>
      </c>
      <c r="D88" s="21" t="s">
        <v>254</v>
      </c>
      <c r="E88" s="112" t="s">
        <v>971</v>
      </c>
      <c r="F88" s="112" t="s">
        <v>978</v>
      </c>
      <c r="G88" s="112" t="s">
        <v>973</v>
      </c>
      <c r="H88" s="112" t="s">
        <v>980</v>
      </c>
      <c r="I88" s="18" t="s">
        <v>269</v>
      </c>
      <c r="J88" s="18" t="s">
        <v>269</v>
      </c>
      <c r="K88" s="18" t="s">
        <v>269</v>
      </c>
      <c r="L88" s="18" t="s">
        <v>269</v>
      </c>
      <c r="M88" s="18" t="s">
        <v>269</v>
      </c>
      <c r="N88" s="18" t="s">
        <v>269</v>
      </c>
      <c r="O88" s="21" t="s">
        <v>235</v>
      </c>
      <c r="P88" s="21" t="s">
        <v>102</v>
      </c>
      <c r="Q88" s="18" t="s">
        <v>269</v>
      </c>
      <c r="R88" s="21" t="s">
        <v>342</v>
      </c>
      <c r="S88" s="18" t="s">
        <v>269</v>
      </c>
      <c r="T88" s="21" t="s">
        <v>357</v>
      </c>
      <c r="U88" s="24"/>
      <c r="V88" s="18" t="s">
        <v>269</v>
      </c>
      <c r="W88" s="38"/>
      <c r="X88" s="19"/>
      <c r="Y88" s="20" t="s">
        <v>268</v>
      </c>
      <c r="Z88" s="19" t="s">
        <v>561</v>
      </c>
      <c r="AA88" s="19"/>
      <c r="AB88" s="19"/>
    </row>
    <row r="89" spans="2:28" x14ac:dyDescent="0.2">
      <c r="B89" s="28" t="s">
        <v>257</v>
      </c>
      <c r="C89" s="17">
        <v>80</v>
      </c>
      <c r="D89" s="18" t="s">
        <v>269</v>
      </c>
      <c r="E89" s="18" t="s">
        <v>269</v>
      </c>
      <c r="F89" s="18" t="s">
        <v>269</v>
      </c>
      <c r="G89" s="18" t="s">
        <v>269</v>
      </c>
      <c r="H89" s="18" t="s">
        <v>269</v>
      </c>
      <c r="I89" s="18" t="s">
        <v>269</v>
      </c>
      <c r="J89" s="18" t="s">
        <v>269</v>
      </c>
      <c r="K89" s="18" t="s">
        <v>269</v>
      </c>
      <c r="L89" s="18" t="s">
        <v>269</v>
      </c>
      <c r="M89" s="18" t="s">
        <v>269</v>
      </c>
      <c r="N89" s="18" t="s">
        <v>269</v>
      </c>
      <c r="O89" s="18" t="s">
        <v>269</v>
      </c>
      <c r="P89" s="18" t="s">
        <v>269</v>
      </c>
      <c r="Q89" s="18" t="s">
        <v>269</v>
      </c>
      <c r="R89" s="18" t="s">
        <v>269</v>
      </c>
      <c r="S89" s="18" t="s">
        <v>269</v>
      </c>
      <c r="T89" s="18" t="s">
        <v>269</v>
      </c>
      <c r="U89" s="28" t="s">
        <v>257</v>
      </c>
      <c r="V89" s="18" t="s">
        <v>269</v>
      </c>
      <c r="W89" s="38"/>
      <c r="X89" s="19" t="s">
        <v>544</v>
      </c>
      <c r="Y89" s="20" t="s">
        <v>555</v>
      </c>
      <c r="Z89" s="20" t="s">
        <v>555</v>
      </c>
      <c r="AA89" s="19"/>
      <c r="AB89" s="19"/>
    </row>
    <row r="92" spans="2:28" x14ac:dyDescent="0.55000000000000004">
      <c r="B92" s="10" t="s">
        <v>836</v>
      </c>
    </row>
    <row r="93" spans="2:28" x14ac:dyDescent="0.55000000000000004">
      <c r="B93" s="10" t="s">
        <v>573</v>
      </c>
    </row>
    <row r="94" spans="2:28" x14ac:dyDescent="0.55000000000000004">
      <c r="B94" s="10" t="s">
        <v>838</v>
      </c>
    </row>
    <row r="95" spans="2:28" x14ac:dyDescent="0.55000000000000004">
      <c r="B95" s="10" t="s">
        <v>835</v>
      </c>
    </row>
    <row r="96" spans="2:28" x14ac:dyDescent="0.55000000000000004">
      <c r="B96" s="10" t="s">
        <v>837</v>
      </c>
    </row>
    <row r="107" spans="4:17" ht="15" customHeight="1" x14ac:dyDescent="0.35">
      <c r="D107" s="117" t="s">
        <v>847</v>
      </c>
      <c r="E107" s="117"/>
      <c r="F107" s="117"/>
      <c r="G107" s="117"/>
      <c r="H107" s="117"/>
      <c r="I107" s="117"/>
      <c r="J107" s="117"/>
      <c r="K107" s="117"/>
      <c r="L107" s="117"/>
      <c r="M107" s="117"/>
      <c r="N107" s="117"/>
      <c r="O107" s="117"/>
      <c r="P107" s="117"/>
      <c r="Q107" s="117"/>
    </row>
    <row r="108" spans="4:17" ht="172" customHeight="1" x14ac:dyDescent="0.55000000000000004">
      <c r="D108" s="116" t="s">
        <v>848</v>
      </c>
      <c r="E108" s="116"/>
      <c r="F108" s="116"/>
      <c r="G108" s="116"/>
      <c r="H108" s="116"/>
      <c r="I108" s="116"/>
      <c r="J108" s="116"/>
      <c r="K108" s="116"/>
      <c r="L108" s="116"/>
      <c r="M108" s="116"/>
      <c r="N108" s="116"/>
      <c r="O108" s="116"/>
      <c r="P108" s="116"/>
      <c r="Q108" s="116"/>
    </row>
    <row r="113" spans="27:28" x14ac:dyDescent="0.55000000000000004">
      <c r="AA113" s="100"/>
      <c r="AB113" s="100"/>
    </row>
    <row r="114" spans="27:28" x14ac:dyDescent="0.55000000000000004">
      <c r="AA114" s="100"/>
      <c r="AB114" s="100"/>
    </row>
    <row r="115" spans="27:28" x14ac:dyDescent="0.55000000000000004">
      <c r="AA115" s="100"/>
      <c r="AB115" s="100"/>
    </row>
    <row r="116" spans="27:28" x14ac:dyDescent="0.55000000000000004">
      <c r="AA116" s="100"/>
      <c r="AB116" s="100"/>
    </row>
    <row r="117" spans="27:28" x14ac:dyDescent="0.55000000000000004">
      <c r="AA117" s="100"/>
      <c r="AB117" s="100"/>
    </row>
    <row r="118" spans="27:28" x14ac:dyDescent="0.55000000000000004">
      <c r="AA118" s="100"/>
      <c r="AB118" s="100"/>
    </row>
    <row r="119" spans="27:28" x14ac:dyDescent="0.55000000000000004">
      <c r="AA119" s="100"/>
      <c r="AB119" s="100"/>
    </row>
    <row r="120" spans="27:28" x14ac:dyDescent="0.55000000000000004">
      <c r="AA120" s="100"/>
      <c r="AB120" s="100"/>
    </row>
    <row r="121" spans="27:28" x14ac:dyDescent="0.55000000000000004">
      <c r="AA121" s="100"/>
      <c r="AB121" s="100"/>
    </row>
    <row r="122" spans="27:28" x14ac:dyDescent="0.55000000000000004">
      <c r="AA122" s="100"/>
      <c r="AB122" s="100"/>
    </row>
    <row r="123" spans="27:28" x14ac:dyDescent="0.55000000000000004">
      <c r="AA123" s="100"/>
      <c r="AB123" s="100"/>
    </row>
    <row r="124" spans="27:28" x14ac:dyDescent="0.55000000000000004">
      <c r="AA124" s="100"/>
      <c r="AB124" s="100"/>
    </row>
    <row r="125" spans="27:28" x14ac:dyDescent="0.55000000000000004">
      <c r="AA125" s="100"/>
      <c r="AB125" s="100"/>
    </row>
    <row r="126" spans="27:28" x14ac:dyDescent="0.55000000000000004">
      <c r="AA126" s="100"/>
      <c r="AB126" s="100"/>
    </row>
    <row r="127" spans="27:28" x14ac:dyDescent="0.55000000000000004">
      <c r="AA127" s="100"/>
      <c r="AB127" s="100"/>
    </row>
    <row r="128" spans="27:28" x14ac:dyDescent="0.55000000000000004">
      <c r="AA128" s="100"/>
      <c r="AB128" s="100"/>
    </row>
    <row r="129" spans="27:28" x14ac:dyDescent="0.55000000000000004">
      <c r="AA129" s="100"/>
      <c r="AB129" s="100"/>
    </row>
    <row r="130" spans="27:28" x14ac:dyDescent="0.55000000000000004">
      <c r="AA130" s="100"/>
      <c r="AB130" s="100"/>
    </row>
    <row r="131" spans="27:28" x14ac:dyDescent="0.55000000000000004">
      <c r="AA131" s="100"/>
      <c r="AB131" s="100"/>
    </row>
    <row r="132" spans="27:28" x14ac:dyDescent="0.55000000000000004">
      <c r="AA132" s="100"/>
      <c r="AB132" s="100"/>
    </row>
    <row r="133" spans="27:28" x14ac:dyDescent="0.55000000000000004">
      <c r="AA133" s="100"/>
      <c r="AB133" s="100"/>
    </row>
    <row r="134" spans="27:28" x14ac:dyDescent="0.55000000000000004">
      <c r="AA134" s="100"/>
      <c r="AB134" s="100"/>
    </row>
    <row r="135" spans="27:28" x14ac:dyDescent="0.55000000000000004">
      <c r="AA135" s="100"/>
      <c r="AB135" s="100"/>
    </row>
    <row r="136" spans="27:28" x14ac:dyDescent="0.55000000000000004">
      <c r="AA136" s="100"/>
      <c r="AB136" s="100"/>
    </row>
    <row r="137" spans="27:28" x14ac:dyDescent="0.55000000000000004">
      <c r="AA137" s="100"/>
      <c r="AB137" s="100"/>
    </row>
    <row r="138" spans="27:28" x14ac:dyDescent="0.55000000000000004">
      <c r="AA138" s="100"/>
      <c r="AB138" s="100"/>
    </row>
    <row r="139" spans="27:28" x14ac:dyDescent="0.55000000000000004">
      <c r="AA139" s="100"/>
      <c r="AB139" s="100"/>
    </row>
    <row r="140" spans="27:28" x14ac:dyDescent="0.55000000000000004">
      <c r="AA140" s="100"/>
      <c r="AB140" s="100"/>
    </row>
    <row r="141" spans="27:28" x14ac:dyDescent="0.55000000000000004">
      <c r="AA141" s="100"/>
      <c r="AB141" s="100"/>
    </row>
    <row r="142" spans="27:28" x14ac:dyDescent="0.55000000000000004">
      <c r="AA142" s="100"/>
      <c r="AB142" s="100"/>
    </row>
    <row r="143" spans="27:28" x14ac:dyDescent="0.55000000000000004">
      <c r="AA143" s="100"/>
      <c r="AB143" s="100"/>
    </row>
    <row r="144" spans="27:28" x14ac:dyDescent="0.55000000000000004">
      <c r="AA144" s="100"/>
      <c r="AB144" s="100"/>
    </row>
    <row r="145" spans="27:28" x14ac:dyDescent="0.55000000000000004">
      <c r="AA145" s="100"/>
      <c r="AB145" s="100"/>
    </row>
    <row r="146" spans="27:28" x14ac:dyDescent="0.55000000000000004">
      <c r="AA146" s="100"/>
      <c r="AB146" s="100"/>
    </row>
    <row r="147" spans="27:28" x14ac:dyDescent="0.55000000000000004">
      <c r="AA147" s="100"/>
      <c r="AB147" s="100"/>
    </row>
    <row r="148" spans="27:28" x14ac:dyDescent="0.55000000000000004">
      <c r="AA148" s="100"/>
      <c r="AB148" s="100"/>
    </row>
    <row r="149" spans="27:28" x14ac:dyDescent="0.55000000000000004">
      <c r="AA149" s="100"/>
      <c r="AB149" s="100"/>
    </row>
    <row r="150" spans="27:28" x14ac:dyDescent="0.55000000000000004">
      <c r="AA150" s="100"/>
      <c r="AB150" s="100"/>
    </row>
    <row r="151" spans="27:28" x14ac:dyDescent="0.55000000000000004">
      <c r="AA151" s="100"/>
      <c r="AB151" s="100"/>
    </row>
    <row r="152" spans="27:28" x14ac:dyDescent="0.55000000000000004">
      <c r="AA152" s="100"/>
      <c r="AB152" s="100"/>
    </row>
    <row r="153" spans="27:28" x14ac:dyDescent="0.55000000000000004">
      <c r="AA153" s="100"/>
      <c r="AB153" s="100"/>
    </row>
    <row r="154" spans="27:28" x14ac:dyDescent="0.55000000000000004">
      <c r="AA154" s="100"/>
      <c r="AB154" s="100"/>
    </row>
    <row r="155" spans="27:28" x14ac:dyDescent="0.55000000000000004">
      <c r="AA155" s="100"/>
      <c r="AB155" s="100"/>
    </row>
    <row r="156" spans="27:28" x14ac:dyDescent="0.55000000000000004">
      <c r="AA156" s="100"/>
      <c r="AB156" s="100"/>
    </row>
  </sheetData>
  <sheetProtection algorithmName="SHA-512" hashValue="MOtSbgfwGcknU3lS8NmPL1p5n4qcPBWPAtpYiZbIOd/+qNZHNyHrrHZcDoY4LIDxRVzsNtOZsteo+Gds0OOFCw==" saltValue="Jo6SgF2MI/BjRW4s/zAXEQ==" spinCount="100000" sheet="1" objects="1" scenarios="1" formatCells="0" formatColumns="0" formatRows="0" insertColumns="0" insertRows="0" insertHyperlinks="0" deleteColumns="0" deleteRows="0" selectLockedCells="1" sort="0" autoFilter="0" pivotTables="0"/>
  <mergeCells count="19">
    <mergeCell ref="B7:B9"/>
    <mergeCell ref="C7:C9"/>
    <mergeCell ref="I7:K7"/>
    <mergeCell ref="Q7:S7"/>
    <mergeCell ref="T7:T9"/>
    <mergeCell ref="D7:D9"/>
    <mergeCell ref="D107:Q107"/>
    <mergeCell ref="D108:Q108"/>
    <mergeCell ref="Y7:Z7"/>
    <mergeCell ref="AA7:AB7"/>
    <mergeCell ref="AA8:AA9"/>
    <mergeCell ref="V8:V9"/>
    <mergeCell ref="U7:X7"/>
    <mergeCell ref="X8:X9"/>
    <mergeCell ref="U8:U9"/>
    <mergeCell ref="Z8:Z9"/>
    <mergeCell ref="AB8:AB9"/>
    <mergeCell ref="W8:W9"/>
    <mergeCell ref="Y8:Y9"/>
  </mergeCells>
  <phoneticPr fontId="3"/>
  <conditionalFormatting sqref="U11:U28 U31:U40 U51:U68 U71:U76 U82:U88 U45:V48 V51:V60">
    <cfRule type="notContainsBlanks" dxfId="7" priority="10">
      <formula>LEN(TRIM(U11))&gt;0</formula>
    </cfRule>
  </conditionalFormatting>
  <conditionalFormatting sqref="U11:U28 U31:U40 U45:U48 U51:U68 U82:U88 U71:U76">
    <cfRule type="duplicateValues" dxfId="6" priority="4"/>
  </conditionalFormatting>
  <dataValidations count="77">
    <dataValidation type="list" allowBlank="1" showInputMessage="1" showErrorMessage="1" sqref="U68" xr:uid="{BCB35DFD-EAAC-45B7-983F-606CCAF38E2E}">
      <formula1>$D$68:$T$68</formula1>
    </dataValidation>
    <dataValidation type="list" allowBlank="1" showInputMessage="1" showErrorMessage="1" sqref="U67" xr:uid="{8298A2F2-0B8C-44D3-90DE-357CC41E574B}">
      <formula1>$D$67:$T$67</formula1>
    </dataValidation>
    <dataValidation type="list" allowBlank="1" showInputMessage="1" showErrorMessage="1" sqref="U66" xr:uid="{5EC8F7BF-D8E2-45AF-A9E4-51838BD80070}">
      <formula1>$D$66:$U$66</formula1>
    </dataValidation>
    <dataValidation type="list" allowBlank="1" showInputMessage="1" showErrorMessage="1" sqref="U65" xr:uid="{B66F1191-AA92-4876-BA95-BAE4194B8D92}">
      <formula1>$D$65:$T$65</formula1>
    </dataValidation>
    <dataValidation type="list" allowBlank="1" showInputMessage="1" showErrorMessage="1" sqref="U64" xr:uid="{321226F5-EFD7-4197-A9D2-1BDD86694F2E}">
      <formula1>$D$64:$T$64</formula1>
    </dataValidation>
    <dataValidation type="list" allowBlank="1" showInputMessage="1" showErrorMessage="1" sqref="U63" xr:uid="{37C2070D-F197-43C0-858F-B5D2AAA7262F}">
      <formula1>$D$63:$T$63</formula1>
    </dataValidation>
    <dataValidation type="list" allowBlank="1" showInputMessage="1" showErrorMessage="1" sqref="U62" xr:uid="{65B235D0-666E-4C84-96AC-B3AC11AF2C99}">
      <formula1>$D$62:$T$62</formula1>
    </dataValidation>
    <dataValidation type="list" allowBlank="1" showInputMessage="1" showErrorMessage="1" sqref="U61" xr:uid="{4F028C6A-CB32-4046-A7E9-39F528AFBCA1}">
      <formula1>$D$61:$T$61</formula1>
    </dataValidation>
    <dataValidation type="list" allowBlank="1" showInputMessage="1" showErrorMessage="1" sqref="U72" xr:uid="{31821B51-8FDB-4C9B-84BF-87863A0C8CF1}">
      <formula1>$D$72:$T$72</formula1>
    </dataValidation>
    <dataValidation type="list" allowBlank="1" showInputMessage="1" showErrorMessage="1" sqref="U71" xr:uid="{31DBA197-2170-42BD-BB9D-4D936E62E0B4}">
      <formula1>$D$71:$T$71</formula1>
    </dataValidation>
    <dataValidation type="list" allowBlank="1" showInputMessage="1" showErrorMessage="1" sqref="U76" xr:uid="{547A7A70-B3AB-4E3C-9F3E-5BD38A28FC54}">
      <formula1>$D$76:$T$76</formula1>
    </dataValidation>
    <dataValidation type="list" allowBlank="1" showInputMessage="1" showErrorMessage="1" sqref="U75" xr:uid="{52C320F7-EC8B-437D-9943-830191E50C92}">
      <formula1>$D$75:$T$75</formula1>
    </dataValidation>
    <dataValidation type="list" allowBlank="1" showInputMessage="1" showErrorMessage="1" sqref="U74" xr:uid="{2B2C2F9F-1361-4134-BC72-99572252C4F4}">
      <formula1>$D$74:$T$74</formula1>
    </dataValidation>
    <dataValidation type="list" allowBlank="1" showInputMessage="1" showErrorMessage="1" sqref="U73" xr:uid="{0E502C81-DC1B-4085-86E2-32F0DA52978D}">
      <formula1>$D$73:$T$73</formula1>
    </dataValidation>
    <dataValidation type="list" allowBlank="1" showInputMessage="1" showErrorMessage="1" sqref="U60" xr:uid="{D166D262-6878-4492-BE49-B667FD301152}">
      <formula1>$D$60:$T$60</formula1>
    </dataValidation>
    <dataValidation type="list" allowBlank="1" showInputMessage="1" showErrorMessage="1" sqref="U51" xr:uid="{68EC7905-B6FD-4146-BCA6-56F493F44B72}">
      <formula1>$D$51:$T$51</formula1>
    </dataValidation>
    <dataValidation type="list" allowBlank="1" showInputMessage="1" showErrorMessage="1" sqref="U88" xr:uid="{361C1559-A322-434C-8A81-4C63DCC946E2}">
      <formula1>$D$88:$T$88</formula1>
    </dataValidation>
    <dataValidation type="list" allowBlank="1" showInputMessage="1" showErrorMessage="1" sqref="U87" xr:uid="{8D30562D-37A1-49A3-B93C-1E85F50B7A3E}">
      <formula1>$D$87:$T$87</formula1>
    </dataValidation>
    <dataValidation type="list" allowBlank="1" showInputMessage="1" showErrorMessage="1" sqref="U86" xr:uid="{957ECB12-F100-4C3F-AE83-A9D0638FD85B}">
      <formula1>$D$86:$T$86</formula1>
    </dataValidation>
    <dataValidation type="list" allowBlank="1" showInputMessage="1" showErrorMessage="1" sqref="U85" xr:uid="{E7FAABF2-3752-49AE-95BA-BA409EABED19}">
      <formula1>$D$85:$T$85</formula1>
    </dataValidation>
    <dataValidation type="list" allowBlank="1" showInputMessage="1" showErrorMessage="1" sqref="U84" xr:uid="{187A29A2-BD8C-48B5-90E5-93871EADD068}">
      <formula1>$D$84:$T$84</formula1>
    </dataValidation>
    <dataValidation type="list" allowBlank="1" showInputMessage="1" showErrorMessage="1" sqref="U83" xr:uid="{FFC9B700-7B5E-4846-8E8B-FB41622BE064}">
      <formula1>$D$83:$T$83</formula1>
    </dataValidation>
    <dataValidation type="list" allowBlank="1" showInputMessage="1" showErrorMessage="1" sqref="U82" xr:uid="{A5983F27-E567-4FF0-9569-759D25255A41}">
      <formula1>$D$82:$T$82</formula1>
    </dataValidation>
    <dataValidation type="list" allowBlank="1" showInputMessage="1" showErrorMessage="1" sqref="U37" xr:uid="{D0DAE5F2-71C3-46A7-B108-B420ED4F9CF0}">
      <formula1>$D$37:$T$37</formula1>
    </dataValidation>
    <dataValidation type="list" allowBlank="1" showInputMessage="1" showErrorMessage="1" sqref="U34" xr:uid="{3E2004B4-70F6-40BA-8799-6BB88440A0AC}">
      <formula1>$D$34:$T$34</formula1>
    </dataValidation>
    <dataValidation type="list" allowBlank="1" showInputMessage="1" showErrorMessage="1" sqref="U33" xr:uid="{0D5C6205-0F08-478D-8D3D-ABD2F55D7C1A}">
      <formula1>$D$33:$T$33</formula1>
    </dataValidation>
    <dataValidation type="list" allowBlank="1" showInputMessage="1" showErrorMessage="1" sqref="U32" xr:uid="{0C2D7BB5-71A5-4CF2-85F8-2915D01D5683}">
      <formula1>$D$32:$T$32</formula1>
    </dataValidation>
    <dataValidation type="list" allowBlank="1" showInputMessage="1" showErrorMessage="1" sqref="U21" xr:uid="{1DE0A8BB-7C28-4FD1-AA9C-E0A34106419C}">
      <formula1>$D$21:$T$21</formula1>
    </dataValidation>
    <dataValidation type="list" allowBlank="1" showInputMessage="1" showErrorMessage="1" sqref="U20" xr:uid="{13D620A1-1021-4DDA-8AD8-8CA679FBD4C2}">
      <formula1>$D$20:$T$20</formula1>
    </dataValidation>
    <dataValidation type="list" allowBlank="1" showInputMessage="1" showErrorMessage="1" sqref="U19" xr:uid="{DBA52D3C-417F-43A9-B154-786A0405F98C}">
      <formula1>$D$19:$T$19</formula1>
    </dataValidation>
    <dataValidation type="list" allowBlank="1" showInputMessage="1" showErrorMessage="1" sqref="U18" xr:uid="{F3686A2E-5EAD-4689-B18D-3DAAA786D601}">
      <formula1>$D$18:$T$18</formula1>
    </dataValidation>
    <dataValidation type="list" allowBlank="1" showInputMessage="1" showErrorMessage="1" sqref="U11" xr:uid="{B83883D4-62C5-48B6-BF62-0C9DA6F987EF}">
      <formula1>$D$11:$T$11</formula1>
    </dataValidation>
    <dataValidation type="list" allowBlank="1" showInputMessage="1" showErrorMessage="1" sqref="U12" xr:uid="{3E2EB31F-0F33-433C-A92D-16806BE4D4F1}">
      <formula1>$D$12:$T$12</formula1>
    </dataValidation>
    <dataValidation type="list" allowBlank="1" showInputMessage="1" showErrorMessage="1" sqref="U13" xr:uid="{53C738AD-DA7D-4ECE-A500-8F86FB468BA9}">
      <formula1>$D$13:$T$13</formula1>
    </dataValidation>
    <dataValidation type="list" allowBlank="1" showInputMessage="1" showErrorMessage="1" sqref="U14" xr:uid="{10A9ACF5-2E7D-4C0E-A1C6-C38B1B582BD8}">
      <formula1>$D$14:$T$14</formula1>
    </dataValidation>
    <dataValidation type="list" allowBlank="1" showInputMessage="1" showErrorMessage="1" sqref="U15" xr:uid="{61D1B1EE-9488-4EDB-B9C1-6A8976DBA7E6}">
      <formula1>$D$15:$T$15</formula1>
    </dataValidation>
    <dataValidation type="list" allowBlank="1" showInputMessage="1" showErrorMessage="1" sqref="U16" xr:uid="{9396D6E6-C6F3-4AFC-813D-DF4DFDFAF1EE}">
      <formula1>$D$16:$T$16</formula1>
    </dataValidation>
    <dataValidation type="list" allowBlank="1" showInputMessage="1" showErrorMessage="1" sqref="U17" xr:uid="{F782DAAE-3FCB-42F8-80C8-D4EDE8D9EBA4}">
      <formula1>$D$17:$T$17</formula1>
    </dataValidation>
    <dataValidation type="list" allowBlank="1" showInputMessage="1" showErrorMessage="1" sqref="U36" xr:uid="{67B21E20-4B84-44E6-95F1-06C161F96D68}">
      <formula1>$D$36:$T$36</formula1>
    </dataValidation>
    <dataValidation type="list" allowBlank="1" showInputMessage="1" showErrorMessage="1" sqref="U31" xr:uid="{65BA4133-66D5-4CAC-8490-F62BCE4B33C0}">
      <formula1>$D$31:$T$31</formula1>
    </dataValidation>
    <dataValidation type="list" allowBlank="1" showInputMessage="1" showErrorMessage="1" sqref="U52" xr:uid="{4B5A7520-B9CC-419F-8D0D-1272D3B796DB}">
      <formula1>$D$52:$T$52</formula1>
    </dataValidation>
    <dataValidation type="list" allowBlank="1" showInputMessage="1" showErrorMessage="1" sqref="U53" xr:uid="{594D5B91-E92D-43D8-AFA6-FBC7349BEB54}">
      <formula1>$D$53:$T$53</formula1>
    </dataValidation>
    <dataValidation type="list" allowBlank="1" showInputMessage="1" showErrorMessage="1" sqref="U54" xr:uid="{7E61CF0B-4C4C-4ECC-9F4A-8714D4916CAC}">
      <formula1>$D$54:$T$54</formula1>
    </dataValidation>
    <dataValidation type="list" allowBlank="1" showInputMessage="1" showErrorMessage="1" sqref="U22" xr:uid="{20736046-47D1-4E70-A805-09D5DD26878B}">
      <formula1>$D$22:$T$22</formula1>
    </dataValidation>
    <dataValidation type="list" allowBlank="1" showInputMessage="1" showErrorMessage="1" sqref="U23" xr:uid="{DB46A552-7EAC-4C97-951E-E002D1A885D0}">
      <formula1>$D$23:$T$23</formula1>
    </dataValidation>
    <dataValidation type="list" allowBlank="1" showInputMessage="1" showErrorMessage="1" sqref="U24" xr:uid="{22C9CCEF-0599-4391-B1F6-A19D08848EDE}">
      <formula1>$D$24:$T$24</formula1>
    </dataValidation>
    <dataValidation type="list" allowBlank="1" showInputMessage="1" showErrorMessage="1" sqref="U25" xr:uid="{451BD316-D505-45B3-BEB7-232F9589AB11}">
      <formula1>$D$25:$T$25</formula1>
    </dataValidation>
    <dataValidation type="list" allowBlank="1" showInputMessage="1" showErrorMessage="1" sqref="U26" xr:uid="{7CD28C48-5CF6-4F66-AF77-96163D4BADDE}">
      <formula1>$D$26:$T$26</formula1>
    </dataValidation>
    <dataValidation type="list" allowBlank="1" showInputMessage="1" showErrorMessage="1" sqref="U27" xr:uid="{800E15D2-4FAB-4714-B383-FDBEB8EDD6D7}">
      <formula1>$D$27:$T$27</formula1>
    </dataValidation>
    <dataValidation type="list" allowBlank="1" showInputMessage="1" showErrorMessage="1" sqref="U28" xr:uid="{0E882BAE-4FA8-4E59-8EC8-A7ACFFD1B69B}">
      <formula1>$D$28:$T$28</formula1>
    </dataValidation>
    <dataValidation type="list" allowBlank="1" showInputMessage="1" showErrorMessage="1" sqref="U55" xr:uid="{22F23EFD-FACD-4DA1-99F8-59882E9230B3}">
      <formula1>$D$55:$T$55</formula1>
    </dataValidation>
    <dataValidation type="list" allowBlank="1" showInputMessage="1" showErrorMessage="1" sqref="U56" xr:uid="{E5E9076B-E9DA-44AB-93F4-EB1FD2D6FF1D}">
      <formula1>$D$56:$T$56</formula1>
    </dataValidation>
    <dataValidation type="list" allowBlank="1" showInputMessage="1" showErrorMessage="1" sqref="U57" xr:uid="{833485D8-F28D-49CF-8C7D-044388934D44}">
      <formula1>$D$57:$T$57</formula1>
    </dataValidation>
    <dataValidation type="list" allowBlank="1" showInputMessage="1" showErrorMessage="1" sqref="U58" xr:uid="{9CEF0C39-F33D-4A74-93CC-AEB7AE9DD09C}">
      <formula1>$D$58:$T$58</formula1>
    </dataValidation>
    <dataValidation type="list" allowBlank="1" showInputMessage="1" showErrorMessage="1" sqref="U59" xr:uid="{3BCA94A9-4AA8-4FC7-B01D-D92DBCD690C0}">
      <formula1>$D$59:$T$59</formula1>
    </dataValidation>
    <dataValidation type="list" allowBlank="1" showInputMessage="1" showErrorMessage="1" sqref="U38" xr:uid="{8213CB54-BDA7-41A0-8FBD-44C4CB96A9C2}">
      <formula1>$D$38:$T$38</formula1>
    </dataValidation>
    <dataValidation type="list" allowBlank="1" showInputMessage="1" showErrorMessage="1" sqref="U39" xr:uid="{A6ADFCED-FB98-455C-AD3C-5B2174D9174B}">
      <formula1>$D$39:$T$39</formula1>
    </dataValidation>
    <dataValidation type="list" allowBlank="1" showInputMessage="1" showErrorMessage="1" sqref="U45" xr:uid="{85F916F6-E161-442F-9EE3-58F38AD127BB}">
      <formula1>$D$45:$T$45</formula1>
    </dataValidation>
    <dataValidation type="list" allowBlank="1" showInputMessage="1" showErrorMessage="1" sqref="U46" xr:uid="{1A69DBBC-F3E3-4D21-85EC-8848EB63F53F}">
      <formula1>$D$46:$T$46</formula1>
    </dataValidation>
    <dataValidation type="list" allowBlank="1" showInputMessage="1" showErrorMessage="1" sqref="U47" xr:uid="{227E0267-B92C-461B-9BE3-ECA4DD0C0E82}">
      <formula1>$D$47:$T$47</formula1>
    </dataValidation>
    <dataValidation type="list" allowBlank="1" showInputMessage="1" showErrorMessage="1" sqref="U48" xr:uid="{E604A7DC-1626-4352-8735-9F66EDDF316C}">
      <formula1>$D$48:$T$48</formula1>
    </dataValidation>
    <dataValidation type="list" allowBlank="1" showInputMessage="1" showErrorMessage="1" sqref="U35" xr:uid="{3A04C89A-61E2-4018-A420-503BE18F5042}">
      <formula1>$D$35:$T$35</formula1>
    </dataValidation>
    <dataValidation type="list" allowBlank="1" showInputMessage="1" showErrorMessage="1" sqref="U40" xr:uid="{1FB276F0-9E86-48E0-A1C2-8151DDDF15E6}">
      <formula1>$D$40:$T$40</formula1>
    </dataValidation>
    <dataValidation type="list" allowBlank="1" showInputMessage="1" showErrorMessage="1" sqref="V48" xr:uid="{FE71FA60-4011-45F4-BF91-01C0DCAAFF16}">
      <formula1>"NA, SMARTIO12_3"</formula1>
    </dataValidation>
    <dataValidation type="list" allowBlank="1" showInputMessage="1" showErrorMessage="1" sqref="V47" xr:uid="{E8299E7C-3135-4F3E-BB29-A0D2B2883067}">
      <formula1>"NA, SMARTIO12_2"</formula1>
    </dataValidation>
    <dataValidation type="list" allowBlank="1" showInputMessage="1" showErrorMessage="1" sqref="V46" xr:uid="{E1140734-1968-422F-BD83-F87695512333}">
      <formula1>"NA, SMARTIO12_1"</formula1>
    </dataValidation>
    <dataValidation type="list" allowBlank="1" showInputMessage="1" showErrorMessage="1" sqref="V45" xr:uid="{FA82F951-A923-4A90-8D70-42C2C056D4A1}">
      <formula1>"NA, SMARTIO12_0"</formula1>
    </dataValidation>
    <dataValidation type="list" allowBlank="1" showInputMessage="1" showErrorMessage="1" sqref="V58" xr:uid="{AB10B391-C2C7-4565-BC96-A856EA6263C7}">
      <formula1>"NA, SMARTIO13_7"</formula1>
    </dataValidation>
    <dataValidation type="list" allowBlank="1" showInputMessage="1" showErrorMessage="1" sqref="V57" xr:uid="{B65EBD7F-CF5C-41D8-ADCA-6AE556BC7F73}">
      <formula1>"NA, SMARTIO13_6"</formula1>
    </dataValidation>
    <dataValidation type="list" allowBlank="1" showInputMessage="1" showErrorMessage="1" sqref="V56" xr:uid="{C0B6EDEF-3AB8-4603-9855-257CC7A76A7B}">
      <formula1>"NA, SMARTIO13_5"</formula1>
    </dataValidation>
    <dataValidation type="list" allowBlank="1" showInputMessage="1" showErrorMessage="1" sqref="V55" xr:uid="{E93803C4-F9B3-4781-9BCD-A42D07541D28}">
      <formula1>"NA, SMARTIO13_4"</formula1>
    </dataValidation>
    <dataValidation type="list" allowBlank="1" showInputMessage="1" showErrorMessage="1" sqref="V54" xr:uid="{E411267A-920C-40E6-9374-E9F531A86C53}">
      <formula1>"NA, SMARTIO13_3"</formula1>
    </dataValidation>
    <dataValidation type="list" allowBlank="1" showInputMessage="1" showErrorMessage="1" sqref="V53" xr:uid="{30B05509-E177-4152-A541-71BD67574338}">
      <formula1>"NA, SMARTIO13_2"</formula1>
    </dataValidation>
    <dataValidation type="list" allowBlank="1" showInputMessage="1" showErrorMessage="1" sqref="V52" xr:uid="{79A8CC99-CB5D-4FBE-97F6-AA4E201380F0}">
      <formula1>"NA, SMARTIO13_1"</formula1>
    </dataValidation>
    <dataValidation type="list" allowBlank="1" showInputMessage="1" showErrorMessage="1" sqref="V51" xr:uid="{5899F14D-8C8A-4766-A1C3-376BA6775001}">
      <formula1>"NA, SMARTIO13_0"</formula1>
    </dataValidation>
    <dataValidation type="list" allowBlank="1" showInputMessage="1" showErrorMessage="1" sqref="V60" xr:uid="{4FBE19C8-D95A-420A-B2B1-9BC60B0BD8A3}">
      <formula1>"NA, SMARTIO14_1"</formula1>
    </dataValidation>
    <dataValidation type="list" allowBlank="1" showInputMessage="1" showErrorMessage="1" sqref="V59" xr:uid="{E57F6344-4AFA-4F59-B870-E00E8C3972EC}">
      <formula1>"NA, SMARTIO14_0"</formula1>
    </dataValidation>
  </dataValidations>
  <pageMargins left="0.7" right="0.7" top="0.75" bottom="0.75" header="0.3" footer="0.3"/>
  <pageSetup paperSize="9" orientation="portrait" r:id="rId1"/>
  <ignoredErrors>
    <ignoredError sqref="W11:W89" unlockedFormula="1"/>
  </ignoredErrors>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42DD9-241C-4D3D-8470-5C05B38398A2}">
  <dimension ref="A1:BQ125"/>
  <sheetViews>
    <sheetView zoomScale="70" zoomScaleNormal="70" workbookViewId="0">
      <selection activeCell="M4" sqref="M4"/>
    </sheetView>
  </sheetViews>
  <sheetFormatPr defaultRowHeight="10" x14ac:dyDescent="0.55000000000000004"/>
  <cols>
    <col min="1" max="1" width="8.58203125" style="40"/>
    <col min="2" max="2" width="14.08203125" style="40" bestFit="1" customWidth="1"/>
    <col min="3" max="3" width="12.08203125" style="40" bestFit="1" customWidth="1"/>
    <col min="4" max="66" width="6.08203125" style="40" customWidth="1"/>
    <col min="67" max="69" width="8.58203125" style="40" customWidth="1"/>
    <col min="70" max="291" width="8.58203125" style="40"/>
    <col min="292" max="292" width="14.33203125" style="40" customWidth="1"/>
    <col min="293" max="294" width="3.33203125" style="40" customWidth="1"/>
    <col min="295" max="319" width="2.33203125" style="40" customWidth="1"/>
    <col min="320" max="321" width="3.33203125" style="40" customWidth="1"/>
    <col min="322" max="322" width="14.33203125" style="40" customWidth="1"/>
    <col min="323" max="547" width="8.58203125" style="40"/>
    <col min="548" max="548" width="14.33203125" style="40" customWidth="1"/>
    <col min="549" max="550" width="3.33203125" style="40" customWidth="1"/>
    <col min="551" max="575" width="2.33203125" style="40" customWidth="1"/>
    <col min="576" max="577" width="3.33203125" style="40" customWidth="1"/>
    <col min="578" max="578" width="14.33203125" style="40" customWidth="1"/>
    <col min="579" max="803" width="8.58203125" style="40"/>
    <col min="804" max="804" width="14.33203125" style="40" customWidth="1"/>
    <col min="805" max="806" width="3.33203125" style="40" customWidth="1"/>
    <col min="807" max="831" width="2.33203125" style="40" customWidth="1"/>
    <col min="832" max="833" width="3.33203125" style="40" customWidth="1"/>
    <col min="834" max="834" width="14.33203125" style="40" customWidth="1"/>
    <col min="835" max="1059" width="8.58203125" style="40"/>
    <col min="1060" max="1060" width="14.33203125" style="40" customWidth="1"/>
    <col min="1061" max="1062" width="3.33203125" style="40" customWidth="1"/>
    <col min="1063" max="1087" width="2.33203125" style="40" customWidth="1"/>
    <col min="1088" max="1089" width="3.33203125" style="40" customWidth="1"/>
    <col min="1090" max="1090" width="14.33203125" style="40" customWidth="1"/>
    <col min="1091" max="1315" width="8.58203125" style="40"/>
    <col min="1316" max="1316" width="14.33203125" style="40" customWidth="1"/>
    <col min="1317" max="1318" width="3.33203125" style="40" customWidth="1"/>
    <col min="1319" max="1343" width="2.33203125" style="40" customWidth="1"/>
    <col min="1344" max="1345" width="3.33203125" style="40" customWidth="1"/>
    <col min="1346" max="1346" width="14.33203125" style="40" customWidth="1"/>
    <col min="1347" max="1571" width="8.58203125" style="40"/>
    <col min="1572" max="1572" width="14.33203125" style="40" customWidth="1"/>
    <col min="1573" max="1574" width="3.33203125" style="40" customWidth="1"/>
    <col min="1575" max="1599" width="2.33203125" style="40" customWidth="1"/>
    <col min="1600" max="1601" width="3.33203125" style="40" customWidth="1"/>
    <col min="1602" max="1602" width="14.33203125" style="40" customWidth="1"/>
    <col min="1603" max="1827" width="8.58203125" style="40"/>
    <col min="1828" max="1828" width="14.33203125" style="40" customWidth="1"/>
    <col min="1829" max="1830" width="3.33203125" style="40" customWidth="1"/>
    <col min="1831" max="1855" width="2.33203125" style="40" customWidth="1"/>
    <col min="1856" max="1857" width="3.33203125" style="40" customWidth="1"/>
    <col min="1858" max="1858" width="14.33203125" style="40" customWidth="1"/>
    <col min="1859" max="2083" width="8.58203125" style="40"/>
    <col min="2084" max="2084" width="14.33203125" style="40" customWidth="1"/>
    <col min="2085" max="2086" width="3.33203125" style="40" customWidth="1"/>
    <col min="2087" max="2111" width="2.33203125" style="40" customWidth="1"/>
    <col min="2112" max="2113" width="3.33203125" style="40" customWidth="1"/>
    <col min="2114" max="2114" width="14.33203125" style="40" customWidth="1"/>
    <col min="2115" max="2339" width="8.58203125" style="40"/>
    <col min="2340" max="2340" width="14.33203125" style="40" customWidth="1"/>
    <col min="2341" max="2342" width="3.33203125" style="40" customWidth="1"/>
    <col min="2343" max="2367" width="2.33203125" style="40" customWidth="1"/>
    <col min="2368" max="2369" width="3.33203125" style="40" customWidth="1"/>
    <col min="2370" max="2370" width="14.33203125" style="40" customWidth="1"/>
    <col min="2371" max="2595" width="8.58203125" style="40"/>
    <col min="2596" max="2596" width="14.33203125" style="40" customWidth="1"/>
    <col min="2597" max="2598" width="3.33203125" style="40" customWidth="1"/>
    <col min="2599" max="2623" width="2.33203125" style="40" customWidth="1"/>
    <col min="2624" max="2625" width="3.33203125" style="40" customWidth="1"/>
    <col min="2626" max="2626" width="14.33203125" style="40" customWidth="1"/>
    <col min="2627" max="2851" width="8.58203125" style="40"/>
    <col min="2852" max="2852" width="14.33203125" style="40" customWidth="1"/>
    <col min="2853" max="2854" width="3.33203125" style="40" customWidth="1"/>
    <col min="2855" max="2879" width="2.33203125" style="40" customWidth="1"/>
    <col min="2880" max="2881" width="3.33203125" style="40" customWidth="1"/>
    <col min="2882" max="2882" width="14.33203125" style="40" customWidth="1"/>
    <col min="2883" max="3107" width="8.58203125" style="40"/>
    <col min="3108" max="3108" width="14.33203125" style="40" customWidth="1"/>
    <col min="3109" max="3110" width="3.33203125" style="40" customWidth="1"/>
    <col min="3111" max="3135" width="2.33203125" style="40" customWidth="1"/>
    <col min="3136" max="3137" width="3.33203125" style="40" customWidth="1"/>
    <col min="3138" max="3138" width="14.33203125" style="40" customWidth="1"/>
    <col min="3139" max="3363" width="8.58203125" style="40"/>
    <col min="3364" max="3364" width="14.33203125" style="40" customWidth="1"/>
    <col min="3365" max="3366" width="3.33203125" style="40" customWidth="1"/>
    <col min="3367" max="3391" width="2.33203125" style="40" customWidth="1"/>
    <col min="3392" max="3393" width="3.33203125" style="40" customWidth="1"/>
    <col min="3394" max="3394" width="14.33203125" style="40" customWidth="1"/>
    <col min="3395" max="3619" width="8.58203125" style="40"/>
    <col min="3620" max="3620" width="14.33203125" style="40" customWidth="1"/>
    <col min="3621" max="3622" width="3.33203125" style="40" customWidth="1"/>
    <col min="3623" max="3647" width="2.33203125" style="40" customWidth="1"/>
    <col min="3648" max="3649" width="3.33203125" style="40" customWidth="1"/>
    <col min="3650" max="3650" width="14.33203125" style="40" customWidth="1"/>
    <col min="3651" max="3875" width="8.58203125" style="40"/>
    <col min="3876" max="3876" width="14.33203125" style="40" customWidth="1"/>
    <col min="3877" max="3878" width="3.33203125" style="40" customWidth="1"/>
    <col min="3879" max="3903" width="2.33203125" style="40" customWidth="1"/>
    <col min="3904" max="3905" width="3.33203125" style="40" customWidth="1"/>
    <col min="3906" max="3906" width="14.33203125" style="40" customWidth="1"/>
    <col min="3907" max="4131" width="8.58203125" style="40"/>
    <col min="4132" max="4132" width="14.33203125" style="40" customWidth="1"/>
    <col min="4133" max="4134" width="3.33203125" style="40" customWidth="1"/>
    <col min="4135" max="4159" width="2.33203125" style="40" customWidth="1"/>
    <col min="4160" max="4161" width="3.33203125" style="40" customWidth="1"/>
    <col min="4162" max="4162" width="14.33203125" style="40" customWidth="1"/>
    <col min="4163" max="4387" width="8.58203125" style="40"/>
    <col min="4388" max="4388" width="14.33203125" style="40" customWidth="1"/>
    <col min="4389" max="4390" width="3.33203125" style="40" customWidth="1"/>
    <col min="4391" max="4415" width="2.33203125" style="40" customWidth="1"/>
    <col min="4416" max="4417" width="3.33203125" style="40" customWidth="1"/>
    <col min="4418" max="4418" width="14.33203125" style="40" customWidth="1"/>
    <col min="4419" max="4643" width="8.58203125" style="40"/>
    <col min="4644" max="4644" width="14.33203125" style="40" customWidth="1"/>
    <col min="4645" max="4646" width="3.33203125" style="40" customWidth="1"/>
    <col min="4647" max="4671" width="2.33203125" style="40" customWidth="1"/>
    <col min="4672" max="4673" width="3.33203125" style="40" customWidth="1"/>
    <col min="4674" max="4674" width="14.33203125" style="40" customWidth="1"/>
    <col min="4675" max="4899" width="8.58203125" style="40"/>
    <col min="4900" max="4900" width="14.33203125" style="40" customWidth="1"/>
    <col min="4901" max="4902" width="3.33203125" style="40" customWidth="1"/>
    <col min="4903" max="4927" width="2.33203125" style="40" customWidth="1"/>
    <col min="4928" max="4929" width="3.33203125" style="40" customWidth="1"/>
    <col min="4930" max="4930" width="14.33203125" style="40" customWidth="1"/>
    <col min="4931" max="5155" width="8.58203125" style="40"/>
    <col min="5156" max="5156" width="14.33203125" style="40" customWidth="1"/>
    <col min="5157" max="5158" width="3.33203125" style="40" customWidth="1"/>
    <col min="5159" max="5183" width="2.33203125" style="40" customWidth="1"/>
    <col min="5184" max="5185" width="3.33203125" style="40" customWidth="1"/>
    <col min="5186" max="5186" width="14.33203125" style="40" customWidth="1"/>
    <col min="5187" max="5411" width="8.58203125" style="40"/>
    <col min="5412" max="5412" width="14.33203125" style="40" customWidth="1"/>
    <col min="5413" max="5414" width="3.33203125" style="40" customWidth="1"/>
    <col min="5415" max="5439" width="2.33203125" style="40" customWidth="1"/>
    <col min="5440" max="5441" width="3.33203125" style="40" customWidth="1"/>
    <col min="5442" max="5442" width="14.33203125" style="40" customWidth="1"/>
    <col min="5443" max="5667" width="8.58203125" style="40"/>
    <col min="5668" max="5668" width="14.33203125" style="40" customWidth="1"/>
    <col min="5669" max="5670" width="3.33203125" style="40" customWidth="1"/>
    <col min="5671" max="5695" width="2.33203125" style="40" customWidth="1"/>
    <col min="5696" max="5697" width="3.33203125" style="40" customWidth="1"/>
    <col min="5698" max="5698" width="14.33203125" style="40" customWidth="1"/>
    <col min="5699" max="5923" width="8.58203125" style="40"/>
    <col min="5924" max="5924" width="14.33203125" style="40" customWidth="1"/>
    <col min="5925" max="5926" width="3.33203125" style="40" customWidth="1"/>
    <col min="5927" max="5951" width="2.33203125" style="40" customWidth="1"/>
    <col min="5952" max="5953" width="3.33203125" style="40" customWidth="1"/>
    <col min="5954" max="5954" width="14.33203125" style="40" customWidth="1"/>
    <col min="5955" max="6179" width="8.58203125" style="40"/>
    <col min="6180" max="6180" width="14.33203125" style="40" customWidth="1"/>
    <col min="6181" max="6182" width="3.33203125" style="40" customWidth="1"/>
    <col min="6183" max="6207" width="2.33203125" style="40" customWidth="1"/>
    <col min="6208" max="6209" width="3.33203125" style="40" customWidth="1"/>
    <col min="6210" max="6210" width="14.33203125" style="40" customWidth="1"/>
    <col min="6211" max="6435" width="8.58203125" style="40"/>
    <col min="6436" max="6436" width="14.33203125" style="40" customWidth="1"/>
    <col min="6437" max="6438" width="3.33203125" style="40" customWidth="1"/>
    <col min="6439" max="6463" width="2.33203125" style="40" customWidth="1"/>
    <col min="6464" max="6465" width="3.33203125" style="40" customWidth="1"/>
    <col min="6466" max="6466" width="14.33203125" style="40" customWidth="1"/>
    <col min="6467" max="6691" width="8.58203125" style="40"/>
    <col min="6692" max="6692" width="14.33203125" style="40" customWidth="1"/>
    <col min="6693" max="6694" width="3.33203125" style="40" customWidth="1"/>
    <col min="6695" max="6719" width="2.33203125" style="40" customWidth="1"/>
    <col min="6720" max="6721" width="3.33203125" style="40" customWidth="1"/>
    <col min="6722" max="6722" width="14.33203125" style="40" customWidth="1"/>
    <col min="6723" max="6947" width="8.58203125" style="40"/>
    <col min="6948" max="6948" width="14.33203125" style="40" customWidth="1"/>
    <col min="6949" max="6950" width="3.33203125" style="40" customWidth="1"/>
    <col min="6951" max="6975" width="2.33203125" style="40" customWidth="1"/>
    <col min="6976" max="6977" width="3.33203125" style="40" customWidth="1"/>
    <col min="6978" max="6978" width="14.33203125" style="40" customWidth="1"/>
    <col min="6979" max="7203" width="8.58203125" style="40"/>
    <col min="7204" max="7204" width="14.33203125" style="40" customWidth="1"/>
    <col min="7205" max="7206" width="3.33203125" style="40" customWidth="1"/>
    <col min="7207" max="7231" width="2.33203125" style="40" customWidth="1"/>
    <col min="7232" max="7233" width="3.33203125" style="40" customWidth="1"/>
    <col min="7234" max="7234" width="14.33203125" style="40" customWidth="1"/>
    <col min="7235" max="7459" width="8.58203125" style="40"/>
    <col min="7460" max="7460" width="14.33203125" style="40" customWidth="1"/>
    <col min="7461" max="7462" width="3.33203125" style="40" customWidth="1"/>
    <col min="7463" max="7487" width="2.33203125" style="40" customWidth="1"/>
    <col min="7488" max="7489" width="3.33203125" style="40" customWidth="1"/>
    <col min="7490" max="7490" width="14.33203125" style="40" customWidth="1"/>
    <col min="7491" max="7715" width="8.58203125" style="40"/>
    <col min="7716" max="7716" width="14.33203125" style="40" customWidth="1"/>
    <col min="7717" max="7718" width="3.33203125" style="40" customWidth="1"/>
    <col min="7719" max="7743" width="2.33203125" style="40" customWidth="1"/>
    <col min="7744" max="7745" width="3.33203125" style="40" customWidth="1"/>
    <col min="7746" max="7746" width="14.33203125" style="40" customWidth="1"/>
    <col min="7747" max="7971" width="8.58203125" style="40"/>
    <col min="7972" max="7972" width="14.33203125" style="40" customWidth="1"/>
    <col min="7973" max="7974" width="3.33203125" style="40" customWidth="1"/>
    <col min="7975" max="7999" width="2.33203125" style="40" customWidth="1"/>
    <col min="8000" max="8001" width="3.33203125" style="40" customWidth="1"/>
    <col min="8002" max="8002" width="14.33203125" style="40" customWidth="1"/>
    <col min="8003" max="8227" width="8.58203125" style="40"/>
    <col min="8228" max="8228" width="14.33203125" style="40" customWidth="1"/>
    <col min="8229" max="8230" width="3.33203125" style="40" customWidth="1"/>
    <col min="8231" max="8255" width="2.33203125" style="40" customWidth="1"/>
    <col min="8256" max="8257" width="3.33203125" style="40" customWidth="1"/>
    <col min="8258" max="8258" width="14.33203125" style="40" customWidth="1"/>
    <col min="8259" max="8483" width="8.58203125" style="40"/>
    <col min="8484" max="8484" width="14.33203125" style="40" customWidth="1"/>
    <col min="8485" max="8486" width="3.33203125" style="40" customWidth="1"/>
    <col min="8487" max="8511" width="2.33203125" style="40" customWidth="1"/>
    <col min="8512" max="8513" width="3.33203125" style="40" customWidth="1"/>
    <col min="8514" max="8514" width="14.33203125" style="40" customWidth="1"/>
    <col min="8515" max="8739" width="8.58203125" style="40"/>
    <col min="8740" max="8740" width="14.33203125" style="40" customWidth="1"/>
    <col min="8741" max="8742" width="3.33203125" style="40" customWidth="1"/>
    <col min="8743" max="8767" width="2.33203125" style="40" customWidth="1"/>
    <col min="8768" max="8769" width="3.33203125" style="40" customWidth="1"/>
    <col min="8770" max="8770" width="14.33203125" style="40" customWidth="1"/>
    <col min="8771" max="8995" width="8.58203125" style="40"/>
    <col min="8996" max="8996" width="14.33203125" style="40" customWidth="1"/>
    <col min="8997" max="8998" width="3.33203125" style="40" customWidth="1"/>
    <col min="8999" max="9023" width="2.33203125" style="40" customWidth="1"/>
    <col min="9024" max="9025" width="3.33203125" style="40" customWidth="1"/>
    <col min="9026" max="9026" width="14.33203125" style="40" customWidth="1"/>
    <col min="9027" max="9251" width="8.58203125" style="40"/>
    <col min="9252" max="9252" width="14.33203125" style="40" customWidth="1"/>
    <col min="9253" max="9254" width="3.33203125" style="40" customWidth="1"/>
    <col min="9255" max="9279" width="2.33203125" style="40" customWidth="1"/>
    <col min="9280" max="9281" width="3.33203125" style="40" customWidth="1"/>
    <col min="9282" max="9282" width="14.33203125" style="40" customWidth="1"/>
    <col min="9283" max="9507" width="8.58203125" style="40"/>
    <col min="9508" max="9508" width="14.33203125" style="40" customWidth="1"/>
    <col min="9509" max="9510" width="3.33203125" style="40" customWidth="1"/>
    <col min="9511" max="9535" width="2.33203125" style="40" customWidth="1"/>
    <col min="9536" max="9537" width="3.33203125" style="40" customWidth="1"/>
    <col min="9538" max="9538" width="14.33203125" style="40" customWidth="1"/>
    <col min="9539" max="9763" width="8.58203125" style="40"/>
    <col min="9764" max="9764" width="14.33203125" style="40" customWidth="1"/>
    <col min="9765" max="9766" width="3.33203125" style="40" customWidth="1"/>
    <col min="9767" max="9791" width="2.33203125" style="40" customWidth="1"/>
    <col min="9792" max="9793" width="3.33203125" style="40" customWidth="1"/>
    <col min="9794" max="9794" width="14.33203125" style="40" customWidth="1"/>
    <col min="9795" max="10019" width="8.58203125" style="40"/>
    <col min="10020" max="10020" width="14.33203125" style="40" customWidth="1"/>
    <col min="10021" max="10022" width="3.33203125" style="40" customWidth="1"/>
    <col min="10023" max="10047" width="2.33203125" style="40" customWidth="1"/>
    <col min="10048" max="10049" width="3.33203125" style="40" customWidth="1"/>
    <col min="10050" max="10050" width="14.33203125" style="40" customWidth="1"/>
    <col min="10051" max="10275" width="8.58203125" style="40"/>
    <col min="10276" max="10276" width="14.33203125" style="40" customWidth="1"/>
    <col min="10277" max="10278" width="3.33203125" style="40" customWidth="1"/>
    <col min="10279" max="10303" width="2.33203125" style="40" customWidth="1"/>
    <col min="10304" max="10305" width="3.33203125" style="40" customWidth="1"/>
    <col min="10306" max="10306" width="14.33203125" style="40" customWidth="1"/>
    <col min="10307" max="10531" width="8.58203125" style="40"/>
    <col min="10532" max="10532" width="14.33203125" style="40" customWidth="1"/>
    <col min="10533" max="10534" width="3.33203125" style="40" customWidth="1"/>
    <col min="10535" max="10559" width="2.33203125" style="40" customWidth="1"/>
    <col min="10560" max="10561" width="3.33203125" style="40" customWidth="1"/>
    <col min="10562" max="10562" width="14.33203125" style="40" customWidth="1"/>
    <col min="10563" max="10787" width="8.58203125" style="40"/>
    <col min="10788" max="10788" width="14.33203125" style="40" customWidth="1"/>
    <col min="10789" max="10790" width="3.33203125" style="40" customWidth="1"/>
    <col min="10791" max="10815" width="2.33203125" style="40" customWidth="1"/>
    <col min="10816" max="10817" width="3.33203125" style="40" customWidth="1"/>
    <col min="10818" max="10818" width="14.33203125" style="40" customWidth="1"/>
    <col min="10819" max="11043" width="8.58203125" style="40"/>
    <col min="11044" max="11044" width="14.33203125" style="40" customWidth="1"/>
    <col min="11045" max="11046" width="3.33203125" style="40" customWidth="1"/>
    <col min="11047" max="11071" width="2.33203125" style="40" customWidth="1"/>
    <col min="11072" max="11073" width="3.33203125" style="40" customWidth="1"/>
    <col min="11074" max="11074" width="14.33203125" style="40" customWidth="1"/>
    <col min="11075" max="11299" width="8.58203125" style="40"/>
    <col min="11300" max="11300" width="14.33203125" style="40" customWidth="1"/>
    <col min="11301" max="11302" width="3.33203125" style="40" customWidth="1"/>
    <col min="11303" max="11327" width="2.33203125" style="40" customWidth="1"/>
    <col min="11328" max="11329" width="3.33203125" style="40" customWidth="1"/>
    <col min="11330" max="11330" width="14.33203125" style="40" customWidth="1"/>
    <col min="11331" max="11555" width="8.58203125" style="40"/>
    <col min="11556" max="11556" width="14.33203125" style="40" customWidth="1"/>
    <col min="11557" max="11558" width="3.33203125" style="40" customWidth="1"/>
    <col min="11559" max="11583" width="2.33203125" style="40" customWidth="1"/>
    <col min="11584" max="11585" width="3.33203125" style="40" customWidth="1"/>
    <col min="11586" max="11586" width="14.33203125" style="40" customWidth="1"/>
    <col min="11587" max="11811" width="8.58203125" style="40"/>
    <col min="11812" max="11812" width="14.33203125" style="40" customWidth="1"/>
    <col min="11813" max="11814" width="3.33203125" style="40" customWidth="1"/>
    <col min="11815" max="11839" width="2.33203125" style="40" customWidth="1"/>
    <col min="11840" max="11841" width="3.33203125" style="40" customWidth="1"/>
    <col min="11842" max="11842" width="14.33203125" style="40" customWidth="1"/>
    <col min="11843" max="12067" width="8.58203125" style="40"/>
    <col min="12068" max="12068" width="14.33203125" style="40" customWidth="1"/>
    <col min="12069" max="12070" width="3.33203125" style="40" customWidth="1"/>
    <col min="12071" max="12095" width="2.33203125" style="40" customWidth="1"/>
    <col min="12096" max="12097" width="3.33203125" style="40" customWidth="1"/>
    <col min="12098" max="12098" width="14.33203125" style="40" customWidth="1"/>
    <col min="12099" max="12323" width="8.58203125" style="40"/>
    <col min="12324" max="12324" width="14.33203125" style="40" customWidth="1"/>
    <col min="12325" max="12326" width="3.33203125" style="40" customWidth="1"/>
    <col min="12327" max="12351" width="2.33203125" style="40" customWidth="1"/>
    <col min="12352" max="12353" width="3.33203125" style="40" customWidth="1"/>
    <col min="12354" max="12354" width="14.33203125" style="40" customWidth="1"/>
    <col min="12355" max="12579" width="8.58203125" style="40"/>
    <col min="12580" max="12580" width="14.33203125" style="40" customWidth="1"/>
    <col min="12581" max="12582" width="3.33203125" style="40" customWidth="1"/>
    <col min="12583" max="12607" width="2.33203125" style="40" customWidth="1"/>
    <col min="12608" max="12609" width="3.33203125" style="40" customWidth="1"/>
    <col min="12610" max="12610" width="14.33203125" style="40" customWidth="1"/>
    <col min="12611" max="12835" width="8.58203125" style="40"/>
    <col min="12836" max="12836" width="14.33203125" style="40" customWidth="1"/>
    <col min="12837" max="12838" width="3.33203125" style="40" customWidth="1"/>
    <col min="12839" max="12863" width="2.33203125" style="40" customWidth="1"/>
    <col min="12864" max="12865" width="3.33203125" style="40" customWidth="1"/>
    <col min="12866" max="12866" width="14.33203125" style="40" customWidth="1"/>
    <col min="12867" max="13091" width="8.58203125" style="40"/>
    <col min="13092" max="13092" width="14.33203125" style="40" customWidth="1"/>
    <col min="13093" max="13094" width="3.33203125" style="40" customWidth="1"/>
    <col min="13095" max="13119" width="2.33203125" style="40" customWidth="1"/>
    <col min="13120" max="13121" width="3.33203125" style="40" customWidth="1"/>
    <col min="13122" max="13122" width="14.33203125" style="40" customWidth="1"/>
    <col min="13123" max="13347" width="8.58203125" style="40"/>
    <col min="13348" max="13348" width="14.33203125" style="40" customWidth="1"/>
    <col min="13349" max="13350" width="3.33203125" style="40" customWidth="1"/>
    <col min="13351" max="13375" width="2.33203125" style="40" customWidth="1"/>
    <col min="13376" max="13377" width="3.33203125" style="40" customWidth="1"/>
    <col min="13378" max="13378" width="14.33203125" style="40" customWidth="1"/>
    <col min="13379" max="13603" width="8.58203125" style="40"/>
    <col min="13604" max="13604" width="14.33203125" style="40" customWidth="1"/>
    <col min="13605" max="13606" width="3.33203125" style="40" customWidth="1"/>
    <col min="13607" max="13631" width="2.33203125" style="40" customWidth="1"/>
    <col min="13632" max="13633" width="3.33203125" style="40" customWidth="1"/>
    <col min="13634" max="13634" width="14.33203125" style="40" customWidth="1"/>
    <col min="13635" max="13859" width="8.58203125" style="40"/>
    <col min="13860" max="13860" width="14.33203125" style="40" customWidth="1"/>
    <col min="13861" max="13862" width="3.33203125" style="40" customWidth="1"/>
    <col min="13863" max="13887" width="2.33203125" style="40" customWidth="1"/>
    <col min="13888" max="13889" width="3.33203125" style="40" customWidth="1"/>
    <col min="13890" max="13890" width="14.33203125" style="40" customWidth="1"/>
    <col min="13891" max="14115" width="8.58203125" style="40"/>
    <col min="14116" max="14116" width="14.33203125" style="40" customWidth="1"/>
    <col min="14117" max="14118" width="3.33203125" style="40" customWidth="1"/>
    <col min="14119" max="14143" width="2.33203125" style="40" customWidth="1"/>
    <col min="14144" max="14145" width="3.33203125" style="40" customWidth="1"/>
    <col min="14146" max="14146" width="14.33203125" style="40" customWidth="1"/>
    <col min="14147" max="14371" width="8.58203125" style="40"/>
    <col min="14372" max="14372" width="14.33203125" style="40" customWidth="1"/>
    <col min="14373" max="14374" width="3.33203125" style="40" customWidth="1"/>
    <col min="14375" max="14399" width="2.33203125" style="40" customWidth="1"/>
    <col min="14400" max="14401" width="3.33203125" style="40" customWidth="1"/>
    <col min="14402" max="14402" width="14.33203125" style="40" customWidth="1"/>
    <col min="14403" max="14627" width="8.58203125" style="40"/>
    <col min="14628" max="14628" width="14.33203125" style="40" customWidth="1"/>
    <col min="14629" max="14630" width="3.33203125" style="40" customWidth="1"/>
    <col min="14631" max="14655" width="2.33203125" style="40" customWidth="1"/>
    <col min="14656" max="14657" width="3.33203125" style="40" customWidth="1"/>
    <col min="14658" max="14658" width="14.33203125" style="40" customWidth="1"/>
    <col min="14659" max="14883" width="8.58203125" style="40"/>
    <col min="14884" max="14884" width="14.33203125" style="40" customWidth="1"/>
    <col min="14885" max="14886" width="3.33203125" style="40" customWidth="1"/>
    <col min="14887" max="14911" width="2.33203125" style="40" customWidth="1"/>
    <col min="14912" max="14913" width="3.33203125" style="40" customWidth="1"/>
    <col min="14914" max="14914" width="14.33203125" style="40" customWidth="1"/>
    <col min="14915" max="15139" width="8.58203125" style="40"/>
    <col min="15140" max="15140" width="14.33203125" style="40" customWidth="1"/>
    <col min="15141" max="15142" width="3.33203125" style="40" customWidth="1"/>
    <col min="15143" max="15167" width="2.33203125" style="40" customWidth="1"/>
    <col min="15168" max="15169" width="3.33203125" style="40" customWidth="1"/>
    <col min="15170" max="15170" width="14.33203125" style="40" customWidth="1"/>
    <col min="15171" max="15395" width="8.58203125" style="40"/>
    <col min="15396" max="15396" width="14.33203125" style="40" customWidth="1"/>
    <col min="15397" max="15398" width="3.33203125" style="40" customWidth="1"/>
    <col min="15399" max="15423" width="2.33203125" style="40" customWidth="1"/>
    <col min="15424" max="15425" width="3.33203125" style="40" customWidth="1"/>
    <col min="15426" max="15426" width="14.33203125" style="40" customWidth="1"/>
    <col min="15427" max="15651" width="8.58203125" style="40"/>
    <col min="15652" max="15652" width="14.33203125" style="40" customWidth="1"/>
    <col min="15653" max="15654" width="3.33203125" style="40" customWidth="1"/>
    <col min="15655" max="15679" width="2.33203125" style="40" customWidth="1"/>
    <col min="15680" max="15681" width="3.33203125" style="40" customWidth="1"/>
    <col min="15682" max="15682" width="14.33203125" style="40" customWidth="1"/>
    <col min="15683" max="15907" width="8.58203125" style="40"/>
    <col min="15908" max="15908" width="14.33203125" style="40" customWidth="1"/>
    <col min="15909" max="15910" width="3.33203125" style="40" customWidth="1"/>
    <col min="15911" max="15935" width="2.33203125" style="40" customWidth="1"/>
    <col min="15936" max="15937" width="3.33203125" style="40" customWidth="1"/>
    <col min="15938" max="15938" width="14.33203125" style="40" customWidth="1"/>
    <col min="15939" max="16163" width="8.58203125" style="40"/>
    <col min="16164" max="16164" width="14.33203125" style="40" customWidth="1"/>
    <col min="16165" max="16166" width="3.33203125" style="40" customWidth="1"/>
    <col min="16167" max="16191" width="2.33203125" style="40" customWidth="1"/>
    <col min="16192" max="16193" width="3.33203125" style="40" customWidth="1"/>
    <col min="16194" max="16194" width="14.33203125" style="40" customWidth="1"/>
    <col min="16195" max="16384" width="8.58203125" style="40"/>
  </cols>
  <sheetData>
    <row r="1" spans="1:69" ht="25" customHeight="1" x14ac:dyDescent="0.55000000000000004">
      <c r="A1" s="39" t="s">
        <v>577</v>
      </c>
      <c r="BO1" s="10"/>
      <c r="BP1" s="10"/>
      <c r="BQ1" s="10"/>
    </row>
    <row r="2" spans="1:69" ht="25" customHeight="1" x14ac:dyDescent="0.55000000000000004">
      <c r="A2" s="39"/>
      <c r="BO2" s="10"/>
      <c r="BP2" s="10"/>
      <c r="BQ2" s="10"/>
    </row>
    <row r="3" spans="1:69" ht="25" customHeight="1" x14ac:dyDescent="0.55000000000000004">
      <c r="A3" s="39"/>
      <c r="BO3" s="10"/>
      <c r="BP3" s="10"/>
      <c r="BQ3" s="10"/>
    </row>
    <row r="4" spans="1:69" ht="25" customHeight="1" x14ac:dyDescent="0.55000000000000004">
      <c r="A4" s="39"/>
      <c r="BO4" s="10"/>
      <c r="BP4" s="10"/>
      <c r="BQ4" s="10"/>
    </row>
    <row r="5" spans="1:69" ht="25" customHeight="1" x14ac:dyDescent="0.55000000000000004">
      <c r="A5" s="39"/>
      <c r="BN5" s="41"/>
      <c r="BO5" s="10"/>
      <c r="BP5" s="10"/>
      <c r="BQ5" s="37" t="s">
        <v>814</v>
      </c>
    </row>
    <row r="7" spans="1:69" x14ac:dyDescent="0.55000000000000004">
      <c r="B7" s="141" t="s">
        <v>385</v>
      </c>
      <c r="C7" s="142"/>
      <c r="D7" s="42" t="s">
        <v>411</v>
      </c>
      <c r="E7" s="42" t="s">
        <v>409</v>
      </c>
      <c r="F7" s="42" t="s">
        <v>412</v>
      </c>
    </row>
    <row r="8" spans="1:69" x14ac:dyDescent="0.55000000000000004">
      <c r="B8" s="143" t="s">
        <v>407</v>
      </c>
      <c r="C8" s="43" t="s">
        <v>396</v>
      </c>
      <c r="D8" s="43">
        <f>COUNTIF('PF80'!U10:U89,"CAN0_0_RX")</f>
        <v>0</v>
      </c>
      <c r="E8" s="43">
        <f>COUNTIF('PF80'!U10:U89,"CAN0_1_RX")</f>
        <v>0</v>
      </c>
      <c r="F8" s="43">
        <f>COUNTIF('PF80'!U10:U89,"CAN0_2_RX")</f>
        <v>0</v>
      </c>
    </row>
    <row r="9" spans="1:69" x14ac:dyDescent="0.55000000000000004">
      <c r="B9" s="144"/>
      <c r="C9" s="43" t="s">
        <v>395</v>
      </c>
      <c r="D9" s="43">
        <f>COUNTIF('PF80'!U10:U89,"CAN0_0_TX")</f>
        <v>0</v>
      </c>
      <c r="E9" s="43">
        <f>COUNTIF('PF80'!U10:U89,"CAN0_1_TX")</f>
        <v>0</v>
      </c>
      <c r="F9" s="43">
        <f>COUNTIF('PF80'!U10:U89,"CAN0_2_TX")</f>
        <v>0</v>
      </c>
    </row>
    <row r="11" spans="1:69" x14ac:dyDescent="0.55000000000000004">
      <c r="B11" s="141" t="s">
        <v>381</v>
      </c>
      <c r="C11" s="142"/>
      <c r="D11" s="42" t="s">
        <v>413</v>
      </c>
      <c r="E11" s="42" t="s">
        <v>415</v>
      </c>
      <c r="F11" s="42" t="s">
        <v>414</v>
      </c>
    </row>
    <row r="12" spans="1:69" x14ac:dyDescent="0.55000000000000004">
      <c r="B12" s="145" t="s">
        <v>407</v>
      </c>
      <c r="C12" s="43" t="s">
        <v>396</v>
      </c>
      <c r="D12" s="43">
        <f>COUNTIF('PF80'!U10:U89,"CAN1_0_RX")</f>
        <v>0</v>
      </c>
      <c r="E12" s="43">
        <f>COUNTIF('PF80'!U10:U89,"CAN1_1_RX")</f>
        <v>0</v>
      </c>
      <c r="F12" s="43">
        <f>COUNTIF('PF80'!U10:U89,"CAN1_2_RX")</f>
        <v>0</v>
      </c>
    </row>
    <row r="13" spans="1:69" x14ac:dyDescent="0.55000000000000004">
      <c r="B13" s="145"/>
      <c r="C13" s="43" t="s">
        <v>395</v>
      </c>
      <c r="D13" s="43">
        <f>COUNTIF('PF80'!U10:U89,"CAN1_0_TX")</f>
        <v>0</v>
      </c>
      <c r="E13" s="43">
        <f>COUNTIF('PF80'!U10:U89,"CAN1_1_TX")</f>
        <v>0</v>
      </c>
      <c r="F13" s="43">
        <f>COUNTIF('PF80'!U10:U89,"CAN1_2_TX")</f>
        <v>0</v>
      </c>
    </row>
    <row r="14" spans="1:69" x14ac:dyDescent="0.55000000000000004">
      <c r="B14" s="44"/>
      <c r="C14" s="45"/>
      <c r="D14" s="45"/>
      <c r="E14" s="45"/>
      <c r="F14" s="45"/>
    </row>
    <row r="16" spans="1:69" x14ac:dyDescent="0.55000000000000004">
      <c r="B16" s="141" t="s">
        <v>384</v>
      </c>
      <c r="C16" s="142"/>
      <c r="D16" s="42" t="s">
        <v>398</v>
      </c>
      <c r="E16" s="42" t="s">
        <v>399</v>
      </c>
      <c r="F16" s="42" t="s">
        <v>400</v>
      </c>
      <c r="G16" s="42" t="s">
        <v>401</v>
      </c>
      <c r="H16" s="42" t="s">
        <v>402</v>
      </c>
      <c r="I16" s="42" t="s">
        <v>403</v>
      </c>
      <c r="J16" s="42" t="s">
        <v>404</v>
      </c>
      <c r="K16" s="42" t="s">
        <v>405</v>
      </c>
    </row>
    <row r="17" spans="2:59" x14ac:dyDescent="0.55000000000000004">
      <c r="B17" s="143" t="s">
        <v>407</v>
      </c>
      <c r="C17" s="43" t="s">
        <v>396</v>
      </c>
      <c r="D17" s="43">
        <f>COUNTIF('PF80'!U10:U89,"LIN0_RX")</f>
        <v>0</v>
      </c>
      <c r="E17" s="43">
        <f>COUNTIF('PF80'!U10:U89,"LIN1_RX")</f>
        <v>0</v>
      </c>
      <c r="F17" s="43">
        <f>COUNTIF('PF80'!U10:U89,"LIN2_RX")</f>
        <v>0</v>
      </c>
      <c r="G17" s="43">
        <f>COUNTIF('PF80'!U10:U89,"LIN3_RX")</f>
        <v>0</v>
      </c>
      <c r="H17" s="43">
        <f>COUNTIF('PF80'!U10:U89,"LIN4_RX")</f>
        <v>0</v>
      </c>
      <c r="I17" s="43">
        <f>COUNTIF('PF80'!U10:U89,"LIN5_RX")</f>
        <v>0</v>
      </c>
      <c r="J17" s="43">
        <f>COUNTIF('PF80'!U10:U89,"LIN6_RX")</f>
        <v>0</v>
      </c>
      <c r="K17" s="43">
        <f>COUNTIF('PF80'!U10:U89,"LIN7_RX")</f>
        <v>0</v>
      </c>
    </row>
    <row r="18" spans="2:59" x14ac:dyDescent="0.55000000000000004">
      <c r="B18" s="146"/>
      <c r="C18" s="43" t="s">
        <v>395</v>
      </c>
      <c r="D18" s="43">
        <f>COUNTIF('PF80'!U10:U89,"LIN0_TX")</f>
        <v>0</v>
      </c>
      <c r="E18" s="43">
        <f>COUNTIF('PF80'!U10:U89,"LIN1_TX")</f>
        <v>0</v>
      </c>
      <c r="F18" s="43">
        <f>COUNTIF('PF80'!U10:U89,"LIN2_TX")</f>
        <v>0</v>
      </c>
      <c r="G18" s="43">
        <f>COUNTIF('PF80'!U10:U89,"LIN3_TX")</f>
        <v>0</v>
      </c>
      <c r="H18" s="43">
        <f>COUNTIF('PF80'!U10:U89,"LIN4_TX")</f>
        <v>0</v>
      </c>
      <c r="I18" s="43">
        <f>COUNTIF('PF80'!U10:U89,"LIN5_TX")</f>
        <v>0</v>
      </c>
      <c r="J18" s="43">
        <f>COUNTIF('PF80'!U10:U89,"LIN6_TX")</f>
        <v>0</v>
      </c>
      <c r="K18" s="43">
        <f>COUNTIF('PF80'!U10:U89,"LIN7_TX")</f>
        <v>0</v>
      </c>
    </row>
    <row r="19" spans="2:59" x14ac:dyDescent="0.55000000000000004">
      <c r="B19" s="144"/>
      <c r="C19" s="43" t="s">
        <v>406</v>
      </c>
      <c r="D19" s="43">
        <f>COUNTIF('PF80'!U10:U89,"LIN0_EN")</f>
        <v>0</v>
      </c>
      <c r="E19" s="43">
        <f>COUNTIF('PF80'!U10:U89,"LIN1_EN")</f>
        <v>0</v>
      </c>
      <c r="F19" s="43">
        <f>COUNTIF('PF80'!U10:U89,"LIN2_EN")</f>
        <v>0</v>
      </c>
      <c r="G19" s="43">
        <f>COUNTIF('PF80'!U10:U89,"LIN3_EN")</f>
        <v>0</v>
      </c>
      <c r="H19" s="43">
        <f>COUNTIF('PF80'!U10:U89,"LIN4_EN")</f>
        <v>0</v>
      </c>
      <c r="I19" s="43">
        <f>COUNTIF('PF80'!U10:U89,"LIN5_EN")</f>
        <v>0</v>
      </c>
      <c r="J19" s="43">
        <f>COUNTIF('PF80'!U10:U89,"LIN6_EN")</f>
        <v>0</v>
      </c>
      <c r="K19" s="43">
        <f>COUNTIF('PF80'!U10:U89,"LIN7_EN")</f>
        <v>0</v>
      </c>
    </row>
    <row r="20" spans="2:59" x14ac:dyDescent="0.55000000000000004">
      <c r="B20" s="44"/>
      <c r="C20" s="45"/>
      <c r="D20" s="45"/>
      <c r="E20" s="45"/>
      <c r="F20" s="45"/>
      <c r="G20" s="45"/>
      <c r="H20" s="45"/>
      <c r="I20" s="45"/>
      <c r="J20" s="45"/>
      <c r="K20" s="45"/>
    </row>
    <row r="22" spans="2:59" x14ac:dyDescent="0.55000000000000004">
      <c r="B22" s="141" t="s">
        <v>386</v>
      </c>
      <c r="C22" s="142"/>
      <c r="D22" s="42" t="s">
        <v>387</v>
      </c>
      <c r="E22" s="42" t="s">
        <v>388</v>
      </c>
      <c r="F22" s="42" t="s">
        <v>389</v>
      </c>
      <c r="G22" s="42" t="s">
        <v>390</v>
      </c>
      <c r="H22" s="42" t="s">
        <v>394</v>
      </c>
      <c r="I22" s="42" t="s">
        <v>393</v>
      </c>
      <c r="J22" s="42" t="s">
        <v>392</v>
      </c>
      <c r="K22" s="42" t="s">
        <v>391</v>
      </c>
    </row>
    <row r="23" spans="2:59" ht="10" customHeight="1" x14ac:dyDescent="0.55000000000000004">
      <c r="B23" s="148" t="s">
        <v>426</v>
      </c>
      <c r="C23" s="49" t="s">
        <v>797</v>
      </c>
      <c r="D23" s="50">
        <f>COUNTIF('PF80'!U10:U89,"SCB0_CLK (0)")</f>
        <v>0</v>
      </c>
      <c r="E23" s="51">
        <f>COUNTIF('PF80'!U10:U89,"SCB1_CLK (0)")</f>
        <v>0</v>
      </c>
      <c r="F23" s="51">
        <f>COUNTIF('PF80'!U10:U89,"SCB2_CLK (0)")</f>
        <v>0</v>
      </c>
      <c r="G23" s="51">
        <f>COUNTIF('PF80'!U10:U89,"SCB3_CLK (0)")</f>
        <v>0</v>
      </c>
      <c r="H23" s="51">
        <f>COUNTIF('PF80'!U10:U89,"SCB4_CLK (0)")</f>
        <v>0</v>
      </c>
      <c r="I23" s="51">
        <f>COUNTIF('PF80'!U10:U89,"SCB5_CLK (0)")</f>
        <v>0</v>
      </c>
      <c r="J23" s="51">
        <f>COUNTIF('PF80'!U10:U89,"SCB6_CLK (0)")</f>
        <v>0</v>
      </c>
      <c r="K23" s="51">
        <f>COUNTIF('PF80'!U10:U89,"SCB7_CLK (0)")</f>
        <v>0</v>
      </c>
      <c r="BG23" s="52"/>
    </row>
    <row r="24" spans="2:59" ht="10" customHeight="1" x14ac:dyDescent="0.55000000000000004">
      <c r="B24" s="149"/>
      <c r="C24" s="49" t="s">
        <v>804</v>
      </c>
      <c r="D24" s="50">
        <f>COUNTIF('PF80'!U10:U89,"SCB0_CLK (1)")</f>
        <v>0</v>
      </c>
      <c r="E24" s="51">
        <f>COUNTIF('PF80'!U10:U89,"SCB1_CLK (1)")</f>
        <v>0</v>
      </c>
      <c r="F24" s="51">
        <f>COUNTIF('PF80'!U10:U89,"SCB2_CLK (1)")</f>
        <v>0</v>
      </c>
      <c r="G24" s="51">
        <f>COUNTIF('PF80'!U10:U89,"SCB3_CLK (1)")</f>
        <v>0</v>
      </c>
      <c r="H24" s="51">
        <f>COUNTIF('PF80'!U10:U89,"SCB4_CLK (1)")</f>
        <v>0</v>
      </c>
      <c r="I24" s="51">
        <f>COUNTIF('PF80'!U10:U89,"SCB5_CLK (1)")</f>
        <v>0</v>
      </c>
      <c r="J24" s="51">
        <f>COUNTIF('PF80'!U10:U89,"SCB6_CLK (1)")</f>
        <v>0</v>
      </c>
      <c r="K24" s="51">
        <f>COUNTIF('PF80'!U10:U89,"SCB7_CLK (1)")</f>
        <v>0</v>
      </c>
      <c r="BG24" s="52"/>
    </row>
    <row r="25" spans="2:59" x14ac:dyDescent="0.55000000000000004">
      <c r="B25" s="149"/>
      <c r="C25" s="49" t="s">
        <v>798</v>
      </c>
      <c r="D25" s="50">
        <f>COUNTIF('PF80'!U10:U89,"SCB0_MOSI (0)")</f>
        <v>0</v>
      </c>
      <c r="E25" s="51">
        <f>COUNTIF('PF80'!U10:U89,"SCB1_MOSI (0)")</f>
        <v>0</v>
      </c>
      <c r="F25" s="51">
        <f>COUNTIF('PF80'!U10:U89,"SCB2_MOSI (0)")</f>
        <v>0</v>
      </c>
      <c r="G25" s="51">
        <f>COUNTIF('PF80'!U10:U89,"SCB3_MOSI (0)")</f>
        <v>0</v>
      </c>
      <c r="H25" s="51">
        <f>COUNTIF('PF80'!U10:U89,"SCB4_MOSI (0)")</f>
        <v>0</v>
      </c>
      <c r="I25" s="51">
        <f>COUNTIF('PF80'!U10:U89,"SCB5_MOSI (0)")</f>
        <v>0</v>
      </c>
      <c r="J25" s="51">
        <f>COUNTIF('PF80'!U10:U89,"SCB6_MOSI (0)")</f>
        <v>0</v>
      </c>
      <c r="K25" s="51">
        <f>COUNTIF('PF80'!U10:U89,"SCB7_MOSI (0)")</f>
        <v>0</v>
      </c>
    </row>
    <row r="26" spans="2:59" x14ac:dyDescent="0.55000000000000004">
      <c r="B26" s="149"/>
      <c r="C26" s="49" t="s">
        <v>805</v>
      </c>
      <c r="D26" s="50">
        <f>COUNTIF('PF80'!U10:U89,"SCB0_MOSI (1)")</f>
        <v>0</v>
      </c>
      <c r="E26" s="51">
        <f>COUNTIF('PF80'!U10:U89,"SCB1_MOSI (1)")</f>
        <v>0</v>
      </c>
      <c r="F26" s="51">
        <f>COUNTIF('PF80'!U10:U89,"SCB2_MOSI (1)")</f>
        <v>0</v>
      </c>
      <c r="G26" s="51">
        <f>COUNTIF('PF80'!U10:U89,"SCB3_MOSI (1)")</f>
        <v>0</v>
      </c>
      <c r="H26" s="51">
        <f>COUNTIF('PF80'!U10:U89,"SCB4_MOSI (1)")</f>
        <v>0</v>
      </c>
      <c r="I26" s="51">
        <f>COUNTIF('PF80'!U10:U89,"SCB5_MOSI (1)")</f>
        <v>0</v>
      </c>
      <c r="J26" s="51">
        <f>COUNTIF('PF80'!U10:U89,"SCB6_MOSI (1)")</f>
        <v>0</v>
      </c>
      <c r="K26" s="51">
        <f>COUNTIF('PF80'!U10:U89,"SCB7_MOSI (1)")</f>
        <v>0</v>
      </c>
    </row>
    <row r="27" spans="2:59" x14ac:dyDescent="0.55000000000000004">
      <c r="B27" s="149"/>
      <c r="C27" s="49" t="s">
        <v>799</v>
      </c>
      <c r="D27" s="50">
        <f>COUNTIF('PF80'!U10:U89,"SCB0_MISO (0)")</f>
        <v>0</v>
      </c>
      <c r="E27" s="51">
        <f>COUNTIF('PF80'!U10:U89,"SCB1_MISO (0)")</f>
        <v>0</v>
      </c>
      <c r="F27" s="51">
        <f>COUNTIF('PF80'!U10:U89,"SCB2_MISO (0)")</f>
        <v>0</v>
      </c>
      <c r="G27" s="51">
        <f>COUNTIF('PF80'!U10:U89,"SCB3_MISO (0)")</f>
        <v>0</v>
      </c>
      <c r="H27" s="51">
        <f>COUNTIF('PF80'!U10:U89,"SCB4_MISO (0)")</f>
        <v>0</v>
      </c>
      <c r="I27" s="51">
        <f>COUNTIF('PF80'!U10:U89,"SCB5_MISO (0)")</f>
        <v>0</v>
      </c>
      <c r="J27" s="51">
        <f>COUNTIF('PF80'!U10:U89,"SCB6_MISO (0)")</f>
        <v>0</v>
      </c>
      <c r="K27" s="51">
        <f>COUNTIF('PF80'!U10:U89,"SCB7_MISO (0)")</f>
        <v>0</v>
      </c>
    </row>
    <row r="28" spans="2:59" x14ac:dyDescent="0.55000000000000004">
      <c r="B28" s="149"/>
      <c r="C28" s="49" t="s">
        <v>806</v>
      </c>
      <c r="D28" s="50">
        <f>COUNTIF('PF80'!U10:U89,"SCB0_MISO (1)")</f>
        <v>0</v>
      </c>
      <c r="E28" s="51">
        <f>COUNTIF('PF80'!U10:U89,"SCB1_MISO (1)")</f>
        <v>0</v>
      </c>
      <c r="F28" s="51">
        <f>COUNTIF('PF80'!U10:U89,"SCB2_MISO (1)")</f>
        <v>0</v>
      </c>
      <c r="G28" s="51">
        <f>COUNTIF('PF80'!U10:U89,"SCB3_MISO (1)")</f>
        <v>0</v>
      </c>
      <c r="H28" s="51">
        <f>COUNTIF('PF80'!U10:U89,"SCB4_MISO (1)")</f>
        <v>0</v>
      </c>
      <c r="I28" s="51">
        <f>COUNTIF('PF80'!U10:U89,"SCB5_MISO (1)")</f>
        <v>0</v>
      </c>
      <c r="J28" s="51">
        <f>COUNTIF('PF80'!U10:U89,"SCB6_MISO (1)")</f>
        <v>0</v>
      </c>
      <c r="K28" s="51">
        <f>COUNTIF('PF80'!U10:U89,"SCB7_MISO (1)")</f>
        <v>0</v>
      </c>
    </row>
    <row r="29" spans="2:59" x14ac:dyDescent="0.55000000000000004">
      <c r="B29" s="149"/>
      <c r="C29" s="49" t="s">
        <v>800</v>
      </c>
      <c r="D29" s="50">
        <f>COUNTIF('PF80'!U10:U89,"SCB0_SEL0 (0)")</f>
        <v>0</v>
      </c>
      <c r="E29" s="51">
        <f>COUNTIF('PF80'!U10:U89,"SCB1_SEL0 (0)")</f>
        <v>0</v>
      </c>
      <c r="F29" s="51">
        <f>COUNTIF('PF80'!U10:U89,"SCB2_SEL0 (0)")</f>
        <v>0</v>
      </c>
      <c r="G29" s="51">
        <f>COUNTIF('PF80'!U10:U89,"SCB3_SEL0 (0)")</f>
        <v>0</v>
      </c>
      <c r="H29" s="51">
        <f>COUNTIF('PF80'!U10:U89,"SCB4_SEL0 (0)")</f>
        <v>0</v>
      </c>
      <c r="I29" s="50">
        <f>COUNTIF('PF80'!U10:U89,"SCB5_SEL0 (0)")</f>
        <v>0</v>
      </c>
      <c r="J29" s="50">
        <f>COUNTIF('PF80'!U10:U89,"SCB6_SEL0 (0)")</f>
        <v>0</v>
      </c>
      <c r="K29" s="51">
        <f>COUNTIF('PF80'!U10:U89,"SCB7_SEL0 (0)")</f>
        <v>0</v>
      </c>
    </row>
    <row r="30" spans="2:59" x14ac:dyDescent="0.55000000000000004">
      <c r="B30" s="149"/>
      <c r="C30" s="49" t="s">
        <v>807</v>
      </c>
      <c r="D30" s="50">
        <f>COUNTIF('PF80'!U10:U89,"SCB0_SEL0 (1)")</f>
        <v>0</v>
      </c>
      <c r="E30" s="51">
        <f>COUNTIF('PF80'!U10:U89,"SCB1_SEL0 (1)")</f>
        <v>0</v>
      </c>
      <c r="F30" s="51">
        <f>COUNTIF('PF80'!U10:U89,"SCB2_SEL0 (1)")</f>
        <v>0</v>
      </c>
      <c r="G30" s="51">
        <f>COUNTIF('PF80'!U10:U89,"SCB3_SEL0 (1)")</f>
        <v>0</v>
      </c>
      <c r="H30" s="51">
        <f>COUNTIF('PF80'!U10:U89,"SCB4_SEL0 (1)")</f>
        <v>0</v>
      </c>
      <c r="I30" s="50">
        <f>COUNTIF('PF80'!U10:U89,"SCB5_SEL0 (1)")</f>
        <v>0</v>
      </c>
      <c r="J30" s="50">
        <f>COUNTIF('PF80'!U10:U89,"SCB6_SEL0 (1)")</f>
        <v>0</v>
      </c>
      <c r="K30" s="51">
        <f>COUNTIF('PF80'!U10:U89,"SCB7_SEL0 (1)")</f>
        <v>0</v>
      </c>
    </row>
    <row r="31" spans="2:59" x14ac:dyDescent="0.55000000000000004">
      <c r="B31" s="149"/>
      <c r="C31" s="49" t="s">
        <v>801</v>
      </c>
      <c r="D31" s="50">
        <f>COUNTIF('PF80'!U10:U89,"SCB0_SEL1 (0)")</f>
        <v>0</v>
      </c>
      <c r="E31" s="51">
        <f>COUNTIF('PF80'!U10:U89,"SCB1_SEL1 (0)")</f>
        <v>0</v>
      </c>
      <c r="F31" s="51">
        <f>COUNTIF('PF80'!U10:U89,"SCB2_SEL1 (0)")</f>
        <v>0</v>
      </c>
      <c r="G31" s="51">
        <f>COUNTIF('PF80'!U10:U89,"SCB3_SEL1 (0)")</f>
        <v>0</v>
      </c>
      <c r="H31" s="51">
        <f>COUNTIF('PF80'!U10:U89,"SCB4_SEL1 (0)")</f>
        <v>0</v>
      </c>
      <c r="I31" s="50">
        <f>COUNTIF('PF80'!U10:U89,"SCB5_SEL1 (0)")</f>
        <v>0</v>
      </c>
      <c r="J31" s="50">
        <f>COUNTIF('PF80'!U10:U89,"SCB6_SEL1 (0)")</f>
        <v>0</v>
      </c>
      <c r="K31" s="51">
        <f>COUNTIF('PF80'!U10:U89,"SCB7_SEL1 (0)")</f>
        <v>0</v>
      </c>
    </row>
    <row r="32" spans="2:59" x14ac:dyDescent="0.55000000000000004">
      <c r="B32" s="149"/>
      <c r="C32" s="49" t="s">
        <v>808</v>
      </c>
      <c r="D32" s="50">
        <f>COUNTIF('PF80'!U10:U89,"SCB0_SEL1 (1)")</f>
        <v>0</v>
      </c>
      <c r="E32" s="51">
        <f>COUNTIF('PF80'!U10:U89,"SCB1_SEL1 (1)")</f>
        <v>0</v>
      </c>
      <c r="F32" s="51">
        <f>COUNTIF('PF80'!U10:U89,"SCB2_SEL1 (1)")</f>
        <v>0</v>
      </c>
      <c r="G32" s="51">
        <f>COUNTIF('PF80'!U10:U89,"SCB3_SEL1 (1)")</f>
        <v>0</v>
      </c>
      <c r="H32" s="51">
        <f>COUNTIF('PF80'!U10:U89,"SCB4_SEL1 (1)")</f>
        <v>0</v>
      </c>
      <c r="I32" s="50">
        <f>COUNTIF('PF80'!U10:U89,"SCB5_SEL1 (1)")</f>
        <v>0</v>
      </c>
      <c r="J32" s="50">
        <f>COUNTIF('PF80'!U10:U89,"SCB6_SEL1 (1)")</f>
        <v>0</v>
      </c>
      <c r="K32" s="51">
        <f>COUNTIF('PF80'!U10:U89,"SCB7_SEL1 (1)")</f>
        <v>0</v>
      </c>
    </row>
    <row r="33" spans="2:11" x14ac:dyDescent="0.55000000000000004">
      <c r="B33" s="149"/>
      <c r="C33" s="49" t="s">
        <v>802</v>
      </c>
      <c r="D33" s="50">
        <f>COUNTIF('PF80'!U10:U89,"SCB0_SEL2 (0)")</f>
        <v>0</v>
      </c>
      <c r="E33" s="51">
        <f>COUNTIF('PF80'!U10:U89,"SCB1_SEL2 (0)")</f>
        <v>0</v>
      </c>
      <c r="F33" s="51">
        <f>COUNTIF('PF80'!U10:U89,"SCB2_SEL2 (0)")</f>
        <v>0</v>
      </c>
      <c r="G33" s="51">
        <f>COUNTIF('PF80'!U10:U89,"SCB3_SEL2 (0)")</f>
        <v>0</v>
      </c>
      <c r="H33" s="51">
        <f>COUNTIF('PF80'!U10:U89,"SCB4_SEL2 (0)")</f>
        <v>0</v>
      </c>
      <c r="I33" s="50">
        <f>COUNTIF('PF80'!U10:U89,"SCB5_SEL2 (0)")</f>
        <v>0</v>
      </c>
      <c r="J33" s="50">
        <f>COUNTIF('PF80'!U10:U89,"SCB6_SEL2 (0)")</f>
        <v>0</v>
      </c>
      <c r="K33" s="51">
        <f>COUNTIF('PF80'!U10:U89,"SCB7_SEL2 (0)")</f>
        <v>0</v>
      </c>
    </row>
    <row r="34" spans="2:11" x14ac:dyDescent="0.55000000000000004">
      <c r="B34" s="149"/>
      <c r="C34" s="49" t="s">
        <v>809</v>
      </c>
      <c r="D34" s="50">
        <f>COUNTIF('PF80'!U10:U89,"SCB0_SEL2 (1)")</f>
        <v>0</v>
      </c>
      <c r="E34" s="51">
        <f>COUNTIF('PF80'!U10:U89,"SCB1_SEL2 (1)")</f>
        <v>0</v>
      </c>
      <c r="F34" s="51">
        <f>COUNTIF('PF80'!U10:U89,"SCB2_SEL2 (1)")</f>
        <v>0</v>
      </c>
      <c r="G34" s="51">
        <f>COUNTIF('PF80'!U10:U89,"SCB3_SEL2 (1)")</f>
        <v>0</v>
      </c>
      <c r="H34" s="51">
        <f>COUNTIF('PF80'!U10:U89,"SCB4_SEL2 (1)")</f>
        <v>0</v>
      </c>
      <c r="I34" s="50">
        <f>COUNTIF('PF80'!U10:U89,"SCB5_SEL2 (1)")</f>
        <v>0</v>
      </c>
      <c r="J34" s="50">
        <f>COUNTIF('PF80'!U10:U89,"SCB6_SEL2 (1)")</f>
        <v>0</v>
      </c>
      <c r="K34" s="51">
        <f>COUNTIF('PF80'!U10:U89,"SCB7_SEL2 (1)")</f>
        <v>0</v>
      </c>
    </row>
    <row r="35" spans="2:11" x14ac:dyDescent="0.55000000000000004">
      <c r="B35" s="149"/>
      <c r="C35" s="49" t="s">
        <v>803</v>
      </c>
      <c r="D35" s="50">
        <f>COUNTIF('PF80'!U10:U89,"SCB0_SEL3 (0)")</f>
        <v>0</v>
      </c>
      <c r="E35" s="51">
        <f>COUNTIF('PF80'!U10:U89,"SCB1_SEL3 (0)")</f>
        <v>0</v>
      </c>
      <c r="F35" s="51">
        <f>COUNTIF('PF80'!U10:U89,"SCB2_SEL3 (0)")</f>
        <v>0</v>
      </c>
      <c r="G35" s="51">
        <f>COUNTIF('PF80'!U10:U89,"SCB3_SEL3 (0)")</f>
        <v>0</v>
      </c>
      <c r="H35" s="51">
        <f>COUNTIF('PF80'!U10:U89,"SCB4_SEL3 (0)")</f>
        <v>0</v>
      </c>
      <c r="I35" s="50">
        <f>COUNTIF('PF80'!U10:U89,"SCB5_SEL3 (0)")</f>
        <v>0</v>
      </c>
      <c r="J35" s="50">
        <f>COUNTIF('PF80'!U10:U89,"SCB6_SEL3 (0)")</f>
        <v>0</v>
      </c>
      <c r="K35" s="51">
        <f>COUNTIF('PF80'!U10:U89,"SCB7_SEL3 (0)")</f>
        <v>0</v>
      </c>
    </row>
    <row r="36" spans="2:11" x14ac:dyDescent="0.55000000000000004">
      <c r="B36" s="150"/>
      <c r="C36" s="49" t="s">
        <v>810</v>
      </c>
      <c r="D36" s="50">
        <f>COUNTIF('PF80'!U10:U89,"SCB0_SEL3 (1)")</f>
        <v>0</v>
      </c>
      <c r="E36" s="51">
        <f>COUNTIF('PF80'!U10:U89,"SCB1_SEL3 (1)")</f>
        <v>0</v>
      </c>
      <c r="F36" s="51">
        <f>COUNTIF('PF80'!U10:U89,"SCB2_SEL3 (1)")</f>
        <v>0</v>
      </c>
      <c r="G36" s="51">
        <f>COUNTIF('PF80'!U10:U89,"SCB3_SEL3 (1)")</f>
        <v>0</v>
      </c>
      <c r="H36" s="51">
        <f>COUNTIF('PF80'!U10:U89,"SCB4_SEL3 (1)")</f>
        <v>0</v>
      </c>
      <c r="I36" s="50">
        <f>COUNTIF('PF80'!U10:U89,"SCB5_SEL3 (1)")</f>
        <v>0</v>
      </c>
      <c r="J36" s="50">
        <f>COUNTIF('PF80'!U10:U89,"SCB6_SEL3 (1)")</f>
        <v>0</v>
      </c>
      <c r="K36" s="51">
        <f>COUNTIF('PF80'!U10:U89,"SCB7_SEL3 (1)")</f>
        <v>0</v>
      </c>
    </row>
    <row r="37" spans="2:11" ht="10" customHeight="1" x14ac:dyDescent="0.55000000000000004">
      <c r="B37" s="147" t="s">
        <v>425</v>
      </c>
      <c r="C37" s="49" t="s">
        <v>780</v>
      </c>
      <c r="D37" s="50">
        <f>COUNTIF('PF80'!U10:U89,"SCB0_TX (0)")</f>
        <v>0</v>
      </c>
      <c r="E37" s="51">
        <f>COUNTIF('PF80'!U10:U89,"SCB1_TX (0)")</f>
        <v>0</v>
      </c>
      <c r="F37" s="51">
        <f>COUNTIF('PF80'!U10:U89,"SCB2_TX (0)")</f>
        <v>0</v>
      </c>
      <c r="G37" s="51">
        <f>COUNTIF('PF80'!U10:U89,"SCB3_TX (0)")</f>
        <v>0</v>
      </c>
      <c r="H37" s="51">
        <f>COUNTIF('PF80'!U10:U89,"SCB4_TX (0)")</f>
        <v>0</v>
      </c>
      <c r="I37" s="55">
        <f>COUNTIF('PF80'!U10:U89,"SCB5_TX (0)")</f>
        <v>0</v>
      </c>
      <c r="J37" s="55">
        <f>COUNTIF('PF80'!U10:U89,"SCB6_TX (0)")</f>
        <v>0</v>
      </c>
      <c r="K37" s="51">
        <f>COUNTIF('PF80'!U10:U89,"SCB7_TX (0)")</f>
        <v>0</v>
      </c>
    </row>
    <row r="38" spans="2:11" ht="10" customHeight="1" x14ac:dyDescent="0.55000000000000004">
      <c r="B38" s="147"/>
      <c r="C38" s="49" t="s">
        <v>781</v>
      </c>
      <c r="D38" s="56">
        <f>COUNTIF('PF80'!U10:U89,"SCB0_TX (1)")</f>
        <v>0</v>
      </c>
      <c r="E38" s="51">
        <f>COUNTIF('PF80'!U10:U89,"SCB1_TX (1)")</f>
        <v>0</v>
      </c>
      <c r="F38" s="51">
        <f>COUNTIF('PF80'!U10:U89,"SCB2_TX (1)")</f>
        <v>0</v>
      </c>
      <c r="G38" s="51">
        <f>COUNTIF('PF80'!U10:U89,"SCB3_TX (1)")</f>
        <v>0</v>
      </c>
      <c r="H38" s="51">
        <f>COUNTIF('PF80'!U10:U89,"SCB4_TX (1)")</f>
        <v>0</v>
      </c>
      <c r="I38" s="55">
        <f>COUNTIF('PF80'!U10:U89,"SCB5_TX (1)")</f>
        <v>0</v>
      </c>
      <c r="J38" s="55">
        <f>COUNTIF('PF80'!U10:U89,"SCB6_TX (1)")</f>
        <v>0</v>
      </c>
      <c r="K38" s="51">
        <f>COUNTIF('PF80'!U10:U89,"SCB7_TX (1)")</f>
        <v>0</v>
      </c>
    </row>
    <row r="39" spans="2:11" x14ac:dyDescent="0.55000000000000004">
      <c r="B39" s="147"/>
      <c r="C39" s="49" t="s">
        <v>782</v>
      </c>
      <c r="D39" s="50">
        <f>COUNTIF('PF80'!U10:U89,"SCB0_RX (0)")</f>
        <v>0</v>
      </c>
      <c r="E39" s="51">
        <f>COUNTIF('PF80'!U10:U89,"SCB1_RX (0)")</f>
        <v>0</v>
      </c>
      <c r="F39" s="51">
        <f>COUNTIF('PF80'!U10:U89,"SCB2_RX (0)")</f>
        <v>0</v>
      </c>
      <c r="G39" s="51">
        <f>COUNTIF('PF80'!U10:U89,"SCB3_RX (0)")</f>
        <v>0</v>
      </c>
      <c r="H39" s="51">
        <f>COUNTIF('PF80'!U10:U89,"SCB4_RX (0)")</f>
        <v>0</v>
      </c>
      <c r="I39" s="51">
        <f>COUNTIF('PF80'!U10:U89,"SCB5_RX (0)")</f>
        <v>0</v>
      </c>
      <c r="J39" s="51">
        <f>COUNTIF('PF80'!U10:U89,"SCB6_RX (0)")</f>
        <v>0</v>
      </c>
      <c r="K39" s="51">
        <f>COUNTIF('PF80'!U10:U89,"SCB7_RX (0)")</f>
        <v>0</v>
      </c>
    </row>
    <row r="40" spans="2:11" x14ac:dyDescent="0.55000000000000004">
      <c r="B40" s="147"/>
      <c r="C40" s="49" t="s">
        <v>785</v>
      </c>
      <c r="D40" s="56">
        <f>COUNTIF('PF80'!U10:U89,"SCB0_RX (1)")</f>
        <v>0</v>
      </c>
      <c r="E40" s="51">
        <f>COUNTIF('PF80'!U10:U89,"SCB1_RX (1)")</f>
        <v>0</v>
      </c>
      <c r="F40" s="51">
        <f>COUNTIF('PF80'!U10:U89,"SCB2_RX (1)")</f>
        <v>0</v>
      </c>
      <c r="G40" s="51">
        <f>COUNTIF('PF80'!U10:U89,"SCB3_RX (1)")</f>
        <v>0</v>
      </c>
      <c r="H40" s="51">
        <f>COUNTIF('PF80'!U10:U89,"SCB4_RX (1)")</f>
        <v>0</v>
      </c>
      <c r="I40" s="51">
        <f>COUNTIF('PF80'!U10:U89,"SCB5_RX (1)")</f>
        <v>0</v>
      </c>
      <c r="J40" s="51">
        <f>COUNTIF('PF80'!U10:U89,"SCB6_RX (1)")</f>
        <v>0</v>
      </c>
      <c r="K40" s="51">
        <f>COUNTIF('PF80'!U10:U89,"SCB7_RX (1)")</f>
        <v>0</v>
      </c>
    </row>
    <row r="41" spans="2:11" x14ac:dyDescent="0.55000000000000004">
      <c r="B41" s="147"/>
      <c r="C41" s="49" t="s">
        <v>783</v>
      </c>
      <c r="D41" s="50">
        <f>COUNTIF('PF80'!U10:U89,"SCB0_CTS (0)")</f>
        <v>0</v>
      </c>
      <c r="E41" s="51">
        <f>COUNTIF('PF80'!U10:U89,"SCB1_CTS (0)")</f>
        <v>0</v>
      </c>
      <c r="F41" s="51">
        <f>COUNTIF('PF80'!U10:U89,"SCB2_CTS (0)")</f>
        <v>0</v>
      </c>
      <c r="G41" s="51">
        <f>COUNTIF('PF80'!U10:U89,"SCB3_CTS (0)")</f>
        <v>0</v>
      </c>
      <c r="H41" s="51">
        <f>COUNTIF('PF80'!U10:U89,"SCB4_CTS (0)")</f>
        <v>0</v>
      </c>
      <c r="I41" s="51">
        <f>COUNTIF('PF80'!U10:U89,"SCB5_CTS (0)")</f>
        <v>0</v>
      </c>
      <c r="J41" s="51">
        <f>COUNTIF('PF80'!U10:U89,"SCB6_CTS (0)")</f>
        <v>0</v>
      </c>
      <c r="K41" s="51">
        <f>COUNTIF('PF80'!U10:U89,"SCB7_CTS (0)")</f>
        <v>0</v>
      </c>
    </row>
    <row r="42" spans="2:11" x14ac:dyDescent="0.55000000000000004">
      <c r="B42" s="147"/>
      <c r="C42" s="49" t="s">
        <v>786</v>
      </c>
      <c r="D42" s="56">
        <f>COUNTIF('PF80'!U10:U89,"SCB0_CTS (1)")</f>
        <v>0</v>
      </c>
      <c r="E42" s="51">
        <f>COUNTIF('PF80'!U10:U89,"SCB1_CTS (1)")</f>
        <v>0</v>
      </c>
      <c r="F42" s="51">
        <f>COUNTIF('PF80'!U10:U89,"SCB2_CTS (1)")</f>
        <v>0</v>
      </c>
      <c r="G42" s="51">
        <f>COUNTIF('PF80'!U10:U89,"SCB3_CTS (1)")</f>
        <v>0</v>
      </c>
      <c r="H42" s="51">
        <f>COUNTIF('PF80'!U10:U89,"SCB4_CTS (1)")</f>
        <v>0</v>
      </c>
      <c r="I42" s="51">
        <f>COUNTIF('PF80'!U10:U89,"SCB5_CTS (1)")</f>
        <v>0</v>
      </c>
      <c r="J42" s="51">
        <f>COUNTIF('PF80'!U10:U89,"SCB6_CTS (1)")</f>
        <v>0</v>
      </c>
      <c r="K42" s="51">
        <f>COUNTIF('PF80'!U10:U89,"SCB7_CTS (1)")</f>
        <v>0</v>
      </c>
    </row>
    <row r="43" spans="2:11" x14ac:dyDescent="0.55000000000000004">
      <c r="B43" s="147"/>
      <c r="C43" s="49" t="s">
        <v>784</v>
      </c>
      <c r="D43" s="50">
        <f>COUNTIF('PF80'!U10:U89,"SCB0_RTS (0)")</f>
        <v>0</v>
      </c>
      <c r="E43" s="51">
        <f>COUNTIF('PF80'!U10:U89,"SCB1_RTS (0)")</f>
        <v>0</v>
      </c>
      <c r="F43" s="51">
        <f>COUNTIF('PF80'!U10:U89,"SCB2_RTS (0)")</f>
        <v>0</v>
      </c>
      <c r="G43" s="51">
        <f>COUNTIF('PF80'!U10:U89,"SCB3_RTS (0)")</f>
        <v>0</v>
      </c>
      <c r="H43" s="51">
        <f>COUNTIF('PF80'!U10:U89,"SCB4_RTS (0)")</f>
        <v>0</v>
      </c>
      <c r="I43" s="51">
        <f>COUNTIF('PF80'!U10:U89,"SCB5_RTS (0)")</f>
        <v>0</v>
      </c>
      <c r="J43" s="51">
        <f>COUNTIF('PF80'!U10:U89,"SCB6_RTS (0)")</f>
        <v>0</v>
      </c>
      <c r="K43" s="51">
        <f>COUNTIF('PF80'!U10:U89,"SCB7_RTS (0)")</f>
        <v>0</v>
      </c>
    </row>
    <row r="44" spans="2:11" x14ac:dyDescent="0.55000000000000004">
      <c r="B44" s="147"/>
      <c r="C44" s="49" t="s">
        <v>787</v>
      </c>
      <c r="D44" s="56">
        <f>COUNTIF('PF80'!U10:U89,"SCB0_RTS (1)")</f>
        <v>0</v>
      </c>
      <c r="E44" s="51">
        <f>COUNTIF('PF80'!U10:U89,"SCB1_RTS (1)")</f>
        <v>0</v>
      </c>
      <c r="F44" s="51">
        <f>COUNTIF('PF80'!U10:U89,"SCB2_RTS (1)")</f>
        <v>0</v>
      </c>
      <c r="G44" s="51">
        <f>COUNTIF('PF80'!U10:U89,"SCB3_RTS (1)")</f>
        <v>0</v>
      </c>
      <c r="H44" s="51">
        <f>COUNTIF('PF80'!U10:U89,"SCB4_RTS (1)")</f>
        <v>0</v>
      </c>
      <c r="I44" s="51">
        <f>COUNTIF('PF80'!U10:U89,"SCB5_RTS (1)")</f>
        <v>0</v>
      </c>
      <c r="J44" s="51">
        <f>COUNTIF('PF80'!U10:U89,"SCB6_RTS (1)")</f>
        <v>0</v>
      </c>
      <c r="K44" s="51">
        <f>COUNTIF('PF80'!U10:U89,"SCB7_RTS (1)")</f>
        <v>0</v>
      </c>
    </row>
    <row r="45" spans="2:11" ht="10" customHeight="1" x14ac:dyDescent="0.55000000000000004">
      <c r="B45" s="147" t="s">
        <v>427</v>
      </c>
      <c r="C45" s="57" t="s">
        <v>790</v>
      </c>
      <c r="D45" s="50">
        <f>COUNTIF('PF80'!U10:U89,"SCB0_SDA (0)")</f>
        <v>0</v>
      </c>
      <c r="E45" s="51">
        <f>COUNTIF('PF80'!U10:U89,"SCB1_SDA (0)")</f>
        <v>0</v>
      </c>
      <c r="F45" s="51">
        <f>COUNTIF('PF80'!U10:U89,"SCB2_SDA (0)")</f>
        <v>0</v>
      </c>
      <c r="G45" s="51">
        <f>COUNTIF('PF80'!U10:U89,"SCB3_SDA (0)")</f>
        <v>0</v>
      </c>
      <c r="H45" s="51">
        <f>COUNTIF('PF80'!U10:U89,"SCB4_SDA (0)")</f>
        <v>0</v>
      </c>
      <c r="I45" s="55">
        <f>COUNTIF('PF80'!U10:U89,"SCB5_SDA (0)")</f>
        <v>0</v>
      </c>
      <c r="J45" s="55">
        <f>COUNTIF('PF80'!U10:U89,"SCB6_SDA (0)")</f>
        <v>0</v>
      </c>
      <c r="K45" s="55">
        <f>COUNTIF('PF80'!U10:U89,"SCB7_SDA (0)")</f>
        <v>0</v>
      </c>
    </row>
    <row r="46" spans="2:11" x14ac:dyDescent="0.55000000000000004">
      <c r="B46" s="147"/>
      <c r="C46" s="57" t="s">
        <v>791</v>
      </c>
      <c r="D46" s="50">
        <f>COUNTIF('PF80'!U10:U89,"SCB0_SDA (1)")</f>
        <v>0</v>
      </c>
      <c r="E46" s="51">
        <f>COUNTIF('PF80'!U10:U89,"SCB1_SDA (1)")</f>
        <v>0</v>
      </c>
      <c r="F46" s="51">
        <f>COUNTIF('PF80'!U10:U89,"SCB2_SDA (1)")</f>
        <v>0</v>
      </c>
      <c r="G46" s="51">
        <f>COUNTIF('PF80'!U10:U89,"SCB3_SDA (1)")</f>
        <v>0</v>
      </c>
      <c r="H46" s="51">
        <f>COUNTIF('PF80'!U10:U89,"SCB4_SDA (1)")</f>
        <v>0</v>
      </c>
      <c r="I46" s="55">
        <f>COUNTIF('PF80'!U10:U89,"SCB5_SDA (1)")</f>
        <v>0</v>
      </c>
      <c r="J46" s="55">
        <f>COUNTIF('PF80'!U10:U89,"SCB6_SDA (1)")</f>
        <v>0</v>
      </c>
      <c r="K46" s="55">
        <f>COUNTIF('PF80'!U10:U89,"SCB7_SDA (1)")</f>
        <v>0</v>
      </c>
    </row>
    <row r="47" spans="2:11" x14ac:dyDescent="0.55000000000000004">
      <c r="B47" s="147"/>
      <c r="C47" s="57" t="s">
        <v>792</v>
      </c>
      <c r="D47" s="50">
        <f>COUNTIF('PF80'!U10:U89,"SCB0_SDA (2)")</f>
        <v>0</v>
      </c>
      <c r="E47" s="51">
        <f>COUNTIF('PF80'!U10:U89,"SCB1_SDA (2)")</f>
        <v>0</v>
      </c>
      <c r="F47" s="51">
        <f>COUNTIF('PF80'!U10:U89,"SCB2_SDA (2)")</f>
        <v>0</v>
      </c>
      <c r="G47" s="51">
        <f>COUNTIF('PF80'!U10:U89,"SCB3_SDA (2)")</f>
        <v>0</v>
      </c>
      <c r="H47" s="51">
        <f>COUNTIF('PF80'!U10:U89,"SCB4_SDA (2)")</f>
        <v>0</v>
      </c>
      <c r="I47" s="55">
        <f>COUNTIF('PF80'!U10:U89,"SCB5_SDA (2)")</f>
        <v>0</v>
      </c>
      <c r="J47" s="55">
        <f>COUNTIF('PF80'!U10:U89,"SCB6_SDA (2)")</f>
        <v>0</v>
      </c>
      <c r="K47" s="55">
        <f>COUNTIF('PF80'!U10:U89,"SCB7_SDA (2)")</f>
        <v>0</v>
      </c>
    </row>
    <row r="48" spans="2:11" x14ac:dyDescent="0.55000000000000004">
      <c r="B48" s="147"/>
      <c r="C48" s="57" t="s">
        <v>793</v>
      </c>
      <c r="D48" s="50">
        <f>COUNTIF('PF80'!U10:U89,"SCB0_SCL (0)")</f>
        <v>0</v>
      </c>
      <c r="E48" s="51">
        <f>COUNTIF('PF80'!U10:U89,"SCB1_SCL (0)")</f>
        <v>0</v>
      </c>
      <c r="F48" s="51">
        <f>COUNTIF('PF80'!U10:U89,"SCB2_SCL (0)")</f>
        <v>0</v>
      </c>
      <c r="G48" s="51">
        <f>COUNTIF('PF80'!U10:U89,"SCB3_SCL (0)")</f>
        <v>0</v>
      </c>
      <c r="H48" s="51">
        <f>COUNTIF('PF80'!U10:U89,"SCB4_SCL (0)")</f>
        <v>0</v>
      </c>
      <c r="I48" s="55">
        <f>COUNTIF('PF80'!U10:U89,"SCB5_SCL (0)")</f>
        <v>0</v>
      </c>
      <c r="J48" s="55">
        <f>COUNTIF('PF80'!U10:U89,"SCB6_SCL (0)")</f>
        <v>0</v>
      </c>
      <c r="K48" s="55">
        <f>COUNTIF('PF80'!U10:U89,"SCB7_SCL (0)")</f>
        <v>0</v>
      </c>
    </row>
    <row r="49" spans="2:66" x14ac:dyDescent="0.55000000000000004">
      <c r="B49" s="147"/>
      <c r="C49" s="57" t="s">
        <v>794</v>
      </c>
      <c r="D49" s="50">
        <f>COUNTIF('PF80'!U10:U89,"SCB0_SCL (1)")</f>
        <v>0</v>
      </c>
      <c r="E49" s="51">
        <f>COUNTIF('PF80'!U10:U89,"SCB1_SCL (1)")</f>
        <v>0</v>
      </c>
      <c r="F49" s="51">
        <f>COUNTIF('PF80'!U10:U89,"SCB2_SCL (1)")</f>
        <v>0</v>
      </c>
      <c r="G49" s="51">
        <f>COUNTIF('PF80'!U10:U89,"SCB3_SCL (1)")</f>
        <v>0</v>
      </c>
      <c r="H49" s="51">
        <f>COUNTIF('PF80'!U10:U89,"SCB4_SCL (1)")</f>
        <v>0</v>
      </c>
      <c r="I49" s="55">
        <f>COUNTIF('PF80'!U10:U89,"SCB5_SCL (1)")</f>
        <v>0</v>
      </c>
      <c r="J49" s="55">
        <f>COUNTIF('PF80'!U10:U89,"SCB6_SCL (1)")</f>
        <v>0</v>
      </c>
      <c r="K49" s="55">
        <f>COUNTIF('PF80'!U10:U89,"SCB7_SCL (1)")</f>
        <v>0</v>
      </c>
    </row>
    <row r="50" spans="2:66" x14ac:dyDescent="0.55000000000000004">
      <c r="B50" s="147"/>
      <c r="C50" s="57" t="s">
        <v>795</v>
      </c>
      <c r="D50" s="50">
        <f>COUNTIF('PF80'!U10:U89,"SCB0_SCL (2)")</f>
        <v>0</v>
      </c>
      <c r="E50" s="51">
        <f>COUNTIF('PF80'!U10:U89,"SCB1_SCL (2)")</f>
        <v>0</v>
      </c>
      <c r="F50" s="51">
        <f>COUNTIF('PF80'!U10:U89,"SCB2_SCL (2)")</f>
        <v>0</v>
      </c>
      <c r="G50" s="51">
        <f>COUNTIF('PF80'!U10:U89,"SCB3_SCL (2)")</f>
        <v>0</v>
      </c>
      <c r="H50" s="51">
        <f>COUNTIF('PF80'!U10:U89,"SCB4_SCL (2)")</f>
        <v>0</v>
      </c>
      <c r="I50" s="55">
        <f>COUNTIF('PF80'!U10:U89,"SCB5_SCL (2)")</f>
        <v>0</v>
      </c>
      <c r="J50" s="55">
        <f>COUNTIF('PF80'!U10:U89,"SCB6_SCL (2)")</f>
        <v>0</v>
      </c>
      <c r="K50" s="55">
        <f>COUNTIF('PF80'!U10:U89,"SCB7_SCL (2)")</f>
        <v>0</v>
      </c>
    </row>
    <row r="52" spans="2:66" hidden="1" x14ac:dyDescent="0.55000000000000004">
      <c r="B52" s="58" t="s">
        <v>386</v>
      </c>
      <c r="C52" s="58" t="s">
        <v>831</v>
      </c>
      <c r="D52" s="59" t="s">
        <v>387</v>
      </c>
      <c r="E52" s="59" t="s">
        <v>388</v>
      </c>
      <c r="F52" s="59" t="s">
        <v>389</v>
      </c>
      <c r="G52" s="59" t="s">
        <v>390</v>
      </c>
      <c r="H52" s="59" t="s">
        <v>394</v>
      </c>
      <c r="I52" s="59" t="s">
        <v>393</v>
      </c>
      <c r="J52" s="59" t="s">
        <v>392</v>
      </c>
      <c r="K52" s="59" t="s">
        <v>391</v>
      </c>
    </row>
    <row r="53" spans="2:66" hidden="1" x14ac:dyDescent="0.55000000000000004">
      <c r="B53" s="60" t="s">
        <v>830</v>
      </c>
      <c r="C53" s="61">
        <v>0</v>
      </c>
      <c r="D53" s="61">
        <f>D23+D25+D27+D29+D31+D33+D35</f>
        <v>0</v>
      </c>
      <c r="E53" s="61">
        <f t="shared" ref="E53:K54" si="0">E23+E25+E27+E29+E31+E33+E35</f>
        <v>0</v>
      </c>
      <c r="F53" s="61">
        <f t="shared" si="0"/>
        <v>0</v>
      </c>
      <c r="G53" s="61">
        <f t="shared" si="0"/>
        <v>0</v>
      </c>
      <c r="H53" s="61">
        <f t="shared" si="0"/>
        <v>0</v>
      </c>
      <c r="I53" s="61">
        <f t="shared" si="0"/>
        <v>0</v>
      </c>
      <c r="J53" s="61">
        <f t="shared" si="0"/>
        <v>0</v>
      </c>
      <c r="K53" s="61">
        <f t="shared" si="0"/>
        <v>0</v>
      </c>
    </row>
    <row r="54" spans="2:66" hidden="1" x14ac:dyDescent="0.55000000000000004">
      <c r="B54" s="62"/>
      <c r="C54" s="61">
        <v>1</v>
      </c>
      <c r="D54" s="61">
        <f>D24+D26+D28+D30+D32+D34+D36</f>
        <v>0</v>
      </c>
      <c r="E54" s="61">
        <f t="shared" si="0"/>
        <v>0</v>
      </c>
      <c r="F54" s="61">
        <f t="shared" si="0"/>
        <v>0</v>
      </c>
      <c r="G54" s="61">
        <f t="shared" si="0"/>
        <v>0</v>
      </c>
      <c r="H54" s="61">
        <f t="shared" si="0"/>
        <v>0</v>
      </c>
      <c r="I54" s="61">
        <f t="shared" si="0"/>
        <v>0</v>
      </c>
      <c r="J54" s="61">
        <f t="shared" si="0"/>
        <v>0</v>
      </c>
      <c r="K54" s="61">
        <f t="shared" si="0"/>
        <v>0</v>
      </c>
    </row>
    <row r="55" spans="2:66" hidden="1" x14ac:dyDescent="0.55000000000000004">
      <c r="B55" s="60" t="s">
        <v>832</v>
      </c>
      <c r="C55" s="61">
        <v>0</v>
      </c>
      <c r="D55" s="61">
        <f>D37+D39+D41+D43</f>
        <v>0</v>
      </c>
      <c r="E55" s="61">
        <f t="shared" ref="E55:K56" si="1">E37+E39+E41+E43</f>
        <v>0</v>
      </c>
      <c r="F55" s="61">
        <f t="shared" si="1"/>
        <v>0</v>
      </c>
      <c r="G55" s="61">
        <f t="shared" si="1"/>
        <v>0</v>
      </c>
      <c r="H55" s="61">
        <f t="shared" si="1"/>
        <v>0</v>
      </c>
      <c r="I55" s="61">
        <f t="shared" si="1"/>
        <v>0</v>
      </c>
      <c r="J55" s="61">
        <f t="shared" si="1"/>
        <v>0</v>
      </c>
      <c r="K55" s="61">
        <f t="shared" si="1"/>
        <v>0</v>
      </c>
    </row>
    <row r="56" spans="2:66" hidden="1" x14ac:dyDescent="0.55000000000000004">
      <c r="B56" s="62"/>
      <c r="C56" s="61">
        <v>1</v>
      </c>
      <c r="D56" s="61">
        <f>D38+D40+D42+D44</f>
        <v>0</v>
      </c>
      <c r="E56" s="61">
        <f t="shared" si="1"/>
        <v>0</v>
      </c>
      <c r="F56" s="61">
        <f t="shared" si="1"/>
        <v>0</v>
      </c>
      <c r="G56" s="61">
        <f t="shared" si="1"/>
        <v>0</v>
      </c>
      <c r="H56" s="61">
        <f t="shared" si="1"/>
        <v>0</v>
      </c>
      <c r="I56" s="61">
        <f t="shared" si="1"/>
        <v>0</v>
      </c>
      <c r="J56" s="61">
        <f t="shared" si="1"/>
        <v>0</v>
      </c>
      <c r="K56" s="61">
        <f t="shared" si="1"/>
        <v>0</v>
      </c>
    </row>
    <row r="57" spans="2:66" hidden="1" x14ac:dyDescent="0.55000000000000004">
      <c r="B57" s="60" t="s">
        <v>833</v>
      </c>
      <c r="C57" s="61">
        <v>0</v>
      </c>
      <c r="D57" s="61">
        <f>D45+D48</f>
        <v>0</v>
      </c>
      <c r="E57" s="61">
        <f>E45+E48</f>
        <v>0</v>
      </c>
      <c r="F57" s="61">
        <f>F45+F48</f>
        <v>0</v>
      </c>
      <c r="G57" s="61">
        <f t="shared" ref="G57:K57" si="2">G45+G48</f>
        <v>0</v>
      </c>
      <c r="H57" s="61">
        <f t="shared" si="2"/>
        <v>0</v>
      </c>
      <c r="I57" s="61">
        <f t="shared" si="2"/>
        <v>0</v>
      </c>
      <c r="J57" s="61">
        <f t="shared" si="2"/>
        <v>0</v>
      </c>
      <c r="K57" s="61">
        <f t="shared" si="2"/>
        <v>0</v>
      </c>
    </row>
    <row r="58" spans="2:66" hidden="1" x14ac:dyDescent="0.55000000000000004">
      <c r="B58" s="63"/>
      <c r="C58" s="61">
        <v>1</v>
      </c>
      <c r="D58" s="61">
        <f>D46+D49</f>
        <v>0</v>
      </c>
      <c r="E58" s="61">
        <f t="shared" ref="E58:K59" si="3">E46+E49</f>
        <v>0</v>
      </c>
      <c r="F58" s="61">
        <f t="shared" si="3"/>
        <v>0</v>
      </c>
      <c r="G58" s="61">
        <f t="shared" si="3"/>
        <v>0</v>
      </c>
      <c r="H58" s="61">
        <f t="shared" si="3"/>
        <v>0</v>
      </c>
      <c r="I58" s="61">
        <f t="shared" si="3"/>
        <v>0</v>
      </c>
      <c r="J58" s="61">
        <f t="shared" si="3"/>
        <v>0</v>
      </c>
      <c r="K58" s="61">
        <f t="shared" si="3"/>
        <v>0</v>
      </c>
    </row>
    <row r="59" spans="2:66" hidden="1" x14ac:dyDescent="0.55000000000000004">
      <c r="B59" s="62"/>
      <c r="C59" s="61">
        <v>2</v>
      </c>
      <c r="D59" s="61">
        <f>D47+D50</f>
        <v>0</v>
      </c>
      <c r="E59" s="61">
        <f t="shared" si="3"/>
        <v>0</v>
      </c>
      <c r="F59" s="61">
        <f t="shared" si="3"/>
        <v>0</v>
      </c>
      <c r="G59" s="61">
        <f t="shared" si="3"/>
        <v>0</v>
      </c>
      <c r="H59" s="61">
        <f t="shared" si="3"/>
        <v>0</v>
      </c>
      <c r="I59" s="61">
        <f t="shared" si="3"/>
        <v>0</v>
      </c>
      <c r="J59" s="61">
        <f t="shared" si="3"/>
        <v>0</v>
      </c>
      <c r="K59" s="61">
        <f t="shared" si="3"/>
        <v>0</v>
      </c>
    </row>
    <row r="60" spans="2:66" hidden="1" x14ac:dyDescent="0.55000000000000004">
      <c r="B60" s="64" t="s">
        <v>834</v>
      </c>
      <c r="C60" s="65"/>
      <c r="D60" s="58">
        <f t="shared" ref="D60:K60" si="4">COUNTIF(D53:D59, "&lt;&gt;0")</f>
        <v>0</v>
      </c>
      <c r="E60" s="58">
        <f t="shared" si="4"/>
        <v>0</v>
      </c>
      <c r="F60" s="58">
        <f t="shared" si="4"/>
        <v>0</v>
      </c>
      <c r="G60" s="58">
        <f t="shared" si="4"/>
        <v>0</v>
      </c>
      <c r="H60" s="58">
        <f t="shared" si="4"/>
        <v>0</v>
      </c>
      <c r="I60" s="58">
        <f t="shared" si="4"/>
        <v>0</v>
      </c>
      <c r="J60" s="58">
        <f t="shared" si="4"/>
        <v>0</v>
      </c>
      <c r="K60" s="58">
        <f t="shared" si="4"/>
        <v>0</v>
      </c>
    </row>
    <row r="62" spans="2:66" x14ac:dyDescent="0.55000000000000004">
      <c r="B62" s="141" t="s">
        <v>442</v>
      </c>
      <c r="C62" s="142"/>
      <c r="D62" s="42" t="s">
        <v>431</v>
      </c>
      <c r="E62" s="42" t="s">
        <v>432</v>
      </c>
      <c r="F62" s="42" t="s">
        <v>433</v>
      </c>
      <c r="G62" s="42" t="s">
        <v>434</v>
      </c>
      <c r="H62" s="42" t="s">
        <v>436</v>
      </c>
      <c r="I62" s="42" t="s">
        <v>437</v>
      </c>
      <c r="J62" s="42" t="s">
        <v>438</v>
      </c>
      <c r="K62" s="42" t="s">
        <v>439</v>
      </c>
      <c r="L62" s="42" t="s">
        <v>440</v>
      </c>
      <c r="M62" s="42" t="s">
        <v>441</v>
      </c>
      <c r="N62" s="42" t="s">
        <v>443</v>
      </c>
      <c r="O62" s="42" t="s">
        <v>444</v>
      </c>
      <c r="P62" s="42" t="s">
        <v>447</v>
      </c>
      <c r="Q62" s="42" t="s">
        <v>448</v>
      </c>
      <c r="R62" s="42" t="s">
        <v>449</v>
      </c>
      <c r="S62" s="42" t="s">
        <v>450</v>
      </c>
      <c r="T62" s="42" t="s">
        <v>451</v>
      </c>
      <c r="U62" s="42" t="s">
        <v>452</v>
      </c>
      <c r="V62" s="42" t="s">
        <v>453</v>
      </c>
      <c r="W62" s="42" t="s">
        <v>454</v>
      </c>
      <c r="X62" s="42" t="s">
        <v>455</v>
      </c>
      <c r="Y62" s="42" t="s">
        <v>456</v>
      </c>
      <c r="Z62" s="42" t="s">
        <v>457</v>
      </c>
      <c r="AA62" s="42" t="s">
        <v>458</v>
      </c>
      <c r="AB62" s="42" t="s">
        <v>459</v>
      </c>
      <c r="AC62" s="42" t="s">
        <v>460</v>
      </c>
      <c r="AD62" s="42" t="s">
        <v>461</v>
      </c>
      <c r="AE62" s="42" t="s">
        <v>462</v>
      </c>
      <c r="AF62" s="42" t="s">
        <v>463</v>
      </c>
      <c r="AG62" s="42" t="s">
        <v>464</v>
      </c>
      <c r="AH62" s="42" t="s">
        <v>465</v>
      </c>
      <c r="AI62" s="42" t="s">
        <v>466</v>
      </c>
      <c r="AJ62" s="42" t="s">
        <v>467</v>
      </c>
      <c r="AK62" s="42" t="s">
        <v>468</v>
      </c>
      <c r="AL62" s="42" t="s">
        <v>469</v>
      </c>
      <c r="AM62" s="42" t="s">
        <v>470</v>
      </c>
      <c r="AN62" s="42" t="s">
        <v>471</v>
      </c>
      <c r="AO62" s="42" t="s">
        <v>472</v>
      </c>
      <c r="AP62" s="42" t="s">
        <v>473</v>
      </c>
      <c r="AQ62" s="42" t="s">
        <v>474</v>
      </c>
      <c r="AR62" s="42" t="s">
        <v>475</v>
      </c>
      <c r="AS62" s="42" t="s">
        <v>476</v>
      </c>
      <c r="AT62" s="42" t="s">
        <v>477</v>
      </c>
      <c r="AU62" s="42" t="s">
        <v>478</v>
      </c>
      <c r="AV62" s="42" t="s">
        <v>479</v>
      </c>
      <c r="AW62" s="42" t="s">
        <v>480</v>
      </c>
      <c r="AX62" s="42" t="s">
        <v>481</v>
      </c>
      <c r="AY62" s="42" t="s">
        <v>482</v>
      </c>
      <c r="AZ62" s="42" t="s">
        <v>483</v>
      </c>
      <c r="BA62" s="42" t="s">
        <v>484</v>
      </c>
      <c r="BB62" s="42" t="s">
        <v>485</v>
      </c>
      <c r="BC62" s="42" t="s">
        <v>486</v>
      </c>
      <c r="BD62" s="42" t="s">
        <v>487</v>
      </c>
      <c r="BE62" s="42" t="s">
        <v>488</v>
      </c>
      <c r="BF62" s="42" t="s">
        <v>489</v>
      </c>
      <c r="BG62" s="42" t="s">
        <v>490</v>
      </c>
      <c r="BH62" s="42" t="s">
        <v>491</v>
      </c>
      <c r="BI62" s="42" t="s">
        <v>492</v>
      </c>
      <c r="BJ62" s="42" t="s">
        <v>493</v>
      </c>
      <c r="BK62" s="42" t="s">
        <v>494</v>
      </c>
      <c r="BL62" s="42" t="s">
        <v>495</v>
      </c>
      <c r="BM62" s="42" t="s">
        <v>496</v>
      </c>
      <c r="BN62" s="42" t="s">
        <v>497</v>
      </c>
    </row>
    <row r="63" spans="2:66" x14ac:dyDescent="0.55000000000000004">
      <c r="B63" s="139" t="s">
        <v>428</v>
      </c>
      <c r="C63" s="43" t="s">
        <v>421</v>
      </c>
      <c r="D63" s="43">
        <f>COUNTIF('PF80'!U10:U89,"PWM0_0")</f>
        <v>0</v>
      </c>
      <c r="E63" s="43">
        <f>COUNTIF('PF80'!U10:U89,"PWM0_1")</f>
        <v>0</v>
      </c>
      <c r="F63" s="43">
        <f>COUNTIF('PF80'!U10:U89,"PWM0_2")</f>
        <v>0</v>
      </c>
      <c r="G63" s="43">
        <f>COUNTIF('PF80'!U10:U89,"PWM0_3")</f>
        <v>0</v>
      </c>
      <c r="H63" s="43">
        <f>COUNTIF('PF80'!U10:U89,"PWM0_4")</f>
        <v>0</v>
      </c>
      <c r="I63" s="43">
        <f>COUNTIF('PF80'!U10:U89,"PWM0_5")</f>
        <v>0</v>
      </c>
      <c r="J63" s="43">
        <f>COUNTIF('PF80'!U10:U89,"PWM0_6")</f>
        <v>0</v>
      </c>
      <c r="K63" s="43">
        <f>COUNTIF('PF80'!U10:U89,"PWM0_7")</f>
        <v>0</v>
      </c>
      <c r="L63" s="43">
        <f>COUNTIF('PF80'!U10:U89,"PWM0_8")</f>
        <v>0</v>
      </c>
      <c r="M63" s="43">
        <f>COUNTIF('PF80'!U10:U89,"PWM0_9")</f>
        <v>0</v>
      </c>
      <c r="N63" s="43">
        <f>COUNTIF('PF80'!U10:U89,"PWM0_10")</f>
        <v>0</v>
      </c>
      <c r="O63" s="43">
        <f>COUNTIF('PF80'!U10:U89,"PWM0_11")</f>
        <v>0</v>
      </c>
      <c r="P63" s="43">
        <f>COUNTIF('PF80'!U10:U89,"PWM0_12")</f>
        <v>0</v>
      </c>
      <c r="Q63" s="43">
        <f>COUNTIF('PF80'!U10:U89,"PWM0_13")</f>
        <v>0</v>
      </c>
      <c r="R63" s="43">
        <f>COUNTIF('PF80'!U10:U89,"PWM0_14")</f>
        <v>0</v>
      </c>
      <c r="S63" s="43">
        <f>COUNTIF('PF80'!U10:U89,"PWM0_15")</f>
        <v>0</v>
      </c>
      <c r="T63" s="43">
        <f>COUNTIF('PF80'!U10:U89,"PWM0_16")</f>
        <v>0</v>
      </c>
      <c r="U63" s="43">
        <f>COUNTIF('PF80'!U10:U89,"PWM0_17")</f>
        <v>0</v>
      </c>
      <c r="V63" s="43">
        <f>COUNTIF('PF80'!U10:U89,"PWM0_18")</f>
        <v>0</v>
      </c>
      <c r="W63" s="43">
        <f>COUNTIF('PF80'!U10:U89,"PWM0_19")</f>
        <v>0</v>
      </c>
      <c r="X63" s="43">
        <f>COUNTIF('PF80'!U10:U89,"PWM0_20")</f>
        <v>0</v>
      </c>
      <c r="Y63" s="43">
        <f>COUNTIF('PF80'!U10:U89,"PWM0_21")</f>
        <v>0</v>
      </c>
      <c r="Z63" s="43">
        <f>COUNTIF('PF80'!U10:U89,"PWM0_22")</f>
        <v>0</v>
      </c>
      <c r="AA63" s="43">
        <f>COUNTIF('PF80'!U10:U89,"PWM0_23")</f>
        <v>0</v>
      </c>
      <c r="AB63" s="43">
        <f>COUNTIF('PF80'!U10:U89,"PWM0_24")</f>
        <v>0</v>
      </c>
      <c r="AC63" s="43">
        <f>COUNTIF('PF80'!U10:U89,"PWM0_25")</f>
        <v>0</v>
      </c>
      <c r="AD63" s="43">
        <f>COUNTIF('PF80'!U10:U89,"PWM0_26")</f>
        <v>0</v>
      </c>
      <c r="AE63" s="43">
        <f>COUNTIF('PF80'!U10:U89,"PWM0_27")</f>
        <v>0</v>
      </c>
      <c r="AF63" s="43">
        <f>COUNTIF('PF80'!U10:U89,"PWM0_28")</f>
        <v>0</v>
      </c>
      <c r="AG63" s="43">
        <f>COUNTIF('PF80'!U10:U89,"PWM0_29")</f>
        <v>0</v>
      </c>
      <c r="AH63" s="43">
        <f>COUNTIF('PF80'!U10:U89,"PWM0_30")</f>
        <v>0</v>
      </c>
      <c r="AI63" s="43">
        <f>COUNTIF('PF80'!U10:U89,"PWM0_31")</f>
        <v>0</v>
      </c>
      <c r="AJ63" s="43">
        <f>COUNTIF('PF80'!U10:U89,"PWM0_32")</f>
        <v>0</v>
      </c>
      <c r="AK63" s="43">
        <f>COUNTIF('PF80'!U10:U89,"PWM0_33")</f>
        <v>0</v>
      </c>
      <c r="AL63" s="43">
        <f>COUNTIF('PF80'!U10:U89,"PWM0_34")</f>
        <v>0</v>
      </c>
      <c r="AM63" s="43">
        <f>COUNTIF('PF80'!U10:U89,"PWM0_35")</f>
        <v>0</v>
      </c>
      <c r="AN63" s="43">
        <f>COUNTIF('PF80'!U10:U89,"PWM0_36")</f>
        <v>0</v>
      </c>
      <c r="AO63" s="43">
        <f>COUNTIF('PF80'!U10:U89,"PWM0_37")</f>
        <v>0</v>
      </c>
      <c r="AP63" s="43">
        <f>COUNTIF('PF80'!U10:U89,"PWM0_38")</f>
        <v>0</v>
      </c>
      <c r="AQ63" s="43">
        <f>COUNTIF('PF80'!U10:U89,"PWM0_39")</f>
        <v>0</v>
      </c>
      <c r="AR63" s="43">
        <f>COUNTIF('PF80'!U10:U89,"PWM0_40")</f>
        <v>0</v>
      </c>
      <c r="AS63" s="43">
        <f>COUNTIF('PF80'!U10:U89,"PWM0_41")</f>
        <v>0</v>
      </c>
      <c r="AT63" s="43">
        <f>COUNTIF('PF80'!U10:U89,"PWM0_42")</f>
        <v>0</v>
      </c>
      <c r="AU63" s="43">
        <f>COUNTIF('PF80'!U10:U89,"PWM0_43")</f>
        <v>0</v>
      </c>
      <c r="AV63" s="43">
        <f>COUNTIF('PF80'!U10:U89,"PWM0_44")</f>
        <v>0</v>
      </c>
      <c r="AW63" s="43">
        <f>COUNTIF('PF80'!U10:U89,"PWM0_45")</f>
        <v>0</v>
      </c>
      <c r="AX63" s="43">
        <f>COUNTIF('PF80'!U10:U89,"PWM0_46")</f>
        <v>0</v>
      </c>
      <c r="AY63" s="43">
        <f>COUNTIF('PF80'!U10:U89,"PWM0_47")</f>
        <v>0</v>
      </c>
      <c r="AZ63" s="43">
        <f>COUNTIF('PF80'!U10:U89,"PWM0_48")</f>
        <v>0</v>
      </c>
      <c r="BA63" s="43">
        <f>COUNTIF('PF80'!U10:U89,"PWM0_49")</f>
        <v>0</v>
      </c>
      <c r="BB63" s="43">
        <f>COUNTIF('PF80'!U10:U89,"PWM0_50")</f>
        <v>0</v>
      </c>
      <c r="BC63" s="43">
        <f>COUNTIF('PF80'!U10:U89,"PWM0_51")</f>
        <v>0</v>
      </c>
      <c r="BD63" s="43">
        <f>COUNTIF('PF80'!U10:U89,"PWM0_52")</f>
        <v>0</v>
      </c>
      <c r="BE63" s="43">
        <f>COUNTIF('PF80'!U10:U89,"PWM0_53")</f>
        <v>0</v>
      </c>
      <c r="BF63" s="43">
        <f>COUNTIF('PF80'!U10:U89,"PWM0_54")</f>
        <v>0</v>
      </c>
      <c r="BG63" s="43">
        <f>COUNTIF('PF80'!U10:U89,"PWM0_55")</f>
        <v>0</v>
      </c>
      <c r="BH63" s="43">
        <f>COUNTIF('PF80'!U10:U89,"PWM0_56")</f>
        <v>0</v>
      </c>
      <c r="BI63" s="43">
        <f>COUNTIF('PF80'!U10:U89,"PWM0_57")</f>
        <v>0</v>
      </c>
      <c r="BJ63" s="43">
        <f>COUNTIF('PF80'!U10:U89,"PWM0_58")</f>
        <v>0</v>
      </c>
      <c r="BK63" s="43">
        <f>COUNTIF('PF80'!U10:U89,"PWM0_59")</f>
        <v>0</v>
      </c>
      <c r="BL63" s="43">
        <f>COUNTIF('PF80'!U10:U89,"PWM0_60")</f>
        <v>0</v>
      </c>
      <c r="BM63" s="43">
        <f>COUNTIF('PF80'!U10:U89,"PWM0_61")</f>
        <v>0</v>
      </c>
      <c r="BN63" s="43">
        <f>COUNTIF('PF80'!U10:U89,"PWM0_62")</f>
        <v>0</v>
      </c>
    </row>
    <row r="64" spans="2:66" x14ac:dyDescent="0.55000000000000004">
      <c r="B64" s="140"/>
      <c r="C64" s="43" t="s">
        <v>424</v>
      </c>
      <c r="D64" s="43">
        <f>COUNTIF('PF80'!U10:U89,"PWM0_0_N")</f>
        <v>0</v>
      </c>
      <c r="E64" s="43">
        <f>COUNTIF('PF80'!U10:U89,"PWM0_1_N")</f>
        <v>0</v>
      </c>
      <c r="F64" s="43">
        <f>COUNTIF('PF80'!U10:U89,"PWM0_2_N")</f>
        <v>0</v>
      </c>
      <c r="G64" s="43">
        <f>COUNTIF('PF80'!U10:U89,"PWM0_3_N")</f>
        <v>0</v>
      </c>
      <c r="H64" s="43">
        <f>COUNTIF('PF80'!U10:U89,"PWM0_4_N")</f>
        <v>0</v>
      </c>
      <c r="I64" s="43">
        <f>COUNTIF('PF80'!U10:U89,"PWM0_5_N")</f>
        <v>0</v>
      </c>
      <c r="J64" s="43">
        <f>COUNTIF('PF80'!U10:U89,"PWM0_6_N")</f>
        <v>0</v>
      </c>
      <c r="K64" s="43">
        <f>COUNTIF('PF80'!U10:U89,"PWM0_7_N")</f>
        <v>0</v>
      </c>
      <c r="L64" s="43">
        <f>COUNTIF('PF80'!U10:U89,"PWM0_8_N")</f>
        <v>0</v>
      </c>
      <c r="M64" s="43">
        <f>COUNTIF('PF80'!U10:U89,"PWM0_9_N")</f>
        <v>0</v>
      </c>
      <c r="N64" s="43">
        <f>COUNTIF('PF80'!U10:U89,"PWM0_10_N")</f>
        <v>0</v>
      </c>
      <c r="O64" s="43">
        <f>COUNTIF('PF80'!U10:U89,"PWM0_11_N")</f>
        <v>0</v>
      </c>
      <c r="P64" s="43">
        <f>COUNTIF('PF80'!U10:U89,"PWM0_12_N")</f>
        <v>0</v>
      </c>
      <c r="Q64" s="43">
        <f>COUNTIF('PF80'!U10:U89,"PWM0_13_N")</f>
        <v>0</v>
      </c>
      <c r="R64" s="43">
        <f>COUNTIF('PF80'!U10:U89,"PWM0_14_N")</f>
        <v>0</v>
      </c>
      <c r="S64" s="43">
        <f>COUNTIF('PF80'!U10:U89,"PWM0_15_N")</f>
        <v>0</v>
      </c>
      <c r="T64" s="43">
        <f>COUNTIF('PF80'!U10:U89,"PWM0_16_N")</f>
        <v>0</v>
      </c>
      <c r="U64" s="43">
        <f>COUNTIF('PF80'!U10:U89,"PWM0_17_N")</f>
        <v>0</v>
      </c>
      <c r="V64" s="43">
        <f>COUNTIF('PF80'!U10:U89,"PWM0_18_N")</f>
        <v>0</v>
      </c>
      <c r="W64" s="43">
        <f>COUNTIF('PF80'!U10:U89,"PWM0_19_N")</f>
        <v>0</v>
      </c>
      <c r="X64" s="43">
        <f>COUNTIF('PF80'!U10:U89,"PWM0_20_N")</f>
        <v>0</v>
      </c>
      <c r="Y64" s="43">
        <f>COUNTIF('PF80'!U10:U89,"PWM0_21_N")</f>
        <v>0</v>
      </c>
      <c r="Z64" s="43">
        <f>COUNTIF('PF80'!U10:U89,"PWM0_22_N")</f>
        <v>0</v>
      </c>
      <c r="AA64" s="43">
        <f>COUNTIF('PF80'!U10:U89,"PWM0_23_N")</f>
        <v>0</v>
      </c>
      <c r="AB64" s="43">
        <f>COUNTIF('PF80'!U10:U89,"PWM0_24_N")</f>
        <v>0</v>
      </c>
      <c r="AC64" s="43">
        <f>COUNTIF('PF80'!U10:U89,"PWM0_25_N")</f>
        <v>0</v>
      </c>
      <c r="AD64" s="43">
        <f>COUNTIF('PF80'!U10:U89,"PWM0_26_N")</f>
        <v>0</v>
      </c>
      <c r="AE64" s="43">
        <f>COUNTIF('PF80'!U10:U89,"PWM0_27_N")</f>
        <v>0</v>
      </c>
      <c r="AF64" s="43">
        <f>COUNTIF('PF80'!U10:U89,"PWM0_28_N")</f>
        <v>0</v>
      </c>
      <c r="AG64" s="43">
        <f>COUNTIF('PF80'!U10:U89,"PWM0_29_N")</f>
        <v>0</v>
      </c>
      <c r="AH64" s="43">
        <f>COUNTIF('PF80'!U10:U89,"PWM0_30_N")</f>
        <v>0</v>
      </c>
      <c r="AI64" s="43">
        <f>COUNTIF('PF80'!U10:U89,"PWM0_31_N")</f>
        <v>0</v>
      </c>
      <c r="AJ64" s="43">
        <f>COUNTIF('PF80'!U10:U89,"PWM0_32_N")</f>
        <v>0</v>
      </c>
      <c r="AK64" s="43">
        <f>COUNTIF('PF80'!U10:U89,"PWM0_33_N")</f>
        <v>0</v>
      </c>
      <c r="AL64" s="43">
        <f>COUNTIF('PF80'!U10:U89,"PWM0_34_N")</f>
        <v>0</v>
      </c>
      <c r="AM64" s="43">
        <f>COUNTIF('PF80'!U10:U89,"PWM0_35_N")</f>
        <v>0</v>
      </c>
      <c r="AN64" s="43">
        <f>COUNTIF('PF80'!U10:U89,"PWM0_36_N")</f>
        <v>0</v>
      </c>
      <c r="AO64" s="43">
        <f>COUNTIF('PF80'!U10:U89,"PWM0_37_N")</f>
        <v>0</v>
      </c>
      <c r="AP64" s="43">
        <f>COUNTIF('PF80'!U10:U89,"PWM0_38_N")</f>
        <v>0</v>
      </c>
      <c r="AQ64" s="43">
        <f>COUNTIF('PF80'!U10:U89,"PWM0_39_N")</f>
        <v>0</v>
      </c>
      <c r="AR64" s="43">
        <f>COUNTIF('PF80'!U10:U89,"PWM0_40_N")</f>
        <v>0</v>
      </c>
      <c r="AS64" s="43">
        <f>COUNTIF('PF80'!U10:U89,"PWM0_41_N")</f>
        <v>0</v>
      </c>
      <c r="AT64" s="43">
        <f>COUNTIF('PF80'!U10:U89,"PWM0_42_N")</f>
        <v>0</v>
      </c>
      <c r="AU64" s="43">
        <f>COUNTIF('PF80'!U10:U89,"PWM0_43_N")</f>
        <v>0</v>
      </c>
      <c r="AV64" s="43">
        <f>COUNTIF('PF80'!U10:U89,"PWM0_44_N")</f>
        <v>0</v>
      </c>
      <c r="AW64" s="43">
        <f>COUNTIF('PF80'!U10:U89,"PWM0_45_N")</f>
        <v>0</v>
      </c>
      <c r="AX64" s="43">
        <f>COUNTIF('PF80'!U10:U89,"PWM0_46_N")</f>
        <v>0</v>
      </c>
      <c r="AY64" s="43">
        <f>COUNTIF('PF80'!U10:U89,"PWM0_47_N")</f>
        <v>0</v>
      </c>
      <c r="AZ64" s="43">
        <f>COUNTIF('PF80'!U10:U89,"PWM0_48_N")</f>
        <v>0</v>
      </c>
      <c r="BA64" s="43">
        <f>COUNTIF('PF80'!U10:U89,"PWM0_49_N")</f>
        <v>0</v>
      </c>
      <c r="BB64" s="43">
        <f>COUNTIF('PF80'!U10:U89,"PWM0_50_N")</f>
        <v>0</v>
      </c>
      <c r="BC64" s="43">
        <f>COUNTIF('PF80'!U10:U89,"PWM0_51_N")</f>
        <v>0</v>
      </c>
      <c r="BD64" s="43">
        <f>COUNTIF('PF80'!U10:U89,"PWM0_52_N")</f>
        <v>0</v>
      </c>
      <c r="BE64" s="43">
        <f>COUNTIF('PF80'!U10:U89,"PWM0_53_N")</f>
        <v>0</v>
      </c>
      <c r="BF64" s="43">
        <f>COUNTIF('PF80'!U10:U89,"PWM0_54_N")</f>
        <v>0</v>
      </c>
      <c r="BG64" s="43">
        <f>COUNTIF('PF80'!U10:U89,"PWM0_55_N")</f>
        <v>0</v>
      </c>
      <c r="BH64" s="43">
        <f>COUNTIF('PF80'!U10:U89,"PWM0_56_N")</f>
        <v>0</v>
      </c>
      <c r="BI64" s="43">
        <f>COUNTIF('PF80'!U10:U89,"PWM0_57_N")</f>
        <v>0</v>
      </c>
      <c r="BJ64" s="43">
        <f>COUNTIF('PF80'!U10:U89,"PWM0_58_N")</f>
        <v>0</v>
      </c>
      <c r="BK64" s="43">
        <f>COUNTIF('PF80'!U10:U89,"PWM0_59_N")</f>
        <v>0</v>
      </c>
      <c r="BL64" s="43">
        <f>COUNTIF('PF80'!U10:U89,"PWM0_60_N")</f>
        <v>0</v>
      </c>
      <c r="BM64" s="43">
        <f>COUNTIF('PF80'!U10:U89,"PWM0_61_N")</f>
        <v>0</v>
      </c>
      <c r="BN64" s="43">
        <f>COUNTIF('PF80'!U10:U89,"PWM0_62_N")</f>
        <v>0</v>
      </c>
    </row>
    <row r="65" spans="2:66" x14ac:dyDescent="0.55000000000000004">
      <c r="B65" s="139" t="s">
        <v>429</v>
      </c>
      <c r="C65" s="43" t="s">
        <v>422</v>
      </c>
      <c r="D65" s="43">
        <f>COUNTIF('PF80'!U10:U89,"TC0_0_TR0")</f>
        <v>0</v>
      </c>
      <c r="E65" s="43">
        <f>COUNTIF('PF80'!U10:U89,"TC0_1_TR0")</f>
        <v>0</v>
      </c>
      <c r="F65" s="43">
        <f>COUNTIF('PF80'!U10:U89,"TC0_2_TR0")</f>
        <v>0</v>
      </c>
      <c r="G65" s="43">
        <f>COUNTIF('PF80'!U10:U89,"TC0_3_TR0")</f>
        <v>0</v>
      </c>
      <c r="H65" s="43">
        <f>COUNTIF('PF80'!U10:U89,"TC0_4_TR0")</f>
        <v>0</v>
      </c>
      <c r="I65" s="43">
        <f>COUNTIF('PF80'!U10:U89,"TC0_5_TR0")</f>
        <v>0</v>
      </c>
      <c r="J65" s="43">
        <f>COUNTIF('PF80'!U10:U89,"TC0_6_TR0")</f>
        <v>0</v>
      </c>
      <c r="K65" s="43">
        <f>COUNTIF('PF80'!U10:U89,"TC0_7_TR0")</f>
        <v>0</v>
      </c>
      <c r="L65" s="43">
        <f>COUNTIF('PF80'!U10:U89,"TC0_8_TR0")</f>
        <v>0</v>
      </c>
      <c r="M65" s="43">
        <f>COUNTIF('PF80'!U10:U89,"TC0_9_TR0")</f>
        <v>0</v>
      </c>
      <c r="N65" s="43">
        <f>COUNTIF('PF80'!U10:U89,"TC0_10_TR0")</f>
        <v>0</v>
      </c>
      <c r="O65" s="43">
        <f>COUNTIF('PF80'!U10:U89,"TC0_11_TR0")</f>
        <v>0</v>
      </c>
      <c r="P65" s="43">
        <f>COUNTIF('PF80'!U10:U89,"TC0_12_TR0")</f>
        <v>0</v>
      </c>
      <c r="Q65" s="43">
        <f>COUNTIF('PF80'!U10:U89,"TC0_13_TR0")</f>
        <v>0</v>
      </c>
      <c r="R65" s="43">
        <f>COUNTIF('PF80'!U10:U89,"TC0_14_TR0")</f>
        <v>0</v>
      </c>
      <c r="S65" s="43">
        <f>COUNTIF('PF80'!U10:U89,"TC0_15_TR0")</f>
        <v>0</v>
      </c>
      <c r="T65" s="43">
        <f>COUNTIF('PF80'!U10:U89,"TC0_16_TR0")</f>
        <v>0</v>
      </c>
      <c r="U65" s="43">
        <f>COUNTIF('PF80'!U10:U89,"TC0_17_TR0")</f>
        <v>0</v>
      </c>
      <c r="V65" s="43">
        <f>COUNTIF('PF80'!U10:U89,"TC0_18_TR0")</f>
        <v>0</v>
      </c>
      <c r="W65" s="43">
        <f>COUNTIF('PF80'!U10:U89,"TC0_19_TR0")</f>
        <v>0</v>
      </c>
      <c r="X65" s="43">
        <f>COUNTIF('PF80'!U10:U89,"TC0_20_TR0")</f>
        <v>0</v>
      </c>
      <c r="Y65" s="43">
        <f>COUNTIF('PF80'!U10:U89,"TC0_21_TR0")</f>
        <v>0</v>
      </c>
      <c r="Z65" s="43">
        <f>COUNTIF('PF80'!U10:U89,"TC0_22_TR0")</f>
        <v>0</v>
      </c>
      <c r="AA65" s="43">
        <f>COUNTIF('PF80'!U10:U89,"TC0_23_TR0")</f>
        <v>0</v>
      </c>
      <c r="AB65" s="43">
        <f>COUNTIF('PF80'!U10:U89,"TC0_24_TR0")</f>
        <v>0</v>
      </c>
      <c r="AC65" s="43">
        <f>COUNTIF('PF80'!U10:U89,"TC0_25_TR0")</f>
        <v>0</v>
      </c>
      <c r="AD65" s="43">
        <f>COUNTIF('PF80'!U10:U89,"TC0_26_TR0")</f>
        <v>0</v>
      </c>
      <c r="AE65" s="43">
        <f>COUNTIF('PF80'!U10:U89,"TC0_27_TR0")</f>
        <v>0</v>
      </c>
      <c r="AF65" s="43">
        <f>COUNTIF('PF80'!U10:U89,"TC0_28_TR0")</f>
        <v>0</v>
      </c>
      <c r="AG65" s="43">
        <f>COUNTIF('PF80'!U10:U89,"TC0_29_TR0")</f>
        <v>0</v>
      </c>
      <c r="AH65" s="43">
        <f>COUNTIF('PF80'!U10:U89,"TC0_30_TR0")</f>
        <v>0</v>
      </c>
      <c r="AI65" s="43">
        <f>COUNTIF('PF80'!U10:U89,"TC0_31_TR0")</f>
        <v>0</v>
      </c>
      <c r="AJ65" s="43">
        <f>COUNTIF('PF80'!U10:U89,"TC0_32_TR0")</f>
        <v>0</v>
      </c>
      <c r="AK65" s="43">
        <f>COUNTIF('PF80'!U10:U89,"TC0_33_TR0")</f>
        <v>0</v>
      </c>
      <c r="AL65" s="43">
        <f>COUNTIF('PF80'!U10:U89,"TC0_34_TR0")</f>
        <v>0</v>
      </c>
      <c r="AM65" s="43">
        <f>COUNTIF('PF80'!U10:U89,"TC0_35_TR0")</f>
        <v>0</v>
      </c>
      <c r="AN65" s="43">
        <f>COUNTIF('PF80'!U10:U89,"TC0_36_TR0")</f>
        <v>0</v>
      </c>
      <c r="AO65" s="43">
        <f>COUNTIF('PF80'!U10:U89,"TC0_37_TR0")</f>
        <v>0</v>
      </c>
      <c r="AP65" s="43">
        <f>COUNTIF('PF80'!U10:U89,"TC0_38_TR0")</f>
        <v>0</v>
      </c>
      <c r="AQ65" s="43">
        <f>COUNTIF('PF80'!U10:U89,"TC0_39_TR0")</f>
        <v>0</v>
      </c>
      <c r="AR65" s="43">
        <f>COUNTIF('PF80'!U10:U89,"TC0_40_TR0")</f>
        <v>0</v>
      </c>
      <c r="AS65" s="43">
        <f>COUNTIF('PF80'!U10:U89,"TC0_41_TR0")</f>
        <v>0</v>
      </c>
      <c r="AT65" s="43">
        <f>COUNTIF('PF80'!U10:U89,"TC0_42_TR0")</f>
        <v>0</v>
      </c>
      <c r="AU65" s="43">
        <f>COUNTIF('PF80'!U10:U89,"TC0_43_TR0")</f>
        <v>0</v>
      </c>
      <c r="AV65" s="43">
        <f>COUNTIF('PF80'!U10:U89,"TC0_44_TR0")</f>
        <v>0</v>
      </c>
      <c r="AW65" s="43">
        <f>COUNTIF('PF80'!U10:U89,"TC0_45_TR0")</f>
        <v>0</v>
      </c>
      <c r="AX65" s="43">
        <f>COUNTIF('PF80'!U10:U89,"TC0_46_TR0")</f>
        <v>0</v>
      </c>
      <c r="AY65" s="43">
        <f>COUNTIF('PF80'!U10:U89,"TC0_47_TR0")</f>
        <v>0</v>
      </c>
      <c r="AZ65" s="43">
        <f>COUNTIF('PF80'!U10:U89,"TC0_48_TR0")</f>
        <v>0</v>
      </c>
      <c r="BA65" s="43">
        <f>COUNTIF('PF80'!U10:U89,"TC0_49_TR0")</f>
        <v>0</v>
      </c>
      <c r="BB65" s="43">
        <f>COUNTIF('PF80'!U10:U89,"TC0_50_TR0")</f>
        <v>0</v>
      </c>
      <c r="BC65" s="43">
        <f>COUNTIF('PF80'!U10:U89,"TC0_51_TR0")</f>
        <v>0</v>
      </c>
      <c r="BD65" s="43">
        <f>COUNTIF('PF80'!U10:U89,"TC0_52_TR0")</f>
        <v>0</v>
      </c>
      <c r="BE65" s="43">
        <f>COUNTIF('PF80'!U10:U89,"TC0_53_TR0")</f>
        <v>0</v>
      </c>
      <c r="BF65" s="43">
        <f>COUNTIF('PF80'!U10:U89,"TC0_54_TR0")</f>
        <v>0</v>
      </c>
      <c r="BG65" s="43">
        <f>COUNTIF('PF80'!U10:U89,"TC0_55_TR0")</f>
        <v>0</v>
      </c>
      <c r="BH65" s="43">
        <f>COUNTIF('PF80'!U10:U89,"TC0_56_TR0")</f>
        <v>0</v>
      </c>
      <c r="BI65" s="43">
        <f>COUNTIF('PF80'!U10:U89,"TC0_57_TR0")</f>
        <v>0</v>
      </c>
      <c r="BJ65" s="43">
        <f>COUNTIF('PF80'!U10:U89,"TC0_58_TR0")</f>
        <v>0</v>
      </c>
      <c r="BK65" s="43">
        <f>COUNTIF('PF80'!U10:U89,"TC0_59_TR0")</f>
        <v>0</v>
      </c>
      <c r="BL65" s="43">
        <f>COUNTIF('PF80'!U10:U89,"TC0_60_TR0")</f>
        <v>0</v>
      </c>
      <c r="BM65" s="43">
        <f>COUNTIF('PF80'!U10:U89,"TC0_61_TR0")</f>
        <v>0</v>
      </c>
      <c r="BN65" s="43">
        <f>COUNTIF('PF80'!U10:U89,"TC0_62_TR0")</f>
        <v>0</v>
      </c>
    </row>
    <row r="66" spans="2:66" x14ac:dyDescent="0.55000000000000004">
      <c r="B66" s="140"/>
      <c r="C66" s="43" t="s">
        <v>423</v>
      </c>
      <c r="D66" s="43">
        <f>COUNTIF('PF80'!U10:U89,"TC0_0_TR1")</f>
        <v>0</v>
      </c>
      <c r="E66" s="43">
        <f>COUNTIF('PF80'!U10:U89,"TC0_1_TR1")</f>
        <v>0</v>
      </c>
      <c r="F66" s="43">
        <f>COUNTIF('PF80'!U10:U89,"TC0_2_TR1")</f>
        <v>0</v>
      </c>
      <c r="G66" s="43">
        <f>COUNTIF('PF80'!U10:U89,"TC0_3_TR1")</f>
        <v>0</v>
      </c>
      <c r="H66" s="43">
        <f>COUNTIF('PF80'!U10:U89,"TC0_4_TR1")</f>
        <v>0</v>
      </c>
      <c r="I66" s="43">
        <f>COUNTIF('PF80'!U10:U89,"TC0_5_TR1")</f>
        <v>0</v>
      </c>
      <c r="J66" s="43">
        <f>COUNTIF('PF80'!U10:U89,"TC0_6_TR1")</f>
        <v>0</v>
      </c>
      <c r="K66" s="43">
        <f>COUNTIF('PF80'!U10:U89,"TC0_7_TR1")</f>
        <v>0</v>
      </c>
      <c r="L66" s="43">
        <f>COUNTIF('PF80'!U10:U89,"TC0_8_TR1")</f>
        <v>0</v>
      </c>
      <c r="M66" s="43">
        <f>COUNTIF('PF80'!U10:U89,"TC0_9_TR1")</f>
        <v>0</v>
      </c>
      <c r="N66" s="43">
        <f>COUNTIF('PF80'!U10:U89,"TC0_10_TR1")</f>
        <v>0</v>
      </c>
      <c r="O66" s="43">
        <f>COUNTIF('PF80'!U10:U89,"TC0_11_TR1")</f>
        <v>0</v>
      </c>
      <c r="P66" s="43">
        <f>COUNTIF('PF80'!U10:U89,"TC0_12_TR1")</f>
        <v>0</v>
      </c>
      <c r="Q66" s="43">
        <f>COUNTIF('PF80'!U10:U89,"TC0_13_TR1")</f>
        <v>0</v>
      </c>
      <c r="R66" s="43">
        <f>COUNTIF('PF80'!U10:U89,"TC0_14_TR1")</f>
        <v>0</v>
      </c>
      <c r="S66" s="43">
        <f>COUNTIF('PF80'!U10:U89,"TC0_15_TR1")</f>
        <v>0</v>
      </c>
      <c r="T66" s="43">
        <f>COUNTIF('PF80'!U10:U89,"TC0_16_TR1")</f>
        <v>0</v>
      </c>
      <c r="U66" s="43">
        <f>COUNTIF('PF80'!U10:U89,"TC0_17_TR1")</f>
        <v>0</v>
      </c>
      <c r="V66" s="43">
        <f>COUNTIF('PF80'!U10:U89,"TC0_18_TR1")</f>
        <v>0</v>
      </c>
      <c r="W66" s="43">
        <f>COUNTIF('PF80'!U10:U89,"TC0_19_TR1")</f>
        <v>0</v>
      </c>
      <c r="X66" s="43">
        <f>COUNTIF('PF80'!U10:U89,"TC0_20_TR1")</f>
        <v>0</v>
      </c>
      <c r="Y66" s="43">
        <f>COUNTIF('PF80'!U10:U89,"TC0_21_TR1")</f>
        <v>0</v>
      </c>
      <c r="Z66" s="43">
        <f>COUNTIF('PF80'!U10:U89,"TC0_22_TR1")</f>
        <v>0</v>
      </c>
      <c r="AA66" s="43">
        <f>COUNTIF('PF80'!U10:U89,"TC0_23_TR1")</f>
        <v>0</v>
      </c>
      <c r="AB66" s="43">
        <f>COUNTIF('PF80'!U10:U89,"TC0_24_TR1")</f>
        <v>0</v>
      </c>
      <c r="AC66" s="43">
        <f>COUNTIF('PF80'!U10:U89,"TC0_25_TR1")</f>
        <v>0</v>
      </c>
      <c r="AD66" s="43">
        <f>COUNTIF('PF80'!U10:U89,"TC0_26_TR1")</f>
        <v>0</v>
      </c>
      <c r="AE66" s="43">
        <f>COUNTIF('PF80'!U10:U89,"TC0_27_TR1")</f>
        <v>0</v>
      </c>
      <c r="AF66" s="43">
        <f>COUNTIF('PF80'!U10:U89,"TC0_28_TR1")</f>
        <v>0</v>
      </c>
      <c r="AG66" s="43">
        <f>COUNTIF('PF80'!U10:U89,"TC0_29_TR1")</f>
        <v>0</v>
      </c>
      <c r="AH66" s="43">
        <f>COUNTIF('PF80'!U10:U89,"TC0_30_TR1")</f>
        <v>0</v>
      </c>
      <c r="AI66" s="43">
        <f>COUNTIF('PF80'!U10:U89,"TC0_31_TR1")</f>
        <v>0</v>
      </c>
      <c r="AJ66" s="43">
        <f>COUNTIF('PF80'!U10:U89,"TC0_32_TR1")</f>
        <v>0</v>
      </c>
      <c r="AK66" s="43">
        <f>COUNTIF('PF80'!U10:U89,"TC0_33_TR1")</f>
        <v>0</v>
      </c>
      <c r="AL66" s="43">
        <f>COUNTIF('PF80'!U10:U89,"TC0_34_TR1")</f>
        <v>0</v>
      </c>
      <c r="AM66" s="43">
        <f>COUNTIF('PF80'!U10:U89,"TC0_35_TR1")</f>
        <v>0</v>
      </c>
      <c r="AN66" s="43">
        <f>COUNTIF('PF80'!U10:U89,"TC0_36_TR1")</f>
        <v>0</v>
      </c>
      <c r="AO66" s="43">
        <f>COUNTIF('PF80'!U10:U89,"TC0_37_TR1")</f>
        <v>0</v>
      </c>
      <c r="AP66" s="43">
        <f>COUNTIF('PF80'!U10:U89,"TC0_38_TR1")</f>
        <v>0</v>
      </c>
      <c r="AQ66" s="43">
        <f>COUNTIF('PF80'!U10:U89,"TC0_39_TR1")</f>
        <v>0</v>
      </c>
      <c r="AR66" s="43">
        <f>COUNTIF('PF80'!U10:U89,"TC0_40_TR1")</f>
        <v>0</v>
      </c>
      <c r="AS66" s="43">
        <f>COUNTIF('PF80'!U10:U89,"TC0_41_TR1")</f>
        <v>0</v>
      </c>
      <c r="AT66" s="43">
        <f>COUNTIF('PF80'!U10:U89,"TC0_42_TR1")</f>
        <v>0</v>
      </c>
      <c r="AU66" s="43">
        <f>COUNTIF('PF80'!U10:U89,"TC0_43_TR1")</f>
        <v>0</v>
      </c>
      <c r="AV66" s="43">
        <f>COUNTIF('PF80'!U10:U89,"TC0_44_TR1")</f>
        <v>0</v>
      </c>
      <c r="AW66" s="43">
        <f>COUNTIF('PF80'!U10:U89,"TC0_45_TR1")</f>
        <v>0</v>
      </c>
      <c r="AX66" s="43">
        <f>COUNTIF('PF80'!U10:U89,"TC0_46_TR1")</f>
        <v>0</v>
      </c>
      <c r="AY66" s="43">
        <f>COUNTIF('PF80'!U10:U89,"TC0_47_TR1")</f>
        <v>0</v>
      </c>
      <c r="AZ66" s="43">
        <f>COUNTIF('PF80'!U10:U89,"TC0_48_TR1")</f>
        <v>0</v>
      </c>
      <c r="BA66" s="43">
        <f>COUNTIF('PF80'!U10:U89,"TC0_49_TR1")</f>
        <v>0</v>
      </c>
      <c r="BB66" s="43">
        <f>COUNTIF('PF80'!U10:U89,"TC0_50_TR1")</f>
        <v>0</v>
      </c>
      <c r="BC66" s="43">
        <f>COUNTIF('PF80'!U10:U89,"TC0_51_TR1")</f>
        <v>0</v>
      </c>
      <c r="BD66" s="43">
        <f>COUNTIF('PF80'!U10:U89,"TC0_52_TR1")</f>
        <v>0</v>
      </c>
      <c r="BE66" s="43">
        <f>COUNTIF('PF80'!U10:U89,"TC0_53_TR1")</f>
        <v>0</v>
      </c>
      <c r="BF66" s="43">
        <f>COUNTIF('PF80'!U10:U89,"TC0_54_TR1")</f>
        <v>0</v>
      </c>
      <c r="BG66" s="43">
        <f>COUNTIF('PF80'!U10:U89,"TC0_55_TR1")</f>
        <v>0</v>
      </c>
      <c r="BH66" s="43">
        <f>COUNTIF('PF80'!U10:U89,"TC0_56_TR1")</f>
        <v>0</v>
      </c>
      <c r="BI66" s="43">
        <f>COUNTIF('PF80'!U10:U89,"TC0_57_TR1")</f>
        <v>0</v>
      </c>
      <c r="BJ66" s="43">
        <f>COUNTIF('PF80'!U10:U89,"TC0_58_TR1")</f>
        <v>0</v>
      </c>
      <c r="BK66" s="43">
        <f>COUNTIF('PF80'!U10:U89,"TC0_59_TR1")</f>
        <v>0</v>
      </c>
      <c r="BL66" s="43">
        <f>COUNTIF('PF80'!U10:U89,"TC0_60_TR1")</f>
        <v>0</v>
      </c>
      <c r="BM66" s="43">
        <f>COUNTIF('PF80'!U10:U89,"TC0_61_TR1")</f>
        <v>0</v>
      </c>
      <c r="BN66" s="43">
        <f>COUNTIF('PF80'!U10:U89,"TC0_62_TR1")</f>
        <v>0</v>
      </c>
    </row>
    <row r="68" spans="2:66" x14ac:dyDescent="0.55000000000000004">
      <c r="B68" s="141" t="s">
        <v>445</v>
      </c>
      <c r="C68" s="142"/>
      <c r="D68" s="42" t="s">
        <v>431</v>
      </c>
      <c r="E68" s="42" t="s">
        <v>432</v>
      </c>
      <c r="F68" s="42" t="s">
        <v>433</v>
      </c>
      <c r="G68" s="42" t="s">
        <v>434</v>
      </c>
      <c r="H68" s="42" t="s">
        <v>436</v>
      </c>
      <c r="I68" s="42" t="s">
        <v>437</v>
      </c>
      <c r="J68" s="42" t="s">
        <v>438</v>
      </c>
      <c r="K68" s="42" t="s">
        <v>439</v>
      </c>
      <c r="L68" s="42" t="s">
        <v>440</v>
      </c>
      <c r="M68" s="42" t="s">
        <v>441</v>
      </c>
      <c r="N68" s="42" t="s">
        <v>443</v>
      </c>
      <c r="O68" s="42" t="s">
        <v>444</v>
      </c>
      <c r="P68" s="66"/>
      <c r="Q68" s="44"/>
      <c r="R68" s="44"/>
      <c r="S68" s="44"/>
      <c r="T68" s="44"/>
      <c r="U68" s="44"/>
      <c r="V68" s="44"/>
      <c r="W68" s="44"/>
      <c r="X68" s="44"/>
      <c r="Y68" s="44"/>
      <c r="Z68" s="44"/>
      <c r="AA68" s="44"/>
      <c r="AB68" s="44"/>
      <c r="AC68" s="44"/>
      <c r="AD68" s="44"/>
      <c r="AE68" s="44"/>
      <c r="AF68" s="44"/>
      <c r="AG68" s="44"/>
      <c r="AH68" s="44"/>
      <c r="AI68" s="44"/>
      <c r="AJ68" s="44"/>
      <c r="AK68" s="44"/>
      <c r="AL68" s="44"/>
      <c r="AM68" s="44"/>
      <c r="AN68" s="44"/>
      <c r="AO68" s="44"/>
      <c r="AP68" s="44"/>
      <c r="AQ68" s="44"/>
      <c r="AR68" s="44"/>
      <c r="AS68" s="44"/>
      <c r="AT68" s="44"/>
      <c r="AU68" s="44"/>
      <c r="AV68" s="44"/>
      <c r="AW68" s="44"/>
      <c r="AX68" s="44"/>
      <c r="AY68" s="44"/>
      <c r="AZ68" s="44"/>
      <c r="BA68" s="44"/>
      <c r="BB68" s="44"/>
      <c r="BC68" s="44"/>
      <c r="BD68" s="44"/>
      <c r="BE68" s="44"/>
      <c r="BF68" s="44"/>
    </row>
    <row r="69" spans="2:66" x14ac:dyDescent="0.55000000000000004">
      <c r="B69" s="139" t="s">
        <v>428</v>
      </c>
      <c r="C69" s="43" t="s">
        <v>421</v>
      </c>
      <c r="D69" s="43">
        <f>COUNTIF('PF80'!U10:U89,"PWM0_M_0")</f>
        <v>0</v>
      </c>
      <c r="E69" s="43">
        <f>COUNTIF('PF80'!U10:U89,"PWM0_M_1")</f>
        <v>0</v>
      </c>
      <c r="F69" s="43">
        <f>COUNTIF('PF80'!U10:U89,"PWM0_M_2")</f>
        <v>0</v>
      </c>
      <c r="G69" s="43">
        <f>COUNTIF('PF80'!U10:U89,"PWM0_M_3")</f>
        <v>0</v>
      </c>
      <c r="H69" s="43">
        <f>COUNTIF('PF80'!U10:U89,"PWM0_M_4")</f>
        <v>0</v>
      </c>
      <c r="I69" s="43">
        <f>COUNTIF('PF80'!U10:U89,"PWM0_M_5")</f>
        <v>0</v>
      </c>
      <c r="J69" s="43">
        <f>COUNTIF('PF80'!U10:U89,"PWM0_M_6")</f>
        <v>0</v>
      </c>
      <c r="K69" s="43">
        <f>COUNTIF('PF80'!U10:U89,"PWM0_M_7")</f>
        <v>0</v>
      </c>
      <c r="L69" s="43">
        <f>COUNTIF('PF80'!U10:U89,"PWM0_M_8")</f>
        <v>0</v>
      </c>
      <c r="M69" s="43">
        <f>COUNTIF('PF80'!U10:U89,"PWM0_M_9")</f>
        <v>0</v>
      </c>
      <c r="N69" s="43">
        <f>COUNTIF('PF80'!U10:U89,"PWM0_M_10")</f>
        <v>0</v>
      </c>
      <c r="O69" s="43">
        <f>COUNTIF('PF80'!U10:U89,"PWM0_M_11")</f>
        <v>0</v>
      </c>
      <c r="P69" s="67"/>
      <c r="Q69" s="45"/>
      <c r="R69" s="45"/>
      <c r="S69" s="45"/>
      <c r="T69" s="45"/>
      <c r="U69" s="45"/>
      <c r="V69" s="45"/>
      <c r="W69" s="45"/>
      <c r="X69" s="45"/>
      <c r="Y69" s="45"/>
      <c r="Z69" s="45"/>
      <c r="AA69" s="45"/>
      <c r="AB69" s="45"/>
      <c r="AC69" s="45"/>
      <c r="AD69" s="45"/>
      <c r="AE69" s="45"/>
      <c r="AF69" s="45"/>
      <c r="AG69" s="45"/>
      <c r="AH69" s="45"/>
      <c r="AI69" s="45"/>
      <c r="AJ69" s="45"/>
      <c r="AK69" s="45"/>
      <c r="AL69" s="45"/>
      <c r="AM69" s="45"/>
      <c r="AN69" s="45"/>
      <c r="AO69" s="45"/>
      <c r="AP69" s="45"/>
      <c r="AQ69" s="45"/>
      <c r="AR69" s="45"/>
      <c r="AS69" s="45"/>
      <c r="AT69" s="45"/>
      <c r="AU69" s="45"/>
      <c r="AV69" s="45"/>
      <c r="AW69" s="45"/>
      <c r="AX69" s="45"/>
      <c r="AY69" s="45"/>
      <c r="AZ69" s="45"/>
      <c r="BA69" s="45"/>
      <c r="BB69" s="45"/>
      <c r="BC69" s="45"/>
      <c r="BD69" s="45"/>
      <c r="BE69" s="45"/>
      <c r="BF69" s="45"/>
    </row>
    <row r="70" spans="2:66" x14ac:dyDescent="0.55000000000000004">
      <c r="B70" s="140"/>
      <c r="C70" s="43" t="s">
        <v>424</v>
      </c>
      <c r="D70" s="43">
        <f>COUNTIF('PF80'!U10:U89,"PWM0_M_0_N")</f>
        <v>0</v>
      </c>
      <c r="E70" s="43">
        <f>COUNTIF('PF80'!U10:U89,"PWM0_M_1_N")</f>
        <v>0</v>
      </c>
      <c r="F70" s="43">
        <f>COUNTIF('PF80'!U10:U89,"PWM0_M_2_N")</f>
        <v>0</v>
      </c>
      <c r="G70" s="43">
        <f>COUNTIF('PF80'!U10:U89,"PWM0_M_3_N")</f>
        <v>0</v>
      </c>
      <c r="H70" s="43">
        <f>COUNTIF('PF80'!U10:U89,"PWM0_M_4_N")</f>
        <v>0</v>
      </c>
      <c r="I70" s="43">
        <f>COUNTIF('PF80'!U10:U89,"PWM0_M_5_N")</f>
        <v>0</v>
      </c>
      <c r="J70" s="43">
        <f>COUNTIF('PF80'!U10:U89,"PWM0_M_6_N")</f>
        <v>0</v>
      </c>
      <c r="K70" s="43">
        <f>COUNTIF('PF80'!U10:U89,"PWM0_M_7_N")</f>
        <v>0</v>
      </c>
      <c r="L70" s="43">
        <f>COUNTIF('PF80'!U10:U89,"PWM0_M_8_N")</f>
        <v>0</v>
      </c>
      <c r="M70" s="43">
        <f>COUNTIF('PF80'!U10:U89,"PWM0_M_9_N")</f>
        <v>0</v>
      </c>
      <c r="N70" s="43">
        <f>COUNTIF('PF80'!U10:U89,"PWM0_M_10_N")</f>
        <v>0</v>
      </c>
      <c r="O70" s="43">
        <f>COUNTIF('PF80'!U10:U89,"PWM0_M_11_N")</f>
        <v>0</v>
      </c>
      <c r="P70" s="67"/>
      <c r="Q70" s="45"/>
      <c r="R70" s="45"/>
      <c r="S70" s="45"/>
      <c r="T70" s="45"/>
      <c r="U70" s="45"/>
      <c r="V70" s="45"/>
      <c r="W70" s="45"/>
      <c r="X70" s="45"/>
      <c r="Y70" s="45"/>
      <c r="Z70" s="45"/>
      <c r="AA70" s="45"/>
      <c r="AB70" s="45"/>
      <c r="AC70" s="45"/>
      <c r="AD70" s="45"/>
      <c r="AE70" s="45"/>
      <c r="AF70" s="45"/>
      <c r="AG70" s="45"/>
      <c r="AH70" s="45"/>
      <c r="AI70" s="45"/>
      <c r="AJ70" s="45"/>
      <c r="AK70" s="45"/>
      <c r="AL70" s="45"/>
      <c r="AM70" s="45"/>
      <c r="AN70" s="45"/>
      <c r="AO70" s="45"/>
      <c r="AP70" s="45"/>
      <c r="AQ70" s="45"/>
      <c r="AR70" s="45"/>
      <c r="AS70" s="45"/>
      <c r="AT70" s="45"/>
      <c r="AU70" s="45"/>
      <c r="AV70" s="45"/>
      <c r="AW70" s="45"/>
      <c r="AX70" s="45"/>
      <c r="AY70" s="45"/>
      <c r="AZ70" s="45"/>
      <c r="BA70" s="45"/>
      <c r="BB70" s="45"/>
      <c r="BC70" s="45"/>
      <c r="BD70" s="45"/>
      <c r="BE70" s="45"/>
      <c r="BF70" s="45"/>
    </row>
    <row r="71" spans="2:66" x14ac:dyDescent="0.55000000000000004">
      <c r="B71" s="139" t="s">
        <v>429</v>
      </c>
      <c r="C71" s="43" t="s">
        <v>422</v>
      </c>
      <c r="D71" s="43">
        <f>COUNTIF('PF80'!U10:U89,"TC0_M_0_TR0")</f>
        <v>0</v>
      </c>
      <c r="E71" s="43">
        <f>COUNTIF('PF80'!U10:U89,"TC0_M_1_TR0")</f>
        <v>0</v>
      </c>
      <c r="F71" s="43">
        <f>COUNTIF('PF80'!U10:U89,"TC0_M_2_TR0")</f>
        <v>0</v>
      </c>
      <c r="G71" s="43">
        <f>COUNTIF('PF80'!U10:U89,"TC0_M_3_TR0")</f>
        <v>0</v>
      </c>
      <c r="H71" s="43">
        <f>COUNTIF('PF80'!U10:U89,"TC0_M_4_TR0")</f>
        <v>0</v>
      </c>
      <c r="I71" s="43">
        <f>COUNTIF('PF80'!U10:U89,"TC0_M_5_TR0")</f>
        <v>0</v>
      </c>
      <c r="J71" s="43">
        <f>COUNTIF('PF80'!U10:U89,"TC0_M_6_TR0")</f>
        <v>0</v>
      </c>
      <c r="K71" s="43">
        <f>COUNTIF('PF80'!U10:U89,"TC0_M_7_TR0")</f>
        <v>0</v>
      </c>
      <c r="L71" s="43">
        <f>COUNTIF('PF80'!U10:U89,"TC0_M_8_TR0")</f>
        <v>0</v>
      </c>
      <c r="M71" s="43">
        <f>COUNTIF('PF80'!U10:U89,"TC0_M_9_TR0")</f>
        <v>0</v>
      </c>
      <c r="N71" s="43">
        <f>COUNTIF('PF80'!U10:U89,"TC0_M_10_TR0")</f>
        <v>0</v>
      </c>
      <c r="O71" s="43">
        <f>COUNTIF('PF80'!U10:U89,"TC0_M_11_TR0")</f>
        <v>0</v>
      </c>
      <c r="P71" s="67"/>
      <c r="Q71" s="45"/>
      <c r="R71" s="45"/>
      <c r="S71" s="45"/>
      <c r="T71" s="45"/>
      <c r="U71" s="45"/>
      <c r="V71" s="45"/>
      <c r="W71" s="45"/>
      <c r="X71" s="45"/>
      <c r="Y71" s="45"/>
      <c r="Z71" s="45"/>
      <c r="AA71" s="45"/>
      <c r="AB71" s="45"/>
      <c r="AC71" s="45"/>
      <c r="AD71" s="45"/>
      <c r="AE71" s="45"/>
      <c r="AF71" s="45"/>
      <c r="AG71" s="45"/>
      <c r="AH71" s="45"/>
      <c r="AI71" s="45"/>
      <c r="AJ71" s="45"/>
      <c r="AK71" s="45"/>
      <c r="AL71" s="45"/>
      <c r="AM71" s="45"/>
      <c r="AN71" s="45"/>
      <c r="AO71" s="45"/>
      <c r="AP71" s="45"/>
      <c r="AQ71" s="45"/>
      <c r="AR71" s="45"/>
      <c r="AS71" s="45"/>
      <c r="AT71" s="45"/>
      <c r="AU71" s="45"/>
      <c r="AV71" s="45"/>
      <c r="AW71" s="45"/>
      <c r="AX71" s="45"/>
      <c r="AY71" s="45"/>
      <c r="AZ71" s="45"/>
      <c r="BA71" s="45"/>
      <c r="BB71" s="45"/>
      <c r="BC71" s="45"/>
      <c r="BD71" s="45"/>
      <c r="BE71" s="45"/>
      <c r="BF71" s="45"/>
    </row>
    <row r="72" spans="2:66" x14ac:dyDescent="0.55000000000000004">
      <c r="B72" s="140"/>
      <c r="C72" s="43" t="s">
        <v>423</v>
      </c>
      <c r="D72" s="43">
        <f>COUNTIF('PF80'!U10:U89,"TC0_M_0_TR1")</f>
        <v>0</v>
      </c>
      <c r="E72" s="43">
        <f>COUNTIF('PF80'!U10:U89,"TC0_M_1_TR1")</f>
        <v>0</v>
      </c>
      <c r="F72" s="43">
        <f>COUNTIF('PF80'!U10:U89,"TC0_M_2_TR1")</f>
        <v>0</v>
      </c>
      <c r="G72" s="43">
        <f>COUNTIF('PF80'!U10:U89,"TC0_M_3_TR1")</f>
        <v>0</v>
      </c>
      <c r="H72" s="43">
        <f>COUNTIF('PF80'!U10:U89,"TC0_M_4_TR1")</f>
        <v>0</v>
      </c>
      <c r="I72" s="43">
        <f>COUNTIF('PF80'!U10:U89,"TC0_M_5_TR1")</f>
        <v>0</v>
      </c>
      <c r="J72" s="43">
        <f>COUNTIF('PF80'!U10:U89,"TC0_M_6_TR1")</f>
        <v>0</v>
      </c>
      <c r="K72" s="43">
        <f>COUNTIF('PF80'!U10:U89,"TC0_M_7_TR1")</f>
        <v>0</v>
      </c>
      <c r="L72" s="43">
        <f>COUNTIF('PF80'!U10:U89,"TC0_M_8_TR1")</f>
        <v>0</v>
      </c>
      <c r="M72" s="43">
        <f>COUNTIF('PF80'!U10:U89,"TC0_M_9_TR1")</f>
        <v>0</v>
      </c>
      <c r="N72" s="43">
        <f>COUNTIF('PF80'!U10:U89,"TC0_M_10_TR1")</f>
        <v>0</v>
      </c>
      <c r="O72" s="43">
        <f>COUNTIF('PF80'!U10:U89,"TC0_M_11_TR1")</f>
        <v>0</v>
      </c>
      <c r="P72" s="67"/>
      <c r="Q72" s="45"/>
      <c r="R72" s="45"/>
      <c r="S72" s="45"/>
      <c r="T72" s="45"/>
      <c r="U72" s="45"/>
      <c r="V72" s="45"/>
      <c r="W72" s="45"/>
      <c r="X72" s="45"/>
      <c r="Y72" s="45"/>
      <c r="Z72" s="45"/>
      <c r="AA72" s="45"/>
      <c r="AB72" s="45"/>
      <c r="AC72" s="45"/>
      <c r="AD72" s="45"/>
      <c r="AE72" s="45"/>
      <c r="AF72" s="45"/>
      <c r="AG72" s="45"/>
      <c r="AH72" s="45"/>
      <c r="AI72" s="45"/>
      <c r="AJ72" s="45"/>
      <c r="AK72" s="45"/>
      <c r="AL72" s="45"/>
      <c r="AM72" s="45"/>
      <c r="AN72" s="45"/>
      <c r="AO72" s="45"/>
      <c r="AP72" s="45"/>
      <c r="AQ72" s="45"/>
      <c r="AR72" s="45"/>
      <c r="AS72" s="45"/>
      <c r="AT72" s="45"/>
      <c r="AU72" s="45"/>
      <c r="AV72" s="45"/>
      <c r="AW72" s="45"/>
      <c r="AX72" s="45"/>
      <c r="AY72" s="45"/>
      <c r="AZ72" s="45"/>
      <c r="BA72" s="45"/>
      <c r="BB72" s="45"/>
      <c r="BC72" s="45"/>
      <c r="BD72" s="45"/>
      <c r="BE72" s="45"/>
      <c r="BF72" s="45"/>
    </row>
    <row r="73" spans="2:66" x14ac:dyDescent="0.55000000000000004">
      <c r="Q73" s="45"/>
      <c r="R73" s="45"/>
      <c r="S73" s="45"/>
      <c r="T73" s="45"/>
      <c r="U73" s="45"/>
      <c r="V73" s="45"/>
      <c r="W73" s="45"/>
      <c r="X73" s="45"/>
      <c r="Y73" s="45"/>
      <c r="Z73" s="45"/>
      <c r="AA73" s="45"/>
      <c r="AB73" s="45"/>
      <c r="AC73" s="45"/>
      <c r="AD73" s="45"/>
      <c r="AE73" s="45"/>
      <c r="AF73" s="45"/>
      <c r="AG73" s="45"/>
      <c r="AH73" s="45"/>
      <c r="AI73" s="45"/>
      <c r="AJ73" s="45"/>
      <c r="AK73" s="45"/>
      <c r="AL73" s="45"/>
      <c r="AM73" s="45"/>
      <c r="AN73" s="45"/>
      <c r="AO73" s="45"/>
      <c r="AP73" s="45"/>
      <c r="AQ73" s="45"/>
      <c r="AR73" s="45"/>
      <c r="AS73" s="45"/>
      <c r="AT73" s="45"/>
      <c r="AU73" s="45"/>
      <c r="AV73" s="45"/>
      <c r="AW73" s="45"/>
      <c r="AX73" s="45"/>
      <c r="AY73" s="45"/>
      <c r="AZ73" s="45"/>
      <c r="BA73" s="45"/>
      <c r="BB73" s="45"/>
      <c r="BC73" s="45"/>
      <c r="BD73" s="45"/>
      <c r="BE73" s="45"/>
      <c r="BF73" s="45"/>
    </row>
    <row r="74" spans="2:66" x14ac:dyDescent="0.55000000000000004">
      <c r="B74" s="141" t="s">
        <v>446</v>
      </c>
      <c r="C74" s="142"/>
      <c r="D74" s="42" t="s">
        <v>431</v>
      </c>
      <c r="E74" s="42" t="s">
        <v>432</v>
      </c>
      <c r="F74" s="42" t="s">
        <v>433</v>
      </c>
      <c r="G74" s="42" t="s">
        <v>434</v>
      </c>
      <c r="Q74" s="45"/>
      <c r="R74" s="45"/>
      <c r="S74" s="45"/>
      <c r="T74" s="45"/>
      <c r="U74" s="45"/>
      <c r="V74" s="45"/>
      <c r="W74" s="45"/>
      <c r="X74" s="45"/>
      <c r="Y74" s="45"/>
      <c r="Z74" s="45"/>
      <c r="AA74" s="45"/>
      <c r="AB74" s="45"/>
      <c r="AC74" s="45"/>
      <c r="AD74" s="45"/>
      <c r="AE74" s="45"/>
      <c r="AF74" s="45"/>
      <c r="AG74" s="45"/>
      <c r="AH74" s="44"/>
      <c r="AI74" s="44"/>
      <c r="AJ74" s="44"/>
      <c r="AK74" s="44"/>
      <c r="AL74" s="44"/>
      <c r="AM74" s="44"/>
      <c r="AN74" s="44"/>
      <c r="AO74" s="44"/>
      <c r="AP74" s="44"/>
      <c r="AQ74" s="44"/>
      <c r="AR74" s="44"/>
      <c r="AS74" s="44"/>
      <c r="AT74" s="44"/>
      <c r="AU74" s="44"/>
      <c r="AV74" s="44"/>
      <c r="AW74" s="44"/>
      <c r="AX74" s="44"/>
      <c r="AY74" s="44"/>
      <c r="AZ74" s="44"/>
      <c r="BA74" s="44"/>
      <c r="BB74" s="44"/>
      <c r="BC74" s="44"/>
      <c r="BD74" s="44"/>
      <c r="BE74" s="44"/>
      <c r="BF74" s="44"/>
    </row>
    <row r="75" spans="2:66" x14ac:dyDescent="0.55000000000000004">
      <c r="B75" s="139" t="s">
        <v>428</v>
      </c>
      <c r="C75" s="43" t="s">
        <v>421</v>
      </c>
      <c r="D75" s="43">
        <f>COUNTIF('PF80'!U10:U89,"PWM0_H_0")</f>
        <v>0</v>
      </c>
      <c r="E75" s="43">
        <f>COUNTIF('PF80'!U10:U89,"PWM0_H_1")</f>
        <v>0</v>
      </c>
      <c r="F75" s="43">
        <f>COUNTIF('PF80'!U10:U89,"PWM0_H_2")</f>
        <v>0</v>
      </c>
      <c r="G75" s="43">
        <f>COUNTIF('PF80'!U10:U89,"PWM0_H_3")</f>
        <v>0</v>
      </c>
      <c r="Q75" s="45"/>
      <c r="R75" s="45"/>
      <c r="S75" s="45"/>
      <c r="T75" s="45"/>
      <c r="U75" s="45"/>
      <c r="V75" s="45"/>
      <c r="W75" s="45"/>
      <c r="X75" s="45"/>
      <c r="Y75" s="45"/>
      <c r="Z75" s="45"/>
      <c r="AA75" s="45"/>
      <c r="AB75" s="45"/>
      <c r="AC75" s="45"/>
      <c r="AD75" s="45"/>
      <c r="AE75" s="45"/>
      <c r="AF75" s="45"/>
      <c r="AG75" s="45"/>
      <c r="AH75" s="45"/>
      <c r="AI75" s="45"/>
      <c r="AJ75" s="45"/>
      <c r="AK75" s="45"/>
      <c r="AL75" s="45"/>
      <c r="AM75" s="45"/>
      <c r="AN75" s="45"/>
      <c r="AO75" s="45"/>
      <c r="AP75" s="45"/>
      <c r="AQ75" s="45"/>
      <c r="AR75" s="45"/>
      <c r="AS75" s="45"/>
      <c r="AT75" s="45"/>
      <c r="AU75" s="45"/>
      <c r="AV75" s="45"/>
      <c r="AW75" s="45"/>
      <c r="AX75" s="45"/>
      <c r="AY75" s="45"/>
      <c r="AZ75" s="45"/>
      <c r="BA75" s="45"/>
      <c r="BB75" s="45"/>
      <c r="BC75" s="45"/>
      <c r="BD75" s="45"/>
      <c r="BE75" s="45"/>
      <c r="BF75" s="45"/>
    </row>
    <row r="76" spans="2:66" x14ac:dyDescent="0.55000000000000004">
      <c r="B76" s="140"/>
      <c r="C76" s="43" t="s">
        <v>424</v>
      </c>
      <c r="D76" s="43">
        <f>COUNTIF('PF80'!U10:U89,"PWM0_H_0_N")</f>
        <v>0</v>
      </c>
      <c r="E76" s="43">
        <f>COUNTIF('PF80'!U10:U89,"PWM0_H_1_N")</f>
        <v>0</v>
      </c>
      <c r="F76" s="43">
        <f>COUNTIF('PF80'!U10:U89,"PWM0_H_2_N")</f>
        <v>0</v>
      </c>
      <c r="G76" s="43">
        <f>COUNTIF('PF80'!U10:U89,"PWM0_H_3_N")</f>
        <v>0</v>
      </c>
      <c r="Q76" s="45"/>
      <c r="R76" s="45"/>
      <c r="S76" s="45"/>
      <c r="T76" s="45"/>
      <c r="U76" s="45"/>
      <c r="V76" s="45"/>
      <c r="W76" s="45"/>
      <c r="X76" s="45"/>
      <c r="Y76" s="45"/>
      <c r="Z76" s="45"/>
      <c r="AA76" s="45"/>
      <c r="AB76" s="45"/>
      <c r="AC76" s="45"/>
      <c r="AD76" s="45"/>
      <c r="AE76" s="45"/>
      <c r="AF76" s="45"/>
      <c r="AG76" s="45"/>
      <c r="AH76" s="45"/>
      <c r="AI76" s="45"/>
      <c r="AJ76" s="45"/>
      <c r="AK76" s="45"/>
      <c r="AL76" s="45"/>
      <c r="AM76" s="45"/>
      <c r="AN76" s="45"/>
      <c r="AO76" s="45"/>
      <c r="AP76" s="45"/>
      <c r="AQ76" s="45"/>
      <c r="AR76" s="45"/>
      <c r="AS76" s="45"/>
      <c r="AT76" s="45"/>
      <c r="AU76" s="45"/>
      <c r="AV76" s="45"/>
      <c r="AW76" s="45"/>
      <c r="AX76" s="45"/>
      <c r="AY76" s="45"/>
      <c r="AZ76" s="45"/>
      <c r="BA76" s="45"/>
      <c r="BB76" s="45"/>
      <c r="BC76" s="45"/>
      <c r="BD76" s="45"/>
      <c r="BE76" s="45"/>
      <c r="BF76" s="45"/>
    </row>
    <row r="77" spans="2:66" x14ac:dyDescent="0.55000000000000004">
      <c r="B77" s="139" t="s">
        <v>429</v>
      </c>
      <c r="C77" s="43" t="s">
        <v>422</v>
      </c>
      <c r="D77" s="43">
        <f>COUNTIF('PF80'!U10:U89,"TC0_H_0_TR0")</f>
        <v>0</v>
      </c>
      <c r="E77" s="43">
        <f>COUNTIF('PF80'!U10:U89,"TC0_H_1_TR0")</f>
        <v>0</v>
      </c>
      <c r="F77" s="43">
        <f>COUNTIF('PF80'!U10:U89,"TC0_H_2_TR0")</f>
        <v>0</v>
      </c>
      <c r="G77" s="43">
        <f>COUNTIF('PF80'!U10:U89,"TC0_H_3_TR0")</f>
        <v>0</v>
      </c>
      <c r="Q77" s="45"/>
      <c r="R77" s="45"/>
      <c r="S77" s="45"/>
      <c r="T77" s="45"/>
      <c r="U77" s="45"/>
      <c r="V77" s="45"/>
      <c r="W77" s="45"/>
      <c r="X77" s="45"/>
      <c r="Y77" s="45"/>
      <c r="Z77" s="45"/>
      <c r="AA77" s="45"/>
      <c r="AB77" s="45"/>
      <c r="AC77" s="45"/>
      <c r="AD77" s="45"/>
      <c r="AE77" s="45"/>
      <c r="AF77" s="45"/>
      <c r="AG77" s="45"/>
      <c r="AH77" s="45"/>
      <c r="AI77" s="45"/>
      <c r="AJ77" s="45"/>
      <c r="AK77" s="45"/>
      <c r="AL77" s="45"/>
      <c r="AM77" s="45"/>
      <c r="AN77" s="45"/>
      <c r="AO77" s="45"/>
      <c r="AP77" s="45"/>
      <c r="AQ77" s="45"/>
      <c r="AR77" s="45"/>
      <c r="AS77" s="45"/>
      <c r="AT77" s="45"/>
      <c r="AU77" s="45"/>
      <c r="AV77" s="45"/>
      <c r="AW77" s="45"/>
      <c r="AX77" s="45"/>
      <c r="AY77" s="45"/>
      <c r="AZ77" s="45"/>
      <c r="BA77" s="45"/>
      <c r="BB77" s="45"/>
      <c r="BC77" s="45"/>
      <c r="BD77" s="45"/>
      <c r="BE77" s="45"/>
      <c r="BF77" s="45"/>
    </row>
    <row r="78" spans="2:66" x14ac:dyDescent="0.55000000000000004">
      <c r="B78" s="140"/>
      <c r="C78" s="43" t="s">
        <v>423</v>
      </c>
      <c r="D78" s="43">
        <f>COUNTIF('PF80'!U10:U89,"TC0_H_0_TR1")</f>
        <v>0</v>
      </c>
      <c r="E78" s="43">
        <f>COUNTIF('PF80'!U10:U89,"TC0_H_1_TR1")</f>
        <v>0</v>
      </c>
      <c r="F78" s="43">
        <f>COUNTIF('PF80'!U10:U89,"TC0_H_2_TR1")</f>
        <v>0</v>
      </c>
      <c r="G78" s="43">
        <f>COUNTIF('PF80'!U10:U89,"TC0_H_3_TR1")</f>
        <v>0</v>
      </c>
      <c r="H78" s="67"/>
      <c r="I78" s="45"/>
      <c r="J78" s="45"/>
      <c r="K78" s="45"/>
      <c r="L78" s="45"/>
      <c r="M78" s="45"/>
      <c r="N78" s="45"/>
      <c r="O78" s="45"/>
      <c r="P78" s="45"/>
      <c r="Q78" s="45"/>
      <c r="R78" s="45"/>
      <c r="S78" s="45"/>
      <c r="T78" s="45"/>
      <c r="U78" s="45"/>
      <c r="V78" s="45"/>
      <c r="W78" s="45"/>
      <c r="X78" s="45"/>
      <c r="Y78" s="45"/>
      <c r="Z78" s="45"/>
      <c r="AA78" s="45"/>
      <c r="AB78" s="45"/>
      <c r="AC78" s="45"/>
      <c r="AD78" s="45"/>
      <c r="AE78" s="45"/>
      <c r="AF78" s="45"/>
      <c r="AG78" s="45"/>
      <c r="AH78" s="45"/>
      <c r="AI78" s="45"/>
      <c r="AJ78" s="45"/>
      <c r="AK78" s="45"/>
      <c r="AL78" s="45"/>
      <c r="AM78" s="45"/>
      <c r="AN78" s="45"/>
      <c r="AO78" s="45"/>
      <c r="AP78" s="45"/>
      <c r="AQ78" s="45"/>
      <c r="AR78" s="45"/>
      <c r="AS78" s="45"/>
      <c r="AT78" s="45"/>
      <c r="AU78" s="45"/>
      <c r="AV78" s="45"/>
      <c r="AW78" s="45"/>
      <c r="AX78" s="45"/>
      <c r="AY78" s="45"/>
      <c r="AZ78" s="45"/>
      <c r="BA78" s="45"/>
      <c r="BB78" s="45"/>
      <c r="BC78" s="45"/>
      <c r="BD78" s="45"/>
      <c r="BE78" s="45"/>
      <c r="BF78" s="45"/>
    </row>
    <row r="79" spans="2:66" ht="10" customHeight="1" x14ac:dyDescent="0.55000000000000004"/>
    <row r="80" spans="2:66" x14ac:dyDescent="0.55000000000000004">
      <c r="B80" s="141" t="s">
        <v>416</v>
      </c>
      <c r="C80" s="142"/>
      <c r="D80" s="42" t="s">
        <v>418</v>
      </c>
      <c r="E80" s="42" t="s">
        <v>419</v>
      </c>
      <c r="F80" s="42" t="s">
        <v>420</v>
      </c>
    </row>
    <row r="81" spans="2:6" x14ac:dyDescent="0.55000000000000004">
      <c r="B81" s="143" t="s">
        <v>407</v>
      </c>
      <c r="C81" s="43" t="s">
        <v>499</v>
      </c>
      <c r="D81" s="43">
        <f>COUNTIF('PF80'!U10:U89,"ADC[0]_0")</f>
        <v>0</v>
      </c>
      <c r="E81" s="43">
        <f>COUNTIF('PF80'!U10:U89,"ADC[1]_0")</f>
        <v>0</v>
      </c>
      <c r="F81" s="43">
        <f>COUNTIF('PF80'!U10:U89,"ADC[2]_0")</f>
        <v>0</v>
      </c>
    </row>
    <row r="82" spans="2:6" x14ac:dyDescent="0.55000000000000004">
      <c r="B82" s="146"/>
      <c r="C82" s="43" t="s">
        <v>500</v>
      </c>
      <c r="D82" s="43">
        <f>COUNTIF('PF80'!U10:U89,"ADC[0]_1")</f>
        <v>0</v>
      </c>
      <c r="E82" s="43">
        <f>COUNTIF('PF80'!U10:U89,"ADC[1]_1")</f>
        <v>0</v>
      </c>
      <c r="F82" s="43">
        <f>COUNTIF('PF80'!U10:U89,"ADC[2]_1")</f>
        <v>0</v>
      </c>
    </row>
    <row r="83" spans="2:6" x14ac:dyDescent="0.55000000000000004">
      <c r="B83" s="146"/>
      <c r="C83" s="43" t="s">
        <v>501</v>
      </c>
      <c r="D83" s="43">
        <f>COUNTIF('PF80'!U10:U89,"ADC[0]_2")</f>
        <v>0</v>
      </c>
      <c r="E83" s="43">
        <f>COUNTIF('PF80'!U10:U89,"ADC[1]_2")</f>
        <v>0</v>
      </c>
      <c r="F83" s="43">
        <f>COUNTIF('PF80'!U10:U89,"ADC[2]_2")</f>
        <v>0</v>
      </c>
    </row>
    <row r="84" spans="2:6" x14ac:dyDescent="0.55000000000000004">
      <c r="B84" s="146"/>
      <c r="C84" s="43" t="s">
        <v>502</v>
      </c>
      <c r="D84" s="43">
        <f>COUNTIF('PF80'!U10:U89,"ADC[0]_3")</f>
        <v>0</v>
      </c>
      <c r="E84" s="43">
        <f>COUNTIF('PF80'!U10:U89,"ADC[1]_3")</f>
        <v>0</v>
      </c>
      <c r="F84" s="43">
        <f>COUNTIF('PF80'!U10:U89,"ADC[2]_3")</f>
        <v>0</v>
      </c>
    </row>
    <row r="85" spans="2:6" x14ac:dyDescent="0.55000000000000004">
      <c r="B85" s="146"/>
      <c r="C85" s="43" t="s">
        <v>503</v>
      </c>
      <c r="D85" s="43">
        <f>COUNTIF('PF80'!U10:U89,"ADC[0]_4")</f>
        <v>0</v>
      </c>
      <c r="E85" s="43">
        <f>COUNTIF('PF80'!U10:U89,"ADC[1]_4")</f>
        <v>0</v>
      </c>
      <c r="F85" s="43">
        <f>COUNTIF('PF80'!U10:U89,"ADC[2]_4")</f>
        <v>0</v>
      </c>
    </row>
    <row r="86" spans="2:6" x14ac:dyDescent="0.55000000000000004">
      <c r="B86" s="146"/>
      <c r="C86" s="43" t="s">
        <v>504</v>
      </c>
      <c r="D86" s="43">
        <f>COUNTIF('PF80'!U10:U89,"ADC[0]_5")</f>
        <v>0</v>
      </c>
      <c r="E86" s="43">
        <f>COUNTIF('PF80'!U10:U89,"ADC[1]_5")</f>
        <v>0</v>
      </c>
      <c r="F86" s="43">
        <f>COUNTIF('PF80'!U10:U89,"ADC[2]_5")</f>
        <v>0</v>
      </c>
    </row>
    <row r="87" spans="2:6" x14ac:dyDescent="0.55000000000000004">
      <c r="B87" s="146"/>
      <c r="C87" s="43" t="s">
        <v>505</v>
      </c>
      <c r="D87" s="43">
        <f>COUNTIF('PF80'!U10:U89,"ADC[0]_6")</f>
        <v>0</v>
      </c>
      <c r="E87" s="43">
        <f>COUNTIF('PF80'!U10:U89,"ADC[1]_6")</f>
        <v>0</v>
      </c>
      <c r="F87" s="43">
        <f>COUNTIF('PF80'!U10:U89,"ADC[2]_6")</f>
        <v>0</v>
      </c>
    </row>
    <row r="88" spans="2:6" x14ac:dyDescent="0.55000000000000004">
      <c r="B88" s="146"/>
      <c r="C88" s="43" t="s">
        <v>506</v>
      </c>
      <c r="D88" s="43">
        <f>COUNTIF('PF80'!U10:U89,"ADC[0]_7")</f>
        <v>0</v>
      </c>
      <c r="E88" s="43">
        <f>COUNTIF('PF80'!U10:U89,"ADC[1]_7")</f>
        <v>0</v>
      </c>
      <c r="F88" s="43">
        <f>COUNTIF('PF80'!U10:U89,"ADC[2]_7")</f>
        <v>0</v>
      </c>
    </row>
    <row r="89" spans="2:6" x14ac:dyDescent="0.55000000000000004">
      <c r="B89" s="146"/>
      <c r="C89" s="43" t="s">
        <v>507</v>
      </c>
      <c r="D89" s="43">
        <f>COUNTIF('PF80'!U10:U89,"ADC[0]_8")</f>
        <v>0</v>
      </c>
      <c r="E89" s="43">
        <f>COUNTIF('PF80'!U10:U89,"ADC[1]_8")</f>
        <v>0</v>
      </c>
      <c r="F89" s="43">
        <f>COUNTIF('PF80'!U10:U89,"ADC[2]_8")</f>
        <v>0</v>
      </c>
    </row>
    <row r="90" spans="2:6" x14ac:dyDescent="0.55000000000000004">
      <c r="B90" s="146"/>
      <c r="C90" s="43" t="s">
        <v>508</v>
      </c>
      <c r="D90" s="43">
        <f>COUNTIF('PF80'!U10:U89,"ADC[0]_9")</f>
        <v>0</v>
      </c>
      <c r="E90" s="43">
        <f>COUNTIF('PF80'!U10:U89,"ADC[1]_9")</f>
        <v>0</v>
      </c>
      <c r="F90" s="43">
        <f>COUNTIF('PF80'!U10:U89,"ADC[2]_9")</f>
        <v>0</v>
      </c>
    </row>
    <row r="91" spans="2:6" x14ac:dyDescent="0.55000000000000004">
      <c r="B91" s="146"/>
      <c r="C91" s="43" t="s">
        <v>509</v>
      </c>
      <c r="D91" s="43">
        <f>COUNTIF('PF80'!U10:U89,"ADC[0]_10")</f>
        <v>0</v>
      </c>
      <c r="E91" s="43">
        <f>COUNTIF('PF80'!U10:U89,"ADC[1]_10")</f>
        <v>0</v>
      </c>
      <c r="F91" s="43">
        <f>COUNTIF('PF80'!U10:U89,"ADC[2]_10")</f>
        <v>0</v>
      </c>
    </row>
    <row r="92" spans="2:6" x14ac:dyDescent="0.55000000000000004">
      <c r="B92" s="146"/>
      <c r="C92" s="43" t="s">
        <v>510</v>
      </c>
      <c r="D92" s="43">
        <f>COUNTIF('PF80'!U10:U89,"ADC[0]_11")</f>
        <v>0</v>
      </c>
      <c r="E92" s="43">
        <f>COUNTIF('PF80'!U10:U89,"ADC[1]_11")</f>
        <v>0</v>
      </c>
      <c r="F92" s="43">
        <f>COUNTIF('PF80'!U10:U89,"ADC[2]_11")</f>
        <v>0</v>
      </c>
    </row>
    <row r="93" spans="2:6" x14ac:dyDescent="0.55000000000000004">
      <c r="B93" s="146"/>
      <c r="C93" s="43" t="s">
        <v>511</v>
      </c>
      <c r="D93" s="43">
        <f>COUNTIF('PF80'!U10:U89,"ADC[0]_12")</f>
        <v>0</v>
      </c>
      <c r="E93" s="43">
        <f>COUNTIF('PF80'!U10:U89,"ADC[1]_12")</f>
        <v>0</v>
      </c>
      <c r="F93" s="43">
        <f>COUNTIF('PF80'!U10:U89,"ADC[2]_12")</f>
        <v>0</v>
      </c>
    </row>
    <row r="94" spans="2:6" x14ac:dyDescent="0.55000000000000004">
      <c r="B94" s="146"/>
      <c r="C94" s="43" t="s">
        <v>512</v>
      </c>
      <c r="D94" s="43">
        <f>COUNTIF('PF80'!U10:U89,"ADC[0]_13")</f>
        <v>0</v>
      </c>
      <c r="E94" s="43">
        <f>COUNTIF('PF80'!U10:U89,"ADC[1]_13")</f>
        <v>0</v>
      </c>
      <c r="F94" s="43">
        <f>COUNTIF('PF80'!U10:U89,"ADC[2]_13")</f>
        <v>0</v>
      </c>
    </row>
    <row r="95" spans="2:6" x14ac:dyDescent="0.55000000000000004">
      <c r="B95" s="146"/>
      <c r="C95" s="43" t="s">
        <v>513</v>
      </c>
      <c r="D95" s="43">
        <f>COUNTIF('PF80'!U10:U89,"ADC[0]_14")</f>
        <v>0</v>
      </c>
      <c r="E95" s="43">
        <f>COUNTIF('PF80'!U10:U89,"ADC[1]_14")</f>
        <v>0</v>
      </c>
      <c r="F95" s="43">
        <f>COUNTIF('PF80'!U10:U89,"ADC[2]_14")</f>
        <v>0</v>
      </c>
    </row>
    <row r="96" spans="2:6" x14ac:dyDescent="0.55000000000000004">
      <c r="B96" s="146"/>
      <c r="C96" s="43" t="s">
        <v>514</v>
      </c>
      <c r="D96" s="43">
        <f>COUNTIF('PF80'!U10:U89,"ADC[0]_15")</f>
        <v>0</v>
      </c>
      <c r="E96" s="43">
        <f>COUNTIF('PF80'!U10:U89,"ADC[1]_15")</f>
        <v>0</v>
      </c>
      <c r="F96" s="43">
        <f>COUNTIF('PF80'!U10:U89,"ADC[2]_15")</f>
        <v>0</v>
      </c>
    </row>
    <row r="97" spans="2:6" x14ac:dyDescent="0.55000000000000004">
      <c r="B97" s="146"/>
      <c r="C97" s="43" t="s">
        <v>515</v>
      </c>
      <c r="D97" s="43">
        <f>COUNTIF('PF80'!U10:U89,"ADC[0]_16")</f>
        <v>0</v>
      </c>
      <c r="E97" s="43">
        <f>COUNTIF('PF80'!U10:U89,"ADC[1]_16")</f>
        <v>0</v>
      </c>
      <c r="F97" s="43">
        <f>COUNTIF('PF80'!U10:U89,"ADC[2]_16")</f>
        <v>0</v>
      </c>
    </row>
    <row r="98" spans="2:6" x14ac:dyDescent="0.55000000000000004">
      <c r="B98" s="146"/>
      <c r="C98" s="43" t="s">
        <v>516</v>
      </c>
      <c r="D98" s="43">
        <f>COUNTIF('PF80'!U10:U89,"ADC[0]_17")</f>
        <v>0</v>
      </c>
      <c r="E98" s="43">
        <f>COUNTIF('PF80'!U10:U89,"ADC[1]_17")</f>
        <v>0</v>
      </c>
      <c r="F98" s="43">
        <f>COUNTIF('PF80'!U10:U89,"ADC[2]_17")</f>
        <v>0</v>
      </c>
    </row>
    <row r="99" spans="2:6" x14ac:dyDescent="0.55000000000000004">
      <c r="B99" s="146"/>
      <c r="C99" s="43" t="s">
        <v>517</v>
      </c>
      <c r="D99" s="43">
        <f>COUNTIF('PF80'!U10:U89,"ADC[0]_18")</f>
        <v>0</v>
      </c>
      <c r="E99" s="43">
        <f>COUNTIF('PF80'!U10:U89,"ADC[1]_18")</f>
        <v>0</v>
      </c>
      <c r="F99" s="43">
        <f>COUNTIF('PF80'!U10:U89,"ADC[2]_18")</f>
        <v>0</v>
      </c>
    </row>
    <row r="100" spans="2:6" x14ac:dyDescent="0.55000000000000004">
      <c r="B100" s="146"/>
      <c r="C100" s="43" t="s">
        <v>518</v>
      </c>
      <c r="D100" s="43">
        <f>COUNTIF('PF80'!U10:U89,"ADC[0]_19")</f>
        <v>0</v>
      </c>
      <c r="E100" s="43">
        <f>COUNTIF('PF80'!U10:U89,"ADC[1]_19")</f>
        <v>0</v>
      </c>
      <c r="F100" s="43">
        <f>COUNTIF('PF80'!U10:U89,"ADC[2]_19")</f>
        <v>0</v>
      </c>
    </row>
    <row r="101" spans="2:6" x14ac:dyDescent="0.55000000000000004">
      <c r="B101" s="146"/>
      <c r="C101" s="43" t="s">
        <v>519</v>
      </c>
      <c r="D101" s="43">
        <f>COUNTIF('PF80'!U10:U89,"ADC[0]_20")</f>
        <v>0</v>
      </c>
      <c r="E101" s="43">
        <f>COUNTIF('PF80'!U10:U89,"ADC[1]_20")</f>
        <v>0</v>
      </c>
      <c r="F101" s="43">
        <f>COUNTIF('PF80'!U10:U89,"ADC[2]_20")</f>
        <v>0</v>
      </c>
    </row>
    <row r="102" spans="2:6" x14ac:dyDescent="0.55000000000000004">
      <c r="B102" s="146"/>
      <c r="C102" s="43" t="s">
        <v>520</v>
      </c>
      <c r="D102" s="43">
        <f>COUNTIF('PF80'!U10:U89,"ADC[0]_21")</f>
        <v>0</v>
      </c>
      <c r="E102" s="43">
        <f>COUNTIF('PF80'!U10:U89,"ADC[1]_21")</f>
        <v>0</v>
      </c>
      <c r="F102" s="43">
        <f>COUNTIF('PF80'!U10:U89,"ADC[2]_21")</f>
        <v>0</v>
      </c>
    </row>
    <row r="103" spans="2:6" x14ac:dyDescent="0.55000000000000004">
      <c r="B103" s="146"/>
      <c r="C103" s="43" t="s">
        <v>521</v>
      </c>
      <c r="D103" s="43">
        <f>COUNTIF('PF80'!U10:U89,"ADC[0]_22")</f>
        <v>0</v>
      </c>
      <c r="E103" s="43">
        <f>COUNTIF('PF80'!U10:U89,"ADC[1]_22")</f>
        <v>0</v>
      </c>
      <c r="F103" s="43">
        <f>COUNTIF('PF80'!U10:U89,"ADC[2]_22")</f>
        <v>0</v>
      </c>
    </row>
    <row r="104" spans="2:6" x14ac:dyDescent="0.55000000000000004">
      <c r="B104" s="146"/>
      <c r="C104" s="43" t="s">
        <v>522</v>
      </c>
      <c r="D104" s="43">
        <f>COUNTIF('PF80'!U10:U89,"ADC[0]_23")</f>
        <v>0</v>
      </c>
      <c r="E104" s="43">
        <f>COUNTIF('PF80'!U10:U89,"ADC[1]_23")</f>
        <v>0</v>
      </c>
      <c r="F104" s="43">
        <f>COUNTIF('PF80'!U10:U89,"ADC[2]_23")</f>
        <v>0</v>
      </c>
    </row>
    <row r="105" spans="2:6" x14ac:dyDescent="0.55000000000000004">
      <c r="B105" s="146"/>
      <c r="C105" s="43" t="s">
        <v>523</v>
      </c>
      <c r="D105" s="43">
        <f>COUNTIF('PF80'!U10:U89,"ADC[0]_24")</f>
        <v>0</v>
      </c>
      <c r="E105" s="43">
        <f>COUNTIF('PF80'!U10:U89,"ADC[1]_24")</f>
        <v>0</v>
      </c>
      <c r="F105" s="43">
        <f>COUNTIF('PF80'!U10:U89,"ADC[2]_24")</f>
        <v>0</v>
      </c>
    </row>
    <row r="106" spans="2:6" x14ac:dyDescent="0.55000000000000004">
      <c r="B106" s="146"/>
      <c r="C106" s="43" t="s">
        <v>524</v>
      </c>
      <c r="D106" s="43">
        <f>COUNTIF('PF80'!U10:U89,"ADC[0]_25")</f>
        <v>0</v>
      </c>
      <c r="E106" s="43">
        <f>COUNTIF('PF80'!U10:U89,"ADC[1]_25")</f>
        <v>0</v>
      </c>
      <c r="F106" s="43">
        <f>COUNTIF('PF80'!U10:U89,"ADC[2]_25")</f>
        <v>0</v>
      </c>
    </row>
    <row r="107" spans="2:6" x14ac:dyDescent="0.55000000000000004">
      <c r="B107" s="146"/>
      <c r="C107" s="43" t="s">
        <v>525</v>
      </c>
      <c r="D107" s="43">
        <f>COUNTIF('PF80'!U10:U89,"ADC[0]_26")</f>
        <v>0</v>
      </c>
      <c r="E107" s="43">
        <f>COUNTIF('PF80'!U10:U89,"ADC[1]_26")</f>
        <v>0</v>
      </c>
      <c r="F107" s="43">
        <f>COUNTIF('PF80'!U10:U89,"ADC[2]_26")</f>
        <v>0</v>
      </c>
    </row>
    <row r="108" spans="2:6" x14ac:dyDescent="0.55000000000000004">
      <c r="B108" s="146"/>
      <c r="C108" s="43" t="s">
        <v>526</v>
      </c>
      <c r="D108" s="43">
        <f>COUNTIF('PF80'!U10:U89,"ADC[0]_27")</f>
        <v>0</v>
      </c>
      <c r="E108" s="43">
        <f>COUNTIF('PF80'!U10:U89,"ADC[1]_27")</f>
        <v>0</v>
      </c>
      <c r="F108" s="43">
        <f>COUNTIF('PF80'!U10:U89,"ADC[2]_27")</f>
        <v>0</v>
      </c>
    </row>
    <row r="109" spans="2:6" x14ac:dyDescent="0.55000000000000004">
      <c r="B109" s="146"/>
      <c r="C109" s="43" t="s">
        <v>527</v>
      </c>
      <c r="D109" s="43">
        <f>COUNTIF('PF80'!U10:U89,"ADC[0]_28")</f>
        <v>0</v>
      </c>
      <c r="E109" s="43">
        <f>COUNTIF('PF80'!U10:U89,"ADC[1]_28")</f>
        <v>0</v>
      </c>
      <c r="F109" s="43">
        <f>COUNTIF('PF80'!U10:U89,"ADC[2]_28")</f>
        <v>0</v>
      </c>
    </row>
    <row r="110" spans="2:6" x14ac:dyDescent="0.55000000000000004">
      <c r="B110" s="146"/>
      <c r="C110" s="43" t="s">
        <v>528</v>
      </c>
      <c r="D110" s="43">
        <f>COUNTIF('PF80'!U10:U89,"ADC[0]_29")</f>
        <v>0</v>
      </c>
      <c r="E110" s="43">
        <f>COUNTIF('PF80'!U10:U89,"ADC[1]_29")</f>
        <v>0</v>
      </c>
      <c r="F110" s="43">
        <f>COUNTIF('PF80'!U10:U89,"ADC[2]_29")</f>
        <v>0</v>
      </c>
    </row>
    <row r="111" spans="2:6" x14ac:dyDescent="0.55000000000000004">
      <c r="B111" s="146"/>
      <c r="C111" s="43" t="s">
        <v>529</v>
      </c>
      <c r="D111" s="43">
        <f>COUNTIF('PF80'!U10:U89,"ADC[0]_30")</f>
        <v>0</v>
      </c>
      <c r="E111" s="43">
        <f>COUNTIF('PF80'!U10:U89,"ADC[1]_30")</f>
        <v>0</v>
      </c>
      <c r="F111" s="43">
        <f>COUNTIF('PF80'!U10:U89,"ADC[2]_30")</f>
        <v>0</v>
      </c>
    </row>
    <row r="112" spans="2:6" x14ac:dyDescent="0.55000000000000004">
      <c r="B112" s="144"/>
      <c r="C112" s="43" t="s">
        <v>530</v>
      </c>
      <c r="D112" s="43">
        <f>COUNTIF('PF80'!U10:U89,"ADC[0]_31")</f>
        <v>0</v>
      </c>
      <c r="E112" s="43">
        <f>COUNTIF('PF80'!U10:U89,"ADC[1]_31")</f>
        <v>0</v>
      </c>
      <c r="F112" s="43">
        <f>COUNTIF('PF80'!U10:U89,"ADC[2]_31")</f>
        <v>0</v>
      </c>
    </row>
    <row r="113" spans="2:21" ht="20" x14ac:dyDescent="0.55000000000000004">
      <c r="B113" s="68" t="s">
        <v>531</v>
      </c>
      <c r="C113" s="69" t="s">
        <v>430</v>
      </c>
      <c r="D113" s="43">
        <f>COUNTIF('PF80'!U10:U89,"ADC[0]_M")</f>
        <v>0</v>
      </c>
      <c r="E113" s="43">
        <f>COUNTIF('PF80'!U10:U89,"ADC[1]_M")</f>
        <v>0</v>
      </c>
      <c r="F113" s="43">
        <f>COUNTIF('PF80'!U10:U89,"ADC[2]_M")</f>
        <v>0</v>
      </c>
    </row>
    <row r="124" spans="2:21" ht="15" customHeight="1" x14ac:dyDescent="0.35">
      <c r="B124" s="117" t="s">
        <v>847</v>
      </c>
      <c r="C124" s="117"/>
      <c r="D124" s="117"/>
      <c r="E124" s="117"/>
      <c r="F124" s="117"/>
      <c r="G124" s="117"/>
      <c r="H124" s="117"/>
      <c r="I124" s="117"/>
      <c r="J124" s="117"/>
      <c r="K124" s="117"/>
      <c r="L124" s="117"/>
      <c r="M124" s="117"/>
      <c r="N124" s="117"/>
      <c r="O124" s="117"/>
      <c r="P124" s="117"/>
      <c r="Q124" s="117"/>
      <c r="R124" s="117"/>
      <c r="S124" s="117"/>
      <c r="T124" s="117"/>
      <c r="U124" s="117"/>
    </row>
    <row r="125" spans="2:21" ht="172" customHeight="1" x14ac:dyDescent="0.55000000000000004">
      <c r="B125" s="116" t="s">
        <v>848</v>
      </c>
      <c r="C125" s="116"/>
      <c r="D125" s="116"/>
      <c r="E125" s="116"/>
      <c r="F125" s="116"/>
      <c r="G125" s="116"/>
      <c r="H125" s="116"/>
      <c r="I125" s="116"/>
      <c r="J125" s="116"/>
      <c r="K125" s="116"/>
      <c r="L125" s="116"/>
      <c r="M125" s="116"/>
      <c r="N125" s="116"/>
      <c r="O125" s="116"/>
      <c r="P125" s="116"/>
      <c r="Q125" s="116"/>
      <c r="R125" s="116"/>
      <c r="S125" s="116"/>
      <c r="T125" s="116"/>
      <c r="U125" s="116"/>
    </row>
  </sheetData>
  <sheetProtection algorithmName="SHA-512" hashValue="PK/2DqRPSeJuf6juQR2IpGQmcQCErqvinmTM8vw6TUBTlCkgHqjbYK2K5KTfa9QDZsqX3S7o3HeAIcVWjmMQEQ==" saltValue="L8+CJBlNGR3cueAm7uCYEg==" spinCount="100000" sheet="1" objects="1" scenarios="1" formatCells="0" formatColumns="0" formatRows="0" insertColumns="0" insertRows="0" insertHyperlinks="0" deleteColumns="0" deleteRows="0" selectLockedCells="1" sort="0" autoFilter="0" pivotTables="0"/>
  <mergeCells count="23">
    <mergeCell ref="B65:B66"/>
    <mergeCell ref="B68:C68"/>
    <mergeCell ref="B69:B70"/>
    <mergeCell ref="B63:B64"/>
    <mergeCell ref="B7:C7"/>
    <mergeCell ref="B8:B9"/>
    <mergeCell ref="B11:C11"/>
    <mergeCell ref="B12:B13"/>
    <mergeCell ref="B16:C16"/>
    <mergeCell ref="B17:B19"/>
    <mergeCell ref="B22:C22"/>
    <mergeCell ref="B23:B36"/>
    <mergeCell ref="B37:B44"/>
    <mergeCell ref="B45:B50"/>
    <mergeCell ref="B62:C62"/>
    <mergeCell ref="B71:B72"/>
    <mergeCell ref="B74:C74"/>
    <mergeCell ref="B124:U124"/>
    <mergeCell ref="B125:U125"/>
    <mergeCell ref="B77:B78"/>
    <mergeCell ref="B80:C80"/>
    <mergeCell ref="B81:B112"/>
    <mergeCell ref="B75:B76"/>
  </mergeCells>
  <phoneticPr fontId="3"/>
  <conditionalFormatting sqref="D17:K20 D8:F9 D12:F14 D75:G78 D69:O72 D63:BN66 D81:F113 D23:K50">
    <cfRule type="cellIs" dxfId="5" priority="35" operator="greaterThanOrEqual">
      <formula>2</formula>
    </cfRule>
    <cfRule type="cellIs" dxfId="4" priority="42" operator="notEqual">
      <formula>0</formula>
    </cfRule>
  </conditionalFormatting>
  <pageMargins left="0.7" right="0.7" top="0.75" bottom="0.75" header="0.3" footer="0.3"/>
  <pageSetup paperSize="9" orientation="portrait" r:id="rId1"/>
  <ignoredErrors>
    <ignoredError sqref="D8:F9 D12:F13 D17:K19 D23:K50 D53:K60 D81:F113 D63:BN66 D70:O72 D75:G78 D69:I69 J69:O69" unlockedFormula="1"/>
  </ignoredError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72D28-01A3-444F-8356-166A3B535B6A}">
  <dimension ref="A1:AH44"/>
  <sheetViews>
    <sheetView topLeftCell="A34" zoomScaleNormal="100" workbookViewId="0">
      <selection activeCell="I42" sqref="I42"/>
    </sheetView>
  </sheetViews>
  <sheetFormatPr defaultRowHeight="10" x14ac:dyDescent="0.55000000000000004"/>
  <cols>
    <col min="1" max="2" width="8.58203125" style="40"/>
    <col min="3" max="3" width="18.58203125" style="40" customWidth="1"/>
    <col min="4" max="5" width="3.33203125" style="40" customWidth="1"/>
    <col min="6" max="25" width="2.33203125" style="40" customWidth="1"/>
    <col min="26" max="27" width="3.33203125" style="40" customWidth="1"/>
    <col min="28" max="28" width="16.58203125" style="40" customWidth="1"/>
    <col min="29" max="31" width="8.58203125" style="40" customWidth="1"/>
    <col min="32" max="253" width="8.58203125" style="40"/>
    <col min="254" max="254" width="14.33203125" style="40" customWidth="1"/>
    <col min="255" max="256" width="3.33203125" style="40" customWidth="1"/>
    <col min="257" max="281" width="2.33203125" style="40" customWidth="1"/>
    <col min="282" max="283" width="3.33203125" style="40" customWidth="1"/>
    <col min="284" max="284" width="14.33203125" style="40" customWidth="1"/>
    <col min="285" max="509" width="8.58203125" style="40"/>
    <col min="510" max="510" width="14.33203125" style="40" customWidth="1"/>
    <col min="511" max="512" width="3.33203125" style="40" customWidth="1"/>
    <col min="513" max="537" width="2.33203125" style="40" customWidth="1"/>
    <col min="538" max="539" width="3.33203125" style="40" customWidth="1"/>
    <col min="540" max="540" width="14.33203125" style="40" customWidth="1"/>
    <col min="541" max="765" width="8.58203125" style="40"/>
    <col min="766" max="766" width="14.33203125" style="40" customWidth="1"/>
    <col min="767" max="768" width="3.33203125" style="40" customWidth="1"/>
    <col min="769" max="793" width="2.33203125" style="40" customWidth="1"/>
    <col min="794" max="795" width="3.33203125" style="40" customWidth="1"/>
    <col min="796" max="796" width="14.33203125" style="40" customWidth="1"/>
    <col min="797" max="1021" width="8.58203125" style="40"/>
    <col min="1022" max="1022" width="14.33203125" style="40" customWidth="1"/>
    <col min="1023" max="1024" width="3.33203125" style="40" customWidth="1"/>
    <col min="1025" max="1049" width="2.33203125" style="40" customWidth="1"/>
    <col min="1050" max="1051" width="3.33203125" style="40" customWidth="1"/>
    <col min="1052" max="1052" width="14.33203125" style="40" customWidth="1"/>
    <col min="1053" max="1277" width="8.58203125" style="40"/>
    <col min="1278" max="1278" width="14.33203125" style="40" customWidth="1"/>
    <col min="1279" max="1280" width="3.33203125" style="40" customWidth="1"/>
    <col min="1281" max="1305" width="2.33203125" style="40" customWidth="1"/>
    <col min="1306" max="1307" width="3.33203125" style="40" customWidth="1"/>
    <col min="1308" max="1308" width="14.33203125" style="40" customWidth="1"/>
    <col min="1309" max="1533" width="8.58203125" style="40"/>
    <col min="1534" max="1534" width="14.33203125" style="40" customWidth="1"/>
    <col min="1535" max="1536" width="3.33203125" style="40" customWidth="1"/>
    <col min="1537" max="1561" width="2.33203125" style="40" customWidth="1"/>
    <col min="1562" max="1563" width="3.33203125" style="40" customWidth="1"/>
    <col min="1564" max="1564" width="14.33203125" style="40" customWidth="1"/>
    <col min="1565" max="1789" width="8.58203125" style="40"/>
    <col min="1790" max="1790" width="14.33203125" style="40" customWidth="1"/>
    <col min="1791" max="1792" width="3.33203125" style="40" customWidth="1"/>
    <col min="1793" max="1817" width="2.33203125" style="40" customWidth="1"/>
    <col min="1818" max="1819" width="3.33203125" style="40" customWidth="1"/>
    <col min="1820" max="1820" width="14.33203125" style="40" customWidth="1"/>
    <col min="1821" max="2045" width="8.58203125" style="40"/>
    <col min="2046" max="2046" width="14.33203125" style="40" customWidth="1"/>
    <col min="2047" max="2048" width="3.33203125" style="40" customWidth="1"/>
    <col min="2049" max="2073" width="2.33203125" style="40" customWidth="1"/>
    <col min="2074" max="2075" width="3.33203125" style="40" customWidth="1"/>
    <col min="2076" max="2076" width="14.33203125" style="40" customWidth="1"/>
    <col min="2077" max="2301" width="8.58203125" style="40"/>
    <col min="2302" max="2302" width="14.33203125" style="40" customWidth="1"/>
    <col min="2303" max="2304" width="3.33203125" style="40" customWidth="1"/>
    <col min="2305" max="2329" width="2.33203125" style="40" customWidth="1"/>
    <col min="2330" max="2331" width="3.33203125" style="40" customWidth="1"/>
    <col min="2332" max="2332" width="14.33203125" style="40" customWidth="1"/>
    <col min="2333" max="2557" width="8.58203125" style="40"/>
    <col min="2558" max="2558" width="14.33203125" style="40" customWidth="1"/>
    <col min="2559" max="2560" width="3.33203125" style="40" customWidth="1"/>
    <col min="2561" max="2585" width="2.33203125" style="40" customWidth="1"/>
    <col min="2586" max="2587" width="3.33203125" style="40" customWidth="1"/>
    <col min="2588" max="2588" width="14.33203125" style="40" customWidth="1"/>
    <col min="2589" max="2813" width="8.58203125" style="40"/>
    <col min="2814" max="2814" width="14.33203125" style="40" customWidth="1"/>
    <col min="2815" max="2816" width="3.33203125" style="40" customWidth="1"/>
    <col min="2817" max="2841" width="2.33203125" style="40" customWidth="1"/>
    <col min="2842" max="2843" width="3.33203125" style="40" customWidth="1"/>
    <col min="2844" max="2844" width="14.33203125" style="40" customWidth="1"/>
    <col min="2845" max="3069" width="8.58203125" style="40"/>
    <col min="3070" max="3070" width="14.33203125" style="40" customWidth="1"/>
    <col min="3071" max="3072" width="3.33203125" style="40" customWidth="1"/>
    <col min="3073" max="3097" width="2.33203125" style="40" customWidth="1"/>
    <col min="3098" max="3099" width="3.33203125" style="40" customWidth="1"/>
    <col min="3100" max="3100" width="14.33203125" style="40" customWidth="1"/>
    <col min="3101" max="3325" width="8.58203125" style="40"/>
    <col min="3326" max="3326" width="14.33203125" style="40" customWidth="1"/>
    <col min="3327" max="3328" width="3.33203125" style="40" customWidth="1"/>
    <col min="3329" max="3353" width="2.33203125" style="40" customWidth="1"/>
    <col min="3354" max="3355" width="3.33203125" style="40" customWidth="1"/>
    <col min="3356" max="3356" width="14.33203125" style="40" customWidth="1"/>
    <col min="3357" max="3581" width="8.58203125" style="40"/>
    <col min="3582" max="3582" width="14.33203125" style="40" customWidth="1"/>
    <col min="3583" max="3584" width="3.33203125" style="40" customWidth="1"/>
    <col min="3585" max="3609" width="2.33203125" style="40" customWidth="1"/>
    <col min="3610" max="3611" width="3.33203125" style="40" customWidth="1"/>
    <col min="3612" max="3612" width="14.33203125" style="40" customWidth="1"/>
    <col min="3613" max="3837" width="8.58203125" style="40"/>
    <col min="3838" max="3838" width="14.33203125" style="40" customWidth="1"/>
    <col min="3839" max="3840" width="3.33203125" style="40" customWidth="1"/>
    <col min="3841" max="3865" width="2.33203125" style="40" customWidth="1"/>
    <col min="3866" max="3867" width="3.33203125" style="40" customWidth="1"/>
    <col min="3868" max="3868" width="14.33203125" style="40" customWidth="1"/>
    <col min="3869" max="4093" width="8.58203125" style="40"/>
    <col min="4094" max="4094" width="14.33203125" style="40" customWidth="1"/>
    <col min="4095" max="4096" width="3.33203125" style="40" customWidth="1"/>
    <col min="4097" max="4121" width="2.33203125" style="40" customWidth="1"/>
    <col min="4122" max="4123" width="3.33203125" style="40" customWidth="1"/>
    <col min="4124" max="4124" width="14.33203125" style="40" customWidth="1"/>
    <col min="4125" max="4349" width="8.58203125" style="40"/>
    <col min="4350" max="4350" width="14.33203125" style="40" customWidth="1"/>
    <col min="4351" max="4352" width="3.33203125" style="40" customWidth="1"/>
    <col min="4353" max="4377" width="2.33203125" style="40" customWidth="1"/>
    <col min="4378" max="4379" width="3.33203125" style="40" customWidth="1"/>
    <col min="4380" max="4380" width="14.33203125" style="40" customWidth="1"/>
    <col min="4381" max="4605" width="8.58203125" style="40"/>
    <col min="4606" max="4606" width="14.33203125" style="40" customWidth="1"/>
    <col min="4607" max="4608" width="3.33203125" style="40" customWidth="1"/>
    <col min="4609" max="4633" width="2.33203125" style="40" customWidth="1"/>
    <col min="4634" max="4635" width="3.33203125" style="40" customWidth="1"/>
    <col min="4636" max="4636" width="14.33203125" style="40" customWidth="1"/>
    <col min="4637" max="4861" width="8.58203125" style="40"/>
    <col min="4862" max="4862" width="14.33203125" style="40" customWidth="1"/>
    <col min="4863" max="4864" width="3.33203125" style="40" customWidth="1"/>
    <col min="4865" max="4889" width="2.33203125" style="40" customWidth="1"/>
    <col min="4890" max="4891" width="3.33203125" style="40" customWidth="1"/>
    <col min="4892" max="4892" width="14.33203125" style="40" customWidth="1"/>
    <col min="4893" max="5117" width="8.58203125" style="40"/>
    <col min="5118" max="5118" width="14.33203125" style="40" customWidth="1"/>
    <col min="5119" max="5120" width="3.33203125" style="40" customWidth="1"/>
    <col min="5121" max="5145" width="2.33203125" style="40" customWidth="1"/>
    <col min="5146" max="5147" width="3.33203125" style="40" customWidth="1"/>
    <col min="5148" max="5148" width="14.33203125" style="40" customWidth="1"/>
    <col min="5149" max="5373" width="8.58203125" style="40"/>
    <col min="5374" max="5374" width="14.33203125" style="40" customWidth="1"/>
    <col min="5375" max="5376" width="3.33203125" style="40" customWidth="1"/>
    <col min="5377" max="5401" width="2.33203125" style="40" customWidth="1"/>
    <col min="5402" max="5403" width="3.33203125" style="40" customWidth="1"/>
    <col min="5404" max="5404" width="14.33203125" style="40" customWidth="1"/>
    <col min="5405" max="5629" width="8.58203125" style="40"/>
    <col min="5630" max="5630" width="14.33203125" style="40" customWidth="1"/>
    <col min="5631" max="5632" width="3.33203125" style="40" customWidth="1"/>
    <col min="5633" max="5657" width="2.33203125" style="40" customWidth="1"/>
    <col min="5658" max="5659" width="3.33203125" style="40" customWidth="1"/>
    <col min="5660" max="5660" width="14.33203125" style="40" customWidth="1"/>
    <col min="5661" max="5885" width="8.58203125" style="40"/>
    <col min="5886" max="5886" width="14.33203125" style="40" customWidth="1"/>
    <col min="5887" max="5888" width="3.33203125" style="40" customWidth="1"/>
    <col min="5889" max="5913" width="2.33203125" style="40" customWidth="1"/>
    <col min="5914" max="5915" width="3.33203125" style="40" customWidth="1"/>
    <col min="5916" max="5916" width="14.33203125" style="40" customWidth="1"/>
    <col min="5917" max="6141" width="8.58203125" style="40"/>
    <col min="6142" max="6142" width="14.33203125" style="40" customWidth="1"/>
    <col min="6143" max="6144" width="3.33203125" style="40" customWidth="1"/>
    <col min="6145" max="6169" width="2.33203125" style="40" customWidth="1"/>
    <col min="6170" max="6171" width="3.33203125" style="40" customWidth="1"/>
    <col min="6172" max="6172" width="14.33203125" style="40" customWidth="1"/>
    <col min="6173" max="6397" width="8.58203125" style="40"/>
    <col min="6398" max="6398" width="14.33203125" style="40" customWidth="1"/>
    <col min="6399" max="6400" width="3.33203125" style="40" customWidth="1"/>
    <col min="6401" max="6425" width="2.33203125" style="40" customWidth="1"/>
    <col min="6426" max="6427" width="3.33203125" style="40" customWidth="1"/>
    <col min="6428" max="6428" width="14.33203125" style="40" customWidth="1"/>
    <col min="6429" max="6653" width="8.58203125" style="40"/>
    <col min="6654" max="6654" width="14.33203125" style="40" customWidth="1"/>
    <col min="6655" max="6656" width="3.33203125" style="40" customWidth="1"/>
    <col min="6657" max="6681" width="2.33203125" style="40" customWidth="1"/>
    <col min="6682" max="6683" width="3.33203125" style="40" customWidth="1"/>
    <col min="6684" max="6684" width="14.33203125" style="40" customWidth="1"/>
    <col min="6685" max="6909" width="8.58203125" style="40"/>
    <col min="6910" max="6910" width="14.33203125" style="40" customWidth="1"/>
    <col min="6911" max="6912" width="3.33203125" style="40" customWidth="1"/>
    <col min="6913" max="6937" width="2.33203125" style="40" customWidth="1"/>
    <col min="6938" max="6939" width="3.33203125" style="40" customWidth="1"/>
    <col min="6940" max="6940" width="14.33203125" style="40" customWidth="1"/>
    <col min="6941" max="7165" width="8.58203125" style="40"/>
    <col min="7166" max="7166" width="14.33203125" style="40" customWidth="1"/>
    <col min="7167" max="7168" width="3.33203125" style="40" customWidth="1"/>
    <col min="7169" max="7193" width="2.33203125" style="40" customWidth="1"/>
    <col min="7194" max="7195" width="3.33203125" style="40" customWidth="1"/>
    <col min="7196" max="7196" width="14.33203125" style="40" customWidth="1"/>
    <col min="7197" max="7421" width="8.58203125" style="40"/>
    <col min="7422" max="7422" width="14.33203125" style="40" customWidth="1"/>
    <col min="7423" max="7424" width="3.33203125" style="40" customWidth="1"/>
    <col min="7425" max="7449" width="2.33203125" style="40" customWidth="1"/>
    <col min="7450" max="7451" width="3.33203125" style="40" customWidth="1"/>
    <col min="7452" max="7452" width="14.33203125" style="40" customWidth="1"/>
    <col min="7453" max="7677" width="8.58203125" style="40"/>
    <col min="7678" max="7678" width="14.33203125" style="40" customWidth="1"/>
    <col min="7679" max="7680" width="3.33203125" style="40" customWidth="1"/>
    <col min="7681" max="7705" width="2.33203125" style="40" customWidth="1"/>
    <col min="7706" max="7707" width="3.33203125" style="40" customWidth="1"/>
    <col min="7708" max="7708" width="14.33203125" style="40" customWidth="1"/>
    <col min="7709" max="7933" width="8.58203125" style="40"/>
    <col min="7934" max="7934" width="14.33203125" style="40" customWidth="1"/>
    <col min="7935" max="7936" width="3.33203125" style="40" customWidth="1"/>
    <col min="7937" max="7961" width="2.33203125" style="40" customWidth="1"/>
    <col min="7962" max="7963" width="3.33203125" style="40" customWidth="1"/>
    <col min="7964" max="7964" width="14.33203125" style="40" customWidth="1"/>
    <col min="7965" max="8189" width="8.58203125" style="40"/>
    <col min="8190" max="8190" width="14.33203125" style="40" customWidth="1"/>
    <col min="8191" max="8192" width="3.33203125" style="40" customWidth="1"/>
    <col min="8193" max="8217" width="2.33203125" style="40" customWidth="1"/>
    <col min="8218" max="8219" width="3.33203125" style="40" customWidth="1"/>
    <col min="8220" max="8220" width="14.33203125" style="40" customWidth="1"/>
    <col min="8221" max="8445" width="8.58203125" style="40"/>
    <col min="8446" max="8446" width="14.33203125" style="40" customWidth="1"/>
    <col min="8447" max="8448" width="3.33203125" style="40" customWidth="1"/>
    <col min="8449" max="8473" width="2.33203125" style="40" customWidth="1"/>
    <col min="8474" max="8475" width="3.33203125" style="40" customWidth="1"/>
    <col min="8476" max="8476" width="14.33203125" style="40" customWidth="1"/>
    <col min="8477" max="8701" width="8.58203125" style="40"/>
    <col min="8702" max="8702" width="14.33203125" style="40" customWidth="1"/>
    <col min="8703" max="8704" width="3.33203125" style="40" customWidth="1"/>
    <col min="8705" max="8729" width="2.33203125" style="40" customWidth="1"/>
    <col min="8730" max="8731" width="3.33203125" style="40" customWidth="1"/>
    <col min="8732" max="8732" width="14.33203125" style="40" customWidth="1"/>
    <col min="8733" max="8957" width="8.58203125" style="40"/>
    <col min="8958" max="8958" width="14.33203125" style="40" customWidth="1"/>
    <col min="8959" max="8960" width="3.33203125" style="40" customWidth="1"/>
    <col min="8961" max="8985" width="2.33203125" style="40" customWidth="1"/>
    <col min="8986" max="8987" width="3.33203125" style="40" customWidth="1"/>
    <col min="8988" max="8988" width="14.33203125" style="40" customWidth="1"/>
    <col min="8989" max="9213" width="8.58203125" style="40"/>
    <col min="9214" max="9214" width="14.33203125" style="40" customWidth="1"/>
    <col min="9215" max="9216" width="3.33203125" style="40" customWidth="1"/>
    <col min="9217" max="9241" width="2.33203125" style="40" customWidth="1"/>
    <col min="9242" max="9243" width="3.33203125" style="40" customWidth="1"/>
    <col min="9244" max="9244" width="14.33203125" style="40" customWidth="1"/>
    <col min="9245" max="9469" width="8.58203125" style="40"/>
    <col min="9470" max="9470" width="14.33203125" style="40" customWidth="1"/>
    <col min="9471" max="9472" width="3.33203125" style="40" customWidth="1"/>
    <col min="9473" max="9497" width="2.33203125" style="40" customWidth="1"/>
    <col min="9498" max="9499" width="3.33203125" style="40" customWidth="1"/>
    <col min="9500" max="9500" width="14.33203125" style="40" customWidth="1"/>
    <col min="9501" max="9725" width="8.58203125" style="40"/>
    <col min="9726" max="9726" width="14.33203125" style="40" customWidth="1"/>
    <col min="9727" max="9728" width="3.33203125" style="40" customWidth="1"/>
    <col min="9729" max="9753" width="2.33203125" style="40" customWidth="1"/>
    <col min="9754" max="9755" width="3.33203125" style="40" customWidth="1"/>
    <col min="9756" max="9756" width="14.33203125" style="40" customWidth="1"/>
    <col min="9757" max="9981" width="8.58203125" style="40"/>
    <col min="9982" max="9982" width="14.33203125" style="40" customWidth="1"/>
    <col min="9983" max="9984" width="3.33203125" style="40" customWidth="1"/>
    <col min="9985" max="10009" width="2.33203125" style="40" customWidth="1"/>
    <col min="10010" max="10011" width="3.33203125" style="40" customWidth="1"/>
    <col min="10012" max="10012" width="14.33203125" style="40" customWidth="1"/>
    <col min="10013" max="10237" width="8.58203125" style="40"/>
    <col min="10238" max="10238" width="14.33203125" style="40" customWidth="1"/>
    <col min="10239" max="10240" width="3.33203125" style="40" customWidth="1"/>
    <col min="10241" max="10265" width="2.33203125" style="40" customWidth="1"/>
    <col min="10266" max="10267" width="3.33203125" style="40" customWidth="1"/>
    <col min="10268" max="10268" width="14.33203125" style="40" customWidth="1"/>
    <col min="10269" max="10493" width="8.58203125" style="40"/>
    <col min="10494" max="10494" width="14.33203125" style="40" customWidth="1"/>
    <col min="10495" max="10496" width="3.33203125" style="40" customWidth="1"/>
    <col min="10497" max="10521" width="2.33203125" style="40" customWidth="1"/>
    <col min="10522" max="10523" width="3.33203125" style="40" customWidth="1"/>
    <col min="10524" max="10524" width="14.33203125" style="40" customWidth="1"/>
    <col min="10525" max="10749" width="8.58203125" style="40"/>
    <col min="10750" max="10750" width="14.33203125" style="40" customWidth="1"/>
    <col min="10751" max="10752" width="3.33203125" style="40" customWidth="1"/>
    <col min="10753" max="10777" width="2.33203125" style="40" customWidth="1"/>
    <col min="10778" max="10779" width="3.33203125" style="40" customWidth="1"/>
    <col min="10780" max="10780" width="14.33203125" style="40" customWidth="1"/>
    <col min="10781" max="11005" width="8.58203125" style="40"/>
    <col min="11006" max="11006" width="14.33203125" style="40" customWidth="1"/>
    <col min="11007" max="11008" width="3.33203125" style="40" customWidth="1"/>
    <col min="11009" max="11033" width="2.33203125" style="40" customWidth="1"/>
    <col min="11034" max="11035" width="3.33203125" style="40" customWidth="1"/>
    <col min="11036" max="11036" width="14.33203125" style="40" customWidth="1"/>
    <col min="11037" max="11261" width="8.58203125" style="40"/>
    <col min="11262" max="11262" width="14.33203125" style="40" customWidth="1"/>
    <col min="11263" max="11264" width="3.33203125" style="40" customWidth="1"/>
    <col min="11265" max="11289" width="2.33203125" style="40" customWidth="1"/>
    <col min="11290" max="11291" width="3.33203125" style="40" customWidth="1"/>
    <col min="11292" max="11292" width="14.33203125" style="40" customWidth="1"/>
    <col min="11293" max="11517" width="8.58203125" style="40"/>
    <col min="11518" max="11518" width="14.33203125" style="40" customWidth="1"/>
    <col min="11519" max="11520" width="3.33203125" style="40" customWidth="1"/>
    <col min="11521" max="11545" width="2.33203125" style="40" customWidth="1"/>
    <col min="11546" max="11547" width="3.33203125" style="40" customWidth="1"/>
    <col min="11548" max="11548" width="14.33203125" style="40" customWidth="1"/>
    <col min="11549" max="11773" width="8.58203125" style="40"/>
    <col min="11774" max="11774" width="14.33203125" style="40" customWidth="1"/>
    <col min="11775" max="11776" width="3.33203125" style="40" customWidth="1"/>
    <col min="11777" max="11801" width="2.33203125" style="40" customWidth="1"/>
    <col min="11802" max="11803" width="3.33203125" style="40" customWidth="1"/>
    <col min="11804" max="11804" width="14.33203125" style="40" customWidth="1"/>
    <col min="11805" max="12029" width="8.58203125" style="40"/>
    <col min="12030" max="12030" width="14.33203125" style="40" customWidth="1"/>
    <col min="12031" max="12032" width="3.33203125" style="40" customWidth="1"/>
    <col min="12033" max="12057" width="2.33203125" style="40" customWidth="1"/>
    <col min="12058" max="12059" width="3.33203125" style="40" customWidth="1"/>
    <col min="12060" max="12060" width="14.33203125" style="40" customWidth="1"/>
    <col min="12061" max="12285" width="8.58203125" style="40"/>
    <col min="12286" max="12286" width="14.33203125" style="40" customWidth="1"/>
    <col min="12287" max="12288" width="3.33203125" style="40" customWidth="1"/>
    <col min="12289" max="12313" width="2.33203125" style="40" customWidth="1"/>
    <col min="12314" max="12315" width="3.33203125" style="40" customWidth="1"/>
    <col min="12316" max="12316" width="14.33203125" style="40" customWidth="1"/>
    <col min="12317" max="12541" width="8.58203125" style="40"/>
    <col min="12542" max="12542" width="14.33203125" style="40" customWidth="1"/>
    <col min="12543" max="12544" width="3.33203125" style="40" customWidth="1"/>
    <col min="12545" max="12569" width="2.33203125" style="40" customWidth="1"/>
    <col min="12570" max="12571" width="3.33203125" style="40" customWidth="1"/>
    <col min="12572" max="12572" width="14.33203125" style="40" customWidth="1"/>
    <col min="12573" max="12797" width="8.58203125" style="40"/>
    <col min="12798" max="12798" width="14.33203125" style="40" customWidth="1"/>
    <col min="12799" max="12800" width="3.33203125" style="40" customWidth="1"/>
    <col min="12801" max="12825" width="2.33203125" style="40" customWidth="1"/>
    <col min="12826" max="12827" width="3.33203125" style="40" customWidth="1"/>
    <col min="12828" max="12828" width="14.33203125" style="40" customWidth="1"/>
    <col min="12829" max="13053" width="8.58203125" style="40"/>
    <col min="13054" max="13054" width="14.33203125" style="40" customWidth="1"/>
    <col min="13055" max="13056" width="3.33203125" style="40" customWidth="1"/>
    <col min="13057" max="13081" width="2.33203125" style="40" customWidth="1"/>
    <col min="13082" max="13083" width="3.33203125" style="40" customWidth="1"/>
    <col min="13084" max="13084" width="14.33203125" style="40" customWidth="1"/>
    <col min="13085" max="13309" width="8.58203125" style="40"/>
    <col min="13310" max="13310" width="14.33203125" style="40" customWidth="1"/>
    <col min="13311" max="13312" width="3.33203125" style="40" customWidth="1"/>
    <col min="13313" max="13337" width="2.33203125" style="40" customWidth="1"/>
    <col min="13338" max="13339" width="3.33203125" style="40" customWidth="1"/>
    <col min="13340" max="13340" width="14.33203125" style="40" customWidth="1"/>
    <col min="13341" max="13565" width="8.58203125" style="40"/>
    <col min="13566" max="13566" width="14.33203125" style="40" customWidth="1"/>
    <col min="13567" max="13568" width="3.33203125" style="40" customWidth="1"/>
    <col min="13569" max="13593" width="2.33203125" style="40" customWidth="1"/>
    <col min="13594" max="13595" width="3.33203125" style="40" customWidth="1"/>
    <col min="13596" max="13596" width="14.33203125" style="40" customWidth="1"/>
    <col min="13597" max="13821" width="8.58203125" style="40"/>
    <col min="13822" max="13822" width="14.33203125" style="40" customWidth="1"/>
    <col min="13823" max="13824" width="3.33203125" style="40" customWidth="1"/>
    <col min="13825" max="13849" width="2.33203125" style="40" customWidth="1"/>
    <col min="13850" max="13851" width="3.33203125" style="40" customWidth="1"/>
    <col min="13852" max="13852" width="14.33203125" style="40" customWidth="1"/>
    <col min="13853" max="14077" width="8.58203125" style="40"/>
    <col min="14078" max="14078" width="14.33203125" style="40" customWidth="1"/>
    <col min="14079" max="14080" width="3.33203125" style="40" customWidth="1"/>
    <col min="14081" max="14105" width="2.33203125" style="40" customWidth="1"/>
    <col min="14106" max="14107" width="3.33203125" style="40" customWidth="1"/>
    <col min="14108" max="14108" width="14.33203125" style="40" customWidth="1"/>
    <col min="14109" max="14333" width="8.58203125" style="40"/>
    <col min="14334" max="14334" width="14.33203125" style="40" customWidth="1"/>
    <col min="14335" max="14336" width="3.33203125" style="40" customWidth="1"/>
    <col min="14337" max="14361" width="2.33203125" style="40" customWidth="1"/>
    <col min="14362" max="14363" width="3.33203125" style="40" customWidth="1"/>
    <col min="14364" max="14364" width="14.33203125" style="40" customWidth="1"/>
    <col min="14365" max="14589" width="8.58203125" style="40"/>
    <col min="14590" max="14590" width="14.33203125" style="40" customWidth="1"/>
    <col min="14591" max="14592" width="3.33203125" style="40" customWidth="1"/>
    <col min="14593" max="14617" width="2.33203125" style="40" customWidth="1"/>
    <col min="14618" max="14619" width="3.33203125" style="40" customWidth="1"/>
    <col min="14620" max="14620" width="14.33203125" style="40" customWidth="1"/>
    <col min="14621" max="14845" width="8.58203125" style="40"/>
    <col min="14846" max="14846" width="14.33203125" style="40" customWidth="1"/>
    <col min="14847" max="14848" width="3.33203125" style="40" customWidth="1"/>
    <col min="14849" max="14873" width="2.33203125" style="40" customWidth="1"/>
    <col min="14874" max="14875" width="3.33203125" style="40" customWidth="1"/>
    <col min="14876" max="14876" width="14.33203125" style="40" customWidth="1"/>
    <col min="14877" max="15101" width="8.58203125" style="40"/>
    <col min="15102" max="15102" width="14.33203125" style="40" customWidth="1"/>
    <col min="15103" max="15104" width="3.33203125" style="40" customWidth="1"/>
    <col min="15105" max="15129" width="2.33203125" style="40" customWidth="1"/>
    <col min="15130" max="15131" width="3.33203125" style="40" customWidth="1"/>
    <col min="15132" max="15132" width="14.33203125" style="40" customWidth="1"/>
    <col min="15133" max="15357" width="8.58203125" style="40"/>
    <col min="15358" max="15358" width="14.33203125" style="40" customWidth="1"/>
    <col min="15359" max="15360" width="3.33203125" style="40" customWidth="1"/>
    <col min="15361" max="15385" width="2.33203125" style="40" customWidth="1"/>
    <col min="15386" max="15387" width="3.33203125" style="40" customWidth="1"/>
    <col min="15388" max="15388" width="14.33203125" style="40" customWidth="1"/>
    <col min="15389" max="15613" width="8.58203125" style="40"/>
    <col min="15614" max="15614" width="14.33203125" style="40" customWidth="1"/>
    <col min="15615" max="15616" width="3.33203125" style="40" customWidth="1"/>
    <col min="15617" max="15641" width="2.33203125" style="40" customWidth="1"/>
    <col min="15642" max="15643" width="3.33203125" style="40" customWidth="1"/>
    <col min="15644" max="15644" width="14.33203125" style="40" customWidth="1"/>
    <col min="15645" max="15869" width="8.58203125" style="40"/>
    <col min="15870" max="15870" width="14.33203125" style="40" customWidth="1"/>
    <col min="15871" max="15872" width="3.33203125" style="40" customWidth="1"/>
    <col min="15873" max="15897" width="2.33203125" style="40" customWidth="1"/>
    <col min="15898" max="15899" width="3.33203125" style="40" customWidth="1"/>
    <col min="15900" max="15900" width="14.33203125" style="40" customWidth="1"/>
    <col min="15901" max="16125" width="8.58203125" style="40"/>
    <col min="16126" max="16126" width="14.33203125" style="40" customWidth="1"/>
    <col min="16127" max="16128" width="3.33203125" style="40" customWidth="1"/>
    <col min="16129" max="16153" width="2.33203125" style="40" customWidth="1"/>
    <col min="16154" max="16155" width="3.33203125" style="40" customWidth="1"/>
    <col min="16156" max="16156" width="14.33203125" style="40" customWidth="1"/>
    <col min="16157" max="16384" width="8.58203125" style="40"/>
  </cols>
  <sheetData>
    <row r="1" spans="1:31" ht="25" customHeight="1" x14ac:dyDescent="0.55000000000000004">
      <c r="A1" s="39" t="s">
        <v>372</v>
      </c>
      <c r="AC1" s="10"/>
      <c r="AD1" s="10"/>
      <c r="AE1" s="10"/>
    </row>
    <row r="2" spans="1:31" ht="25" customHeight="1" x14ac:dyDescent="0.55000000000000004">
      <c r="A2" s="39"/>
      <c r="AC2" s="10"/>
      <c r="AD2" s="10"/>
      <c r="AE2" s="10"/>
    </row>
    <row r="3" spans="1:31" ht="25" customHeight="1" x14ac:dyDescent="0.55000000000000004">
      <c r="A3" s="39"/>
      <c r="AC3" s="10"/>
      <c r="AD3" s="10"/>
      <c r="AE3" s="10"/>
    </row>
    <row r="4" spans="1:31" ht="25" customHeight="1" x14ac:dyDescent="0.55000000000000004">
      <c r="A4" s="39"/>
      <c r="AC4" s="10"/>
      <c r="AD4" s="10"/>
      <c r="AE4" s="10"/>
    </row>
    <row r="5" spans="1:31" ht="25" customHeight="1" x14ac:dyDescent="0.55000000000000004">
      <c r="A5" s="39"/>
      <c r="AC5" s="10"/>
      <c r="AD5" s="10"/>
      <c r="AE5" s="11" t="s">
        <v>814</v>
      </c>
    </row>
    <row r="7" spans="1:31" ht="105" customHeight="1" x14ac:dyDescent="0.55000000000000004">
      <c r="F7" s="71" t="str">
        <f>'PF80'!U89</f>
        <v>VDDD</v>
      </c>
      <c r="G7" s="72">
        <f>'PF80'!U88</f>
        <v>0</v>
      </c>
      <c r="H7" s="72">
        <f>'PF80'!U87</f>
        <v>0</v>
      </c>
      <c r="I7" s="72">
        <f>'PF80'!U86</f>
        <v>0</v>
      </c>
      <c r="J7" s="72">
        <f>'PF80'!U85</f>
        <v>0</v>
      </c>
      <c r="K7" s="72">
        <f>'PF80'!U84</f>
        <v>0</v>
      </c>
      <c r="L7" s="72">
        <f>'PF80'!U83</f>
        <v>0</v>
      </c>
      <c r="M7" s="72">
        <f>'PF80'!U82</f>
        <v>0</v>
      </c>
      <c r="N7" s="71" t="str">
        <f>'PF80'!U81</f>
        <v>VCCD</v>
      </c>
      <c r="O7" s="73" t="str">
        <f>'PF80'!U80</f>
        <v>VSSD</v>
      </c>
      <c r="P7" s="73" t="str">
        <f>'PF80'!U79</f>
        <v>VSSD</v>
      </c>
      <c r="Q7" s="71" t="str">
        <f>'PF80'!U78</f>
        <v>VDDD</v>
      </c>
      <c r="R7" s="74" t="str">
        <f>'PF80'!U77</f>
        <v>XRES_L</v>
      </c>
      <c r="S7" s="72">
        <f>'PF80'!U76</f>
        <v>0</v>
      </c>
      <c r="T7" s="72">
        <f>'PF80'!U75</f>
        <v>0</v>
      </c>
      <c r="U7" s="72">
        <f>'PF80'!U74</f>
        <v>0</v>
      </c>
      <c r="V7" s="72">
        <f>'PF80'!U73</f>
        <v>0</v>
      </c>
      <c r="W7" s="72">
        <f>'PF80'!U72</f>
        <v>0</v>
      </c>
      <c r="X7" s="72">
        <f>'PF80'!U71</f>
        <v>0</v>
      </c>
      <c r="Y7" s="73" t="str">
        <f>'PF80'!U70</f>
        <v>VSSD</v>
      </c>
    </row>
    <row r="8" spans="1:31" ht="15" customHeight="1" x14ac:dyDescent="0.55000000000000004">
      <c r="D8" s="75"/>
      <c r="E8" s="76"/>
      <c r="F8" s="76">
        <v>80</v>
      </c>
      <c r="G8" s="76">
        <v>79</v>
      </c>
      <c r="H8" s="76">
        <v>78</v>
      </c>
      <c r="I8" s="76">
        <v>77</v>
      </c>
      <c r="J8" s="76">
        <v>76</v>
      </c>
      <c r="K8" s="76">
        <v>75</v>
      </c>
      <c r="L8" s="76">
        <v>74</v>
      </c>
      <c r="M8" s="76">
        <v>73</v>
      </c>
      <c r="N8" s="76">
        <v>72</v>
      </c>
      <c r="O8" s="76">
        <v>71</v>
      </c>
      <c r="P8" s="76">
        <v>70</v>
      </c>
      <c r="Q8" s="76">
        <v>69</v>
      </c>
      <c r="R8" s="76">
        <v>68</v>
      </c>
      <c r="S8" s="76">
        <v>67</v>
      </c>
      <c r="T8" s="76">
        <v>66</v>
      </c>
      <c r="U8" s="76">
        <v>65</v>
      </c>
      <c r="V8" s="76">
        <v>64</v>
      </c>
      <c r="W8" s="76">
        <v>63</v>
      </c>
      <c r="X8" s="76">
        <v>62</v>
      </c>
      <c r="Y8" s="76">
        <v>61</v>
      </c>
      <c r="Z8" s="76"/>
      <c r="AA8" s="77"/>
    </row>
    <row r="9" spans="1:31" ht="15" customHeight="1" x14ac:dyDescent="0.55000000000000004">
      <c r="D9" s="78"/>
      <c r="E9" s="79"/>
      <c r="F9" s="79"/>
      <c r="G9" s="79"/>
      <c r="H9" s="79"/>
      <c r="I9" s="79"/>
      <c r="J9" s="79"/>
      <c r="K9" s="79"/>
      <c r="L9" s="79"/>
      <c r="M9" s="79"/>
      <c r="N9" s="79"/>
      <c r="O9" s="79"/>
      <c r="P9" s="79"/>
      <c r="Q9" s="79"/>
      <c r="R9" s="79"/>
      <c r="S9" s="79"/>
      <c r="T9" s="79"/>
      <c r="U9" s="79"/>
      <c r="V9" s="79"/>
      <c r="W9" s="79"/>
      <c r="X9" s="79"/>
      <c r="Y9" s="79"/>
      <c r="Z9" s="79"/>
      <c r="AA9" s="80"/>
    </row>
    <row r="10" spans="1:31" ht="15" customHeight="1" x14ac:dyDescent="0.55000000000000004">
      <c r="B10" s="81"/>
      <c r="C10" s="82" t="str">
        <f>'PF80'!U10</f>
        <v>VSSD</v>
      </c>
      <c r="D10" s="78">
        <v>1</v>
      </c>
      <c r="E10" s="79"/>
      <c r="F10" s="151" t="s">
        <v>364</v>
      </c>
      <c r="G10" s="151"/>
      <c r="H10" s="151"/>
      <c r="I10" s="151"/>
      <c r="J10" s="151"/>
      <c r="K10" s="151"/>
      <c r="L10" s="151"/>
      <c r="M10" s="151"/>
      <c r="N10" s="151"/>
      <c r="O10" s="151"/>
      <c r="P10" s="151"/>
      <c r="Q10" s="151"/>
      <c r="R10" s="151"/>
      <c r="S10" s="151"/>
      <c r="T10" s="151"/>
      <c r="U10" s="151"/>
      <c r="V10" s="151"/>
      <c r="W10" s="151"/>
      <c r="X10" s="151"/>
      <c r="Y10" s="151"/>
      <c r="Z10" s="79"/>
      <c r="AA10" s="80">
        <v>60</v>
      </c>
      <c r="AB10" s="83" t="str">
        <f>'PF80'!U69</f>
        <v>VDDD</v>
      </c>
    </row>
    <row r="11" spans="1:31" ht="15" customHeight="1" x14ac:dyDescent="0.55000000000000004">
      <c r="B11" s="81"/>
      <c r="C11" s="84">
        <f>'PF80'!U11</f>
        <v>0</v>
      </c>
      <c r="D11" s="78">
        <v>2</v>
      </c>
      <c r="E11" s="79"/>
      <c r="F11" s="151"/>
      <c r="G11" s="151"/>
      <c r="H11" s="151"/>
      <c r="I11" s="151"/>
      <c r="J11" s="151"/>
      <c r="K11" s="151"/>
      <c r="L11" s="151"/>
      <c r="M11" s="151"/>
      <c r="N11" s="151"/>
      <c r="O11" s="151"/>
      <c r="P11" s="151"/>
      <c r="Q11" s="151"/>
      <c r="R11" s="151"/>
      <c r="S11" s="151"/>
      <c r="T11" s="151"/>
      <c r="U11" s="151"/>
      <c r="V11" s="151"/>
      <c r="W11" s="151"/>
      <c r="X11" s="151"/>
      <c r="Y11" s="151"/>
      <c r="Z11" s="79"/>
      <c r="AA11" s="80">
        <v>59</v>
      </c>
      <c r="AB11" s="85">
        <f>'PF80'!U68</f>
        <v>0</v>
      </c>
    </row>
    <row r="12" spans="1:31" ht="15" customHeight="1" x14ac:dyDescent="0.55000000000000004">
      <c r="B12" s="81"/>
      <c r="C12" s="84">
        <f>'PF80'!U12</f>
        <v>0</v>
      </c>
      <c r="D12" s="78">
        <v>3</v>
      </c>
      <c r="E12" s="79"/>
      <c r="F12" s="151"/>
      <c r="G12" s="151"/>
      <c r="H12" s="151"/>
      <c r="I12" s="151"/>
      <c r="J12" s="151"/>
      <c r="K12" s="151"/>
      <c r="L12" s="151"/>
      <c r="M12" s="151"/>
      <c r="N12" s="151"/>
      <c r="O12" s="151"/>
      <c r="P12" s="151"/>
      <c r="Q12" s="151"/>
      <c r="R12" s="151"/>
      <c r="S12" s="151"/>
      <c r="T12" s="151"/>
      <c r="U12" s="151"/>
      <c r="V12" s="151"/>
      <c r="W12" s="151"/>
      <c r="X12" s="151"/>
      <c r="Y12" s="151"/>
      <c r="Z12" s="79"/>
      <c r="AA12" s="80">
        <v>58</v>
      </c>
      <c r="AB12" s="85">
        <f>'PF80'!U67</f>
        <v>0</v>
      </c>
    </row>
    <row r="13" spans="1:31" ht="15" customHeight="1" x14ac:dyDescent="0.55000000000000004">
      <c r="B13" s="81"/>
      <c r="C13" s="84">
        <f>'PF80'!U13</f>
        <v>0</v>
      </c>
      <c r="D13" s="78">
        <v>4</v>
      </c>
      <c r="E13" s="79"/>
      <c r="F13" s="151"/>
      <c r="G13" s="151"/>
      <c r="H13" s="151"/>
      <c r="I13" s="151"/>
      <c r="J13" s="151"/>
      <c r="K13" s="151"/>
      <c r="L13" s="151"/>
      <c r="M13" s="151"/>
      <c r="N13" s="151"/>
      <c r="O13" s="151"/>
      <c r="P13" s="151"/>
      <c r="Q13" s="151"/>
      <c r="R13" s="151"/>
      <c r="S13" s="151"/>
      <c r="T13" s="151"/>
      <c r="U13" s="151"/>
      <c r="V13" s="151"/>
      <c r="W13" s="151"/>
      <c r="X13" s="151"/>
      <c r="Y13" s="151"/>
      <c r="Z13" s="79"/>
      <c r="AA13" s="80">
        <v>57</v>
      </c>
      <c r="AB13" s="85">
        <f>'PF80'!U66</f>
        <v>0</v>
      </c>
    </row>
    <row r="14" spans="1:31" ht="15" customHeight="1" x14ac:dyDescent="0.55000000000000004">
      <c r="B14" s="81"/>
      <c r="C14" s="84">
        <f>'PF80'!U14</f>
        <v>0</v>
      </c>
      <c r="D14" s="78">
        <v>5</v>
      </c>
      <c r="E14" s="79"/>
      <c r="F14" s="151"/>
      <c r="G14" s="151"/>
      <c r="H14" s="151"/>
      <c r="I14" s="151"/>
      <c r="J14" s="151"/>
      <c r="K14" s="151"/>
      <c r="L14" s="151"/>
      <c r="M14" s="151"/>
      <c r="N14" s="151"/>
      <c r="O14" s="151"/>
      <c r="P14" s="151"/>
      <c r="Q14" s="151"/>
      <c r="R14" s="151"/>
      <c r="S14" s="151"/>
      <c r="T14" s="151"/>
      <c r="U14" s="151"/>
      <c r="V14" s="151"/>
      <c r="W14" s="151"/>
      <c r="X14" s="151"/>
      <c r="Y14" s="151"/>
      <c r="Z14" s="79"/>
      <c r="AA14" s="80">
        <v>56</v>
      </c>
      <c r="AB14" s="85">
        <f>'PF80'!U65</f>
        <v>0</v>
      </c>
    </row>
    <row r="15" spans="1:31" ht="15" customHeight="1" x14ac:dyDescent="0.55000000000000004">
      <c r="B15" s="81"/>
      <c r="C15" s="84">
        <f>'PF80'!U15</f>
        <v>0</v>
      </c>
      <c r="D15" s="78">
        <v>6</v>
      </c>
      <c r="E15" s="79"/>
      <c r="F15" s="151"/>
      <c r="G15" s="151"/>
      <c r="H15" s="151"/>
      <c r="I15" s="151"/>
      <c r="J15" s="151"/>
      <c r="K15" s="151"/>
      <c r="L15" s="151"/>
      <c r="M15" s="151"/>
      <c r="N15" s="151"/>
      <c r="O15" s="151"/>
      <c r="P15" s="151"/>
      <c r="Q15" s="151"/>
      <c r="R15" s="151"/>
      <c r="S15" s="151"/>
      <c r="T15" s="151"/>
      <c r="U15" s="151"/>
      <c r="V15" s="151"/>
      <c r="W15" s="151"/>
      <c r="X15" s="151"/>
      <c r="Y15" s="151"/>
      <c r="Z15" s="79"/>
      <c r="AA15" s="80">
        <v>55</v>
      </c>
      <c r="AB15" s="85">
        <f>'PF80'!U64</f>
        <v>0</v>
      </c>
    </row>
    <row r="16" spans="1:31" ht="15" customHeight="1" x14ac:dyDescent="0.55000000000000004">
      <c r="B16" s="81"/>
      <c r="C16" s="84">
        <f>'PF80'!U16</f>
        <v>0</v>
      </c>
      <c r="D16" s="78">
        <v>7</v>
      </c>
      <c r="E16" s="79"/>
      <c r="F16" s="151"/>
      <c r="G16" s="151"/>
      <c r="H16" s="151"/>
      <c r="I16" s="151"/>
      <c r="J16" s="151"/>
      <c r="K16" s="151"/>
      <c r="L16" s="151"/>
      <c r="M16" s="151"/>
      <c r="N16" s="151"/>
      <c r="O16" s="151"/>
      <c r="P16" s="151"/>
      <c r="Q16" s="151"/>
      <c r="R16" s="151"/>
      <c r="S16" s="151"/>
      <c r="T16" s="151"/>
      <c r="U16" s="151"/>
      <c r="V16" s="151"/>
      <c r="W16" s="151"/>
      <c r="X16" s="151"/>
      <c r="Y16" s="151"/>
      <c r="Z16" s="79"/>
      <c r="AA16" s="80">
        <v>54</v>
      </c>
      <c r="AB16" s="85">
        <f>'PF80'!U63</f>
        <v>0</v>
      </c>
    </row>
    <row r="17" spans="2:28" ht="15" customHeight="1" x14ac:dyDescent="0.55000000000000004">
      <c r="B17" s="81"/>
      <c r="C17" s="84">
        <f>'PF80'!U17</f>
        <v>0</v>
      </c>
      <c r="D17" s="78">
        <v>8</v>
      </c>
      <c r="E17" s="79"/>
      <c r="F17" s="151"/>
      <c r="G17" s="151"/>
      <c r="H17" s="151"/>
      <c r="I17" s="151"/>
      <c r="J17" s="151"/>
      <c r="K17" s="151"/>
      <c r="L17" s="151"/>
      <c r="M17" s="151"/>
      <c r="N17" s="151"/>
      <c r="O17" s="151"/>
      <c r="P17" s="151"/>
      <c r="Q17" s="151"/>
      <c r="R17" s="151"/>
      <c r="S17" s="151"/>
      <c r="T17" s="151"/>
      <c r="U17" s="151"/>
      <c r="V17" s="151"/>
      <c r="W17" s="151"/>
      <c r="X17" s="151"/>
      <c r="Y17" s="151"/>
      <c r="Z17" s="79"/>
      <c r="AA17" s="80">
        <v>53</v>
      </c>
      <c r="AB17" s="85">
        <f>'PF80'!U62</f>
        <v>0</v>
      </c>
    </row>
    <row r="18" spans="2:28" ht="15" customHeight="1" x14ac:dyDescent="0.55000000000000004">
      <c r="B18" s="81"/>
      <c r="C18" s="84">
        <f>'PF80'!U18</f>
        <v>0</v>
      </c>
      <c r="D18" s="78">
        <v>9</v>
      </c>
      <c r="E18" s="79"/>
      <c r="F18" s="151"/>
      <c r="G18" s="151"/>
      <c r="H18" s="151"/>
      <c r="I18" s="151"/>
      <c r="J18" s="151"/>
      <c r="K18" s="151"/>
      <c r="L18" s="151"/>
      <c r="M18" s="151"/>
      <c r="N18" s="151"/>
      <c r="O18" s="151"/>
      <c r="P18" s="151"/>
      <c r="Q18" s="151"/>
      <c r="R18" s="151"/>
      <c r="S18" s="151"/>
      <c r="T18" s="151"/>
      <c r="U18" s="151"/>
      <c r="V18" s="151"/>
      <c r="W18" s="151"/>
      <c r="X18" s="151"/>
      <c r="Y18" s="151"/>
      <c r="Z18" s="79"/>
      <c r="AA18" s="80">
        <v>52</v>
      </c>
      <c r="AB18" s="85">
        <f>'PF80'!U61</f>
        <v>0</v>
      </c>
    </row>
    <row r="19" spans="2:28" ht="15" customHeight="1" x14ac:dyDescent="0.55000000000000004">
      <c r="B19" s="81"/>
      <c r="C19" s="84">
        <f>'PF80'!U19</f>
        <v>0</v>
      </c>
      <c r="D19" s="78">
        <v>10</v>
      </c>
      <c r="E19" s="79"/>
      <c r="F19" s="151"/>
      <c r="G19" s="151"/>
      <c r="H19" s="151"/>
      <c r="I19" s="151"/>
      <c r="J19" s="151"/>
      <c r="K19" s="151"/>
      <c r="L19" s="151"/>
      <c r="M19" s="151"/>
      <c r="N19" s="151"/>
      <c r="O19" s="151"/>
      <c r="P19" s="151"/>
      <c r="Q19" s="151"/>
      <c r="R19" s="151"/>
      <c r="S19" s="151"/>
      <c r="T19" s="151"/>
      <c r="U19" s="151"/>
      <c r="V19" s="151"/>
      <c r="W19" s="151"/>
      <c r="X19" s="151"/>
      <c r="Y19" s="151"/>
      <c r="Z19" s="79"/>
      <c r="AA19" s="80">
        <v>51</v>
      </c>
      <c r="AB19" s="85">
        <f>'PF80'!U60</f>
        <v>0</v>
      </c>
    </row>
    <row r="20" spans="2:28" ht="15" customHeight="1" x14ac:dyDescent="0.55000000000000004">
      <c r="B20" s="81"/>
      <c r="C20" s="84">
        <f>'PF80'!U20</f>
        <v>0</v>
      </c>
      <c r="D20" s="78">
        <v>11</v>
      </c>
      <c r="E20" s="79"/>
      <c r="F20" s="151"/>
      <c r="G20" s="151"/>
      <c r="H20" s="151"/>
      <c r="I20" s="151"/>
      <c r="J20" s="151"/>
      <c r="K20" s="151"/>
      <c r="L20" s="151"/>
      <c r="M20" s="151"/>
      <c r="N20" s="151"/>
      <c r="O20" s="151"/>
      <c r="P20" s="151"/>
      <c r="Q20" s="151"/>
      <c r="R20" s="151"/>
      <c r="S20" s="151"/>
      <c r="T20" s="151"/>
      <c r="U20" s="151"/>
      <c r="V20" s="151"/>
      <c r="W20" s="151"/>
      <c r="X20" s="151"/>
      <c r="Y20" s="151"/>
      <c r="Z20" s="79"/>
      <c r="AA20" s="80">
        <v>50</v>
      </c>
      <c r="AB20" s="85">
        <f>'PF80'!U59</f>
        <v>0</v>
      </c>
    </row>
    <row r="21" spans="2:28" ht="15" customHeight="1" x14ac:dyDescent="0.55000000000000004">
      <c r="B21" s="81"/>
      <c r="C21" s="84">
        <f>'PF80'!U21</f>
        <v>0</v>
      </c>
      <c r="D21" s="78">
        <v>12</v>
      </c>
      <c r="E21" s="79"/>
      <c r="F21" s="151"/>
      <c r="G21" s="151"/>
      <c r="H21" s="151"/>
      <c r="I21" s="151"/>
      <c r="J21" s="151"/>
      <c r="K21" s="151"/>
      <c r="L21" s="151"/>
      <c r="M21" s="151"/>
      <c r="N21" s="151"/>
      <c r="O21" s="151"/>
      <c r="P21" s="151"/>
      <c r="Q21" s="151"/>
      <c r="R21" s="151"/>
      <c r="S21" s="151"/>
      <c r="T21" s="151"/>
      <c r="U21" s="151"/>
      <c r="V21" s="151"/>
      <c r="W21" s="151"/>
      <c r="X21" s="151"/>
      <c r="Y21" s="151"/>
      <c r="Z21" s="79"/>
      <c r="AA21" s="80">
        <v>49</v>
      </c>
      <c r="AB21" s="85">
        <f>'PF80'!U58</f>
        <v>0</v>
      </c>
    </row>
    <row r="22" spans="2:28" ht="15" customHeight="1" x14ac:dyDescent="0.55000000000000004">
      <c r="B22" s="81"/>
      <c r="C22" s="84">
        <f>'PF80'!U22</f>
        <v>0</v>
      </c>
      <c r="D22" s="78">
        <v>13</v>
      </c>
      <c r="E22" s="79"/>
      <c r="F22" s="151"/>
      <c r="G22" s="151"/>
      <c r="H22" s="151"/>
      <c r="I22" s="151"/>
      <c r="J22" s="151"/>
      <c r="K22" s="151"/>
      <c r="L22" s="151"/>
      <c r="M22" s="151"/>
      <c r="N22" s="151"/>
      <c r="O22" s="151"/>
      <c r="P22" s="151"/>
      <c r="Q22" s="151"/>
      <c r="R22" s="151"/>
      <c r="S22" s="151"/>
      <c r="T22" s="151"/>
      <c r="U22" s="151"/>
      <c r="V22" s="151"/>
      <c r="W22" s="151"/>
      <c r="X22" s="151"/>
      <c r="Y22" s="151"/>
      <c r="Z22" s="79"/>
      <c r="AA22" s="80">
        <v>48</v>
      </c>
      <c r="AB22" s="85">
        <f>'PF80'!U57</f>
        <v>0</v>
      </c>
    </row>
    <row r="23" spans="2:28" ht="15" customHeight="1" x14ac:dyDescent="0.55000000000000004">
      <c r="B23" s="81"/>
      <c r="C23" s="84">
        <f>'PF80'!U23</f>
        <v>0</v>
      </c>
      <c r="D23" s="78">
        <v>14</v>
      </c>
      <c r="E23" s="79"/>
      <c r="F23" s="151"/>
      <c r="G23" s="151"/>
      <c r="H23" s="151"/>
      <c r="I23" s="151"/>
      <c r="J23" s="151"/>
      <c r="K23" s="151"/>
      <c r="L23" s="151"/>
      <c r="M23" s="151"/>
      <c r="N23" s="151"/>
      <c r="O23" s="151"/>
      <c r="P23" s="151"/>
      <c r="Q23" s="151"/>
      <c r="R23" s="151"/>
      <c r="S23" s="151"/>
      <c r="T23" s="151"/>
      <c r="U23" s="151"/>
      <c r="V23" s="151"/>
      <c r="W23" s="151"/>
      <c r="X23" s="151"/>
      <c r="Y23" s="151"/>
      <c r="Z23" s="79"/>
      <c r="AA23" s="80">
        <v>47</v>
      </c>
      <c r="AB23" s="85">
        <f>'PF80'!U56</f>
        <v>0</v>
      </c>
    </row>
    <row r="24" spans="2:28" ht="15" customHeight="1" x14ac:dyDescent="0.55000000000000004">
      <c r="B24" s="81"/>
      <c r="C24" s="84">
        <f>'PF80'!U24</f>
        <v>0</v>
      </c>
      <c r="D24" s="78">
        <v>15</v>
      </c>
      <c r="E24" s="79"/>
      <c r="F24" s="151"/>
      <c r="G24" s="151"/>
      <c r="H24" s="151"/>
      <c r="I24" s="151"/>
      <c r="J24" s="151"/>
      <c r="K24" s="151"/>
      <c r="L24" s="151"/>
      <c r="M24" s="151"/>
      <c r="N24" s="151"/>
      <c r="O24" s="151"/>
      <c r="P24" s="151"/>
      <c r="Q24" s="151"/>
      <c r="R24" s="151"/>
      <c r="S24" s="151"/>
      <c r="T24" s="151"/>
      <c r="U24" s="151"/>
      <c r="V24" s="151"/>
      <c r="W24" s="151"/>
      <c r="X24" s="151"/>
      <c r="Y24" s="151"/>
      <c r="Z24" s="79"/>
      <c r="AA24" s="80">
        <v>46</v>
      </c>
      <c r="AB24" s="85">
        <f>'PF80'!U55</f>
        <v>0</v>
      </c>
    </row>
    <row r="25" spans="2:28" ht="15" customHeight="1" x14ac:dyDescent="0.55000000000000004">
      <c r="B25" s="81"/>
      <c r="C25" s="84">
        <f>'PF80'!U25</f>
        <v>0</v>
      </c>
      <c r="D25" s="78">
        <v>16</v>
      </c>
      <c r="E25" s="79"/>
      <c r="F25" s="151"/>
      <c r="G25" s="151"/>
      <c r="H25" s="151"/>
      <c r="I25" s="151"/>
      <c r="J25" s="151"/>
      <c r="K25" s="151"/>
      <c r="L25" s="151"/>
      <c r="M25" s="151"/>
      <c r="N25" s="151"/>
      <c r="O25" s="151"/>
      <c r="P25" s="151"/>
      <c r="Q25" s="151"/>
      <c r="R25" s="151"/>
      <c r="S25" s="151"/>
      <c r="T25" s="151"/>
      <c r="U25" s="151"/>
      <c r="V25" s="151"/>
      <c r="W25" s="151"/>
      <c r="X25" s="151"/>
      <c r="Y25" s="151"/>
      <c r="Z25" s="79"/>
      <c r="AA25" s="80">
        <v>45</v>
      </c>
      <c r="AB25" s="85">
        <f>'PF80'!U54</f>
        <v>0</v>
      </c>
    </row>
    <row r="26" spans="2:28" ht="15" customHeight="1" x14ac:dyDescent="0.55000000000000004">
      <c r="B26" s="81"/>
      <c r="C26" s="84">
        <f>'PF80'!U26</f>
        <v>0</v>
      </c>
      <c r="D26" s="78">
        <v>17</v>
      </c>
      <c r="E26" s="79"/>
      <c r="F26" s="151"/>
      <c r="G26" s="151"/>
      <c r="H26" s="151"/>
      <c r="I26" s="151"/>
      <c r="J26" s="151"/>
      <c r="K26" s="151"/>
      <c r="L26" s="151"/>
      <c r="M26" s="151"/>
      <c r="N26" s="151"/>
      <c r="O26" s="151"/>
      <c r="P26" s="151"/>
      <c r="Q26" s="151"/>
      <c r="R26" s="151"/>
      <c r="S26" s="151"/>
      <c r="T26" s="151"/>
      <c r="U26" s="151"/>
      <c r="V26" s="151"/>
      <c r="W26" s="151"/>
      <c r="X26" s="151"/>
      <c r="Y26" s="151"/>
      <c r="Z26" s="79"/>
      <c r="AA26" s="80">
        <v>44</v>
      </c>
      <c r="AB26" s="85">
        <f>'PF80'!U53</f>
        <v>0</v>
      </c>
    </row>
    <row r="27" spans="2:28" ht="15" customHeight="1" x14ac:dyDescent="0.55000000000000004">
      <c r="B27" s="81"/>
      <c r="C27" s="84">
        <f>'PF80'!U27</f>
        <v>0</v>
      </c>
      <c r="D27" s="78">
        <v>18</v>
      </c>
      <c r="E27" s="79"/>
      <c r="F27" s="151"/>
      <c r="G27" s="151"/>
      <c r="H27" s="151"/>
      <c r="I27" s="151"/>
      <c r="J27" s="151"/>
      <c r="K27" s="151"/>
      <c r="L27" s="151"/>
      <c r="M27" s="151"/>
      <c r="N27" s="151"/>
      <c r="O27" s="151"/>
      <c r="P27" s="151"/>
      <c r="Q27" s="151"/>
      <c r="R27" s="151"/>
      <c r="S27" s="151"/>
      <c r="T27" s="151"/>
      <c r="U27" s="151"/>
      <c r="V27" s="151"/>
      <c r="W27" s="151"/>
      <c r="X27" s="151"/>
      <c r="Y27" s="151"/>
      <c r="Z27" s="79"/>
      <c r="AA27" s="80">
        <v>43</v>
      </c>
      <c r="AB27" s="85">
        <f>'PF80'!U52</f>
        <v>0</v>
      </c>
    </row>
    <row r="28" spans="2:28" ht="15" customHeight="1" x14ac:dyDescent="0.55000000000000004">
      <c r="B28" s="81"/>
      <c r="C28" s="84">
        <f>'PF80'!U28</f>
        <v>0</v>
      </c>
      <c r="D28" s="78">
        <v>19</v>
      </c>
      <c r="E28" s="79"/>
      <c r="F28" s="151"/>
      <c r="G28" s="151"/>
      <c r="H28" s="151"/>
      <c r="I28" s="151"/>
      <c r="J28" s="151"/>
      <c r="K28" s="151"/>
      <c r="L28" s="151"/>
      <c r="M28" s="151"/>
      <c r="N28" s="151"/>
      <c r="O28" s="151"/>
      <c r="P28" s="151"/>
      <c r="Q28" s="151"/>
      <c r="R28" s="151"/>
      <c r="S28" s="151"/>
      <c r="T28" s="151"/>
      <c r="U28" s="151"/>
      <c r="V28" s="151"/>
      <c r="W28" s="151"/>
      <c r="X28" s="151"/>
      <c r="Y28" s="151"/>
      <c r="Z28" s="79"/>
      <c r="AA28" s="80">
        <v>42</v>
      </c>
      <c r="AB28" s="85">
        <f>'PF80'!U51</f>
        <v>0</v>
      </c>
    </row>
    <row r="29" spans="2:28" ht="15" customHeight="1" x14ac:dyDescent="0.55000000000000004">
      <c r="B29" s="81"/>
      <c r="C29" s="86" t="str">
        <f>'PF80'!U29</f>
        <v>VDDIO_1</v>
      </c>
      <c r="D29" s="78">
        <v>20</v>
      </c>
      <c r="E29" s="79"/>
      <c r="F29" s="151"/>
      <c r="G29" s="151"/>
      <c r="H29" s="151"/>
      <c r="I29" s="151"/>
      <c r="J29" s="151"/>
      <c r="K29" s="151"/>
      <c r="L29" s="151"/>
      <c r="M29" s="151"/>
      <c r="N29" s="151"/>
      <c r="O29" s="151"/>
      <c r="P29" s="151"/>
      <c r="Q29" s="151"/>
      <c r="R29" s="151"/>
      <c r="S29" s="151"/>
      <c r="T29" s="151"/>
      <c r="U29" s="151"/>
      <c r="V29" s="151"/>
      <c r="W29" s="151"/>
      <c r="X29" s="151"/>
      <c r="Y29" s="151"/>
      <c r="Z29" s="79"/>
      <c r="AA29" s="80">
        <v>41</v>
      </c>
      <c r="AB29" s="87" t="str">
        <f>'PF80'!U50</f>
        <v>VSSD</v>
      </c>
    </row>
    <row r="30" spans="2:28" ht="15" customHeight="1" x14ac:dyDescent="0.55000000000000004">
      <c r="D30" s="78"/>
      <c r="E30" s="79"/>
      <c r="F30" s="79"/>
      <c r="G30" s="79"/>
      <c r="H30" s="79"/>
      <c r="I30" s="79"/>
      <c r="J30" s="79"/>
      <c r="K30" s="79"/>
      <c r="L30" s="79"/>
      <c r="M30" s="79"/>
      <c r="N30" s="79"/>
      <c r="O30" s="79"/>
      <c r="P30" s="79"/>
      <c r="Q30" s="79"/>
      <c r="R30" s="79"/>
      <c r="S30" s="79"/>
      <c r="T30" s="79"/>
      <c r="U30" s="79"/>
      <c r="V30" s="79"/>
      <c r="W30" s="79"/>
      <c r="X30" s="79"/>
      <c r="Y30" s="79"/>
      <c r="Z30" s="79"/>
      <c r="AA30" s="80"/>
    </row>
    <row r="31" spans="2:28" ht="15" customHeight="1" x14ac:dyDescent="0.55000000000000004">
      <c r="D31" s="77"/>
      <c r="E31" s="88"/>
      <c r="F31" s="88">
        <v>21</v>
      </c>
      <c r="G31" s="88">
        <v>22</v>
      </c>
      <c r="H31" s="88">
        <v>23</v>
      </c>
      <c r="I31" s="88">
        <v>24</v>
      </c>
      <c r="J31" s="88">
        <v>25</v>
      </c>
      <c r="K31" s="88">
        <v>26</v>
      </c>
      <c r="L31" s="88">
        <v>27</v>
      </c>
      <c r="M31" s="88">
        <v>28</v>
      </c>
      <c r="N31" s="88">
        <v>29</v>
      </c>
      <c r="O31" s="88">
        <v>30</v>
      </c>
      <c r="P31" s="88">
        <v>31</v>
      </c>
      <c r="Q31" s="88">
        <v>32</v>
      </c>
      <c r="R31" s="88">
        <v>33</v>
      </c>
      <c r="S31" s="88">
        <v>34</v>
      </c>
      <c r="T31" s="88">
        <v>35</v>
      </c>
      <c r="U31" s="88">
        <v>36</v>
      </c>
      <c r="V31" s="88">
        <v>37</v>
      </c>
      <c r="W31" s="88">
        <v>38</v>
      </c>
      <c r="X31" s="88">
        <v>39</v>
      </c>
      <c r="Y31" s="88">
        <v>40</v>
      </c>
      <c r="Z31" s="88"/>
      <c r="AA31" s="75"/>
    </row>
    <row r="32" spans="2:28" ht="105" customHeight="1" x14ac:dyDescent="0.55000000000000004">
      <c r="F32" s="89" t="str">
        <f>'PF80'!U30</f>
        <v>VSSD</v>
      </c>
      <c r="G32" s="91">
        <f>'PF80'!U31</f>
        <v>0</v>
      </c>
      <c r="H32" s="91">
        <f>'PF80'!U32</f>
        <v>0</v>
      </c>
      <c r="I32" s="91">
        <f>'PF80'!U33</f>
        <v>0</v>
      </c>
      <c r="J32" s="91">
        <f>'PF80'!U34</f>
        <v>0</v>
      </c>
      <c r="K32" s="91">
        <f>'PF80'!U35</f>
        <v>0</v>
      </c>
      <c r="L32" s="91">
        <f>'PF80'!U36</f>
        <v>0</v>
      </c>
      <c r="M32" s="91">
        <f>'PF80'!U37</f>
        <v>0</v>
      </c>
      <c r="N32" s="91">
        <f>'PF80'!U38</f>
        <v>0</v>
      </c>
      <c r="O32" s="91">
        <f>'PF80'!U39</f>
        <v>0</v>
      </c>
      <c r="P32" s="91">
        <f>'PF80'!U40</f>
        <v>0</v>
      </c>
      <c r="Q32" s="92" t="str">
        <f>'PF80'!U41</f>
        <v>VREFL</v>
      </c>
      <c r="R32" s="89" t="str">
        <f>'PF80'!U42</f>
        <v>VSSA</v>
      </c>
      <c r="S32" s="90" t="str">
        <f>'PF80'!U43</f>
        <v>VDDA</v>
      </c>
      <c r="T32" s="92" t="str">
        <f>'PF80'!U44</f>
        <v>VREFH</v>
      </c>
      <c r="U32" s="91">
        <f>'PF80'!U45</f>
        <v>0</v>
      </c>
      <c r="V32" s="91">
        <f>'PF80'!U46</f>
        <v>0</v>
      </c>
      <c r="W32" s="91">
        <f>'PF80'!U47</f>
        <v>0</v>
      </c>
      <c r="X32" s="91">
        <f>'PF80'!U48</f>
        <v>0</v>
      </c>
      <c r="Y32" s="90" t="str">
        <f>'PF80'!U49</f>
        <v>VDDIO_2</v>
      </c>
    </row>
    <row r="43" spans="2:34" ht="14.5" x14ac:dyDescent="0.55000000000000004">
      <c r="B43" s="154" t="s">
        <v>849</v>
      </c>
      <c r="C43" s="154"/>
      <c r="D43" s="154"/>
      <c r="E43" s="154"/>
      <c r="F43" s="154"/>
      <c r="G43" s="154"/>
      <c r="H43" s="154"/>
      <c r="I43" s="154"/>
      <c r="J43" s="154"/>
      <c r="K43" s="154"/>
      <c r="L43" s="154"/>
      <c r="M43" s="154"/>
      <c r="N43" s="154"/>
      <c r="O43" s="154"/>
      <c r="P43" s="154"/>
      <c r="Q43" s="154"/>
      <c r="R43" s="154"/>
      <c r="S43" s="154"/>
      <c r="T43" s="154"/>
      <c r="U43" s="154"/>
      <c r="V43" s="154"/>
      <c r="W43" s="154"/>
      <c r="X43" s="154"/>
      <c r="Y43" s="154"/>
      <c r="Z43" s="154"/>
      <c r="AA43" s="154"/>
      <c r="AB43" s="154"/>
      <c r="AC43" s="154"/>
      <c r="AD43" s="155"/>
      <c r="AE43" s="155"/>
      <c r="AF43" s="155"/>
      <c r="AG43" s="155"/>
      <c r="AH43" s="155"/>
    </row>
    <row r="44" spans="2:34" ht="164" customHeight="1" x14ac:dyDescent="0.55000000000000004">
      <c r="B44" s="153" t="s">
        <v>850</v>
      </c>
      <c r="C44" s="153"/>
      <c r="D44" s="153"/>
      <c r="E44" s="153"/>
      <c r="F44" s="153"/>
      <c r="G44" s="153"/>
      <c r="H44" s="153"/>
      <c r="I44" s="153"/>
      <c r="J44" s="153"/>
      <c r="K44" s="153"/>
      <c r="L44" s="153"/>
      <c r="M44" s="153"/>
      <c r="N44" s="153"/>
      <c r="O44" s="153"/>
      <c r="P44" s="153"/>
      <c r="Q44" s="153"/>
      <c r="R44" s="153"/>
      <c r="S44" s="153"/>
      <c r="T44" s="153"/>
      <c r="U44" s="153"/>
      <c r="V44" s="153"/>
      <c r="W44" s="153"/>
      <c r="X44" s="153"/>
      <c r="Y44" s="153"/>
      <c r="Z44" s="153"/>
      <c r="AA44" s="153"/>
      <c r="AB44" s="153"/>
      <c r="AC44" s="153"/>
      <c r="AD44" s="156"/>
      <c r="AE44" s="156"/>
      <c r="AF44" s="156"/>
      <c r="AG44" s="156"/>
      <c r="AH44" s="156"/>
    </row>
  </sheetData>
  <sheetProtection algorithmName="SHA-512" hashValue="iPXqyPaWbZGXI/Mq+ZJUiInAYKtWEd3eP6wZtMcqTKBbz0eoRkBZ9A+pG19IFuXYB7A3bAXw3pR++V0IOqAIMQ==" saltValue="rHGY5jrDjiv8HAJpekdNtg==" spinCount="100000" sheet="1" objects="1" scenarios="1" formatCells="0" formatColumns="0" formatRows="0" insertColumns="0" insertRows="0" insertHyperlinks="0" deleteColumns="0" deleteRows="0" selectLockedCells="1" sort="0" autoFilter="0" pivotTables="0"/>
  <mergeCells count="3">
    <mergeCell ref="F10:Y29"/>
    <mergeCell ref="B44:AC44"/>
    <mergeCell ref="B43:AC43"/>
  </mergeCells>
  <phoneticPr fontId="3"/>
  <pageMargins left="0.7" right="0.7" top="0.75" bottom="0.75" header="0.3" footer="0.3"/>
  <pageSetup paperSize="9" orientation="portrait" r:id="rId1"/>
  <ignoredErrors>
    <ignoredError sqref="F7:Y7 C10:C29 F32:Y32 AB10:AB29" unlockedFormula="1"/>
  </ignoredErrors>
  <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FDD03-608D-430E-8598-6B20A360F613}">
  <dimension ref="A1:AE156"/>
  <sheetViews>
    <sheetView zoomScale="85" zoomScaleNormal="85" workbookViewId="0">
      <pane xSplit="3" ySplit="9" topLeftCell="N10" activePane="bottomRight" state="frozen"/>
      <selection pane="topRight" activeCell="D1" sqref="D1"/>
      <selection pane="bottomLeft" activeCell="A6" sqref="A6"/>
      <selection pane="bottomRight" activeCell="V15" sqref="V15"/>
    </sheetView>
  </sheetViews>
  <sheetFormatPr defaultColWidth="8.58203125" defaultRowHeight="10" x14ac:dyDescent="0.55000000000000004"/>
  <cols>
    <col min="1" max="1" width="2.58203125" style="10" customWidth="1"/>
    <col min="2" max="2" width="7.5" style="10" bestFit="1" customWidth="1"/>
    <col min="3" max="3" width="3.5" style="10" bestFit="1" customWidth="1"/>
    <col min="4" max="4" width="9.58203125" style="10" customWidth="1"/>
    <col min="5" max="5" width="9.4140625" style="10" bestFit="1" customWidth="1"/>
    <col min="6" max="6" width="11.1640625" style="10" bestFit="1" customWidth="1"/>
    <col min="7" max="8" width="11.58203125" style="10" bestFit="1" customWidth="1"/>
    <col min="9" max="9" width="11.5" style="10" bestFit="1" customWidth="1"/>
    <col min="10" max="11" width="10.4140625" style="10" bestFit="1" customWidth="1"/>
    <col min="12" max="12" width="11" style="10" bestFit="1" customWidth="1"/>
    <col min="13" max="13" width="7.25" style="10" bestFit="1" customWidth="1"/>
    <col min="14" max="14" width="8.83203125" style="10" bestFit="1" customWidth="1"/>
    <col min="15" max="15" width="8.75" style="10" bestFit="1" customWidth="1"/>
    <col min="16" max="16" width="14.1640625" style="10" customWidth="1"/>
    <col min="17" max="17" width="10.4140625" style="10" bestFit="1" customWidth="1"/>
    <col min="18" max="18" width="14.08203125" style="10" customWidth="1"/>
    <col min="19" max="19" width="11" style="10" bestFit="1" customWidth="1"/>
    <col min="20" max="20" width="17.1640625" style="10" bestFit="1" customWidth="1"/>
    <col min="21" max="21" width="16.33203125" style="10" bestFit="1" customWidth="1"/>
    <col min="22" max="22" width="10.33203125" style="10" bestFit="1" customWidth="1"/>
    <col min="23" max="23" width="24.83203125" style="10" bestFit="1" customWidth="1"/>
    <col min="24" max="24" width="24.83203125" style="10" customWidth="1"/>
    <col min="25" max="25" width="7.83203125" style="10" bestFit="1" customWidth="1"/>
    <col min="26" max="26" width="6.83203125" style="10" bestFit="1" customWidth="1"/>
    <col min="27" max="28" width="12.58203125" style="10" customWidth="1"/>
    <col min="29" max="31" width="8.58203125" style="10" customWidth="1"/>
    <col min="32" max="16384" width="8.58203125" style="10"/>
  </cols>
  <sheetData>
    <row r="1" spans="1:31" ht="25" customHeight="1" x14ac:dyDescent="0.55000000000000004">
      <c r="A1" s="9" t="s">
        <v>376</v>
      </c>
      <c r="AC1" s="36"/>
      <c r="AD1" s="36"/>
      <c r="AE1" s="36"/>
    </row>
    <row r="2" spans="1:31" ht="25" customHeight="1" x14ac:dyDescent="0.55000000000000004">
      <c r="A2" s="9"/>
      <c r="AC2" s="36"/>
      <c r="AD2" s="36"/>
      <c r="AE2" s="36"/>
    </row>
    <row r="3" spans="1:31" ht="25" customHeight="1" x14ac:dyDescent="0.55000000000000004">
      <c r="A3" s="9"/>
      <c r="AC3" s="36"/>
      <c r="AD3" s="36"/>
      <c r="AE3" s="36"/>
    </row>
    <row r="4" spans="1:31" ht="25" customHeight="1" x14ac:dyDescent="0.55000000000000004">
      <c r="A4" s="9"/>
      <c r="AC4" s="36"/>
      <c r="AD4" s="36"/>
      <c r="AE4" s="36"/>
    </row>
    <row r="5" spans="1:31" ht="25" customHeight="1" x14ac:dyDescent="0.55000000000000004">
      <c r="A5" s="9"/>
      <c r="AB5" s="11"/>
      <c r="AC5" s="36"/>
      <c r="AD5" s="36"/>
      <c r="AE5" s="37" t="s">
        <v>814</v>
      </c>
    </row>
    <row r="6" spans="1:31" x14ac:dyDescent="0.55000000000000004">
      <c r="B6" s="10" t="s">
        <v>532</v>
      </c>
      <c r="E6" s="10" t="s">
        <v>542</v>
      </c>
      <c r="F6" s="10" t="s">
        <v>542</v>
      </c>
      <c r="G6" s="10" t="s">
        <v>533</v>
      </c>
      <c r="H6" s="10" t="s">
        <v>533</v>
      </c>
      <c r="I6" s="10" t="s">
        <v>542</v>
      </c>
      <c r="J6" s="10" t="s">
        <v>534</v>
      </c>
      <c r="K6" s="10" t="s">
        <v>535</v>
      </c>
      <c r="L6" s="10" t="s">
        <v>536</v>
      </c>
      <c r="M6" s="10" t="s">
        <v>537</v>
      </c>
      <c r="N6" s="10" t="s">
        <v>538</v>
      </c>
      <c r="O6" s="10" t="s">
        <v>539</v>
      </c>
      <c r="P6" s="10" t="s">
        <v>539</v>
      </c>
      <c r="Q6" s="10" t="s">
        <v>535</v>
      </c>
      <c r="R6" s="10" t="s">
        <v>540</v>
      </c>
      <c r="S6" s="10" t="s">
        <v>536</v>
      </c>
      <c r="T6" s="10" t="s">
        <v>541</v>
      </c>
    </row>
    <row r="7" spans="1:31" ht="10.5" customHeight="1" x14ac:dyDescent="0.55000000000000004">
      <c r="B7" s="118" t="s">
        <v>0</v>
      </c>
      <c r="C7" s="118" t="s">
        <v>255</v>
      </c>
      <c r="D7" s="118" t="s">
        <v>383</v>
      </c>
      <c r="E7" s="15"/>
      <c r="F7" s="15"/>
      <c r="G7" s="15"/>
      <c r="H7" s="15"/>
      <c r="I7" s="118" t="s">
        <v>543</v>
      </c>
      <c r="J7" s="118"/>
      <c r="K7" s="118"/>
      <c r="L7" s="15"/>
      <c r="M7" s="15"/>
      <c r="N7" s="15"/>
      <c r="O7" s="15"/>
      <c r="P7" s="15"/>
      <c r="Q7" s="118" t="s">
        <v>343</v>
      </c>
      <c r="R7" s="118"/>
      <c r="S7" s="118"/>
      <c r="T7" s="118" t="s">
        <v>352</v>
      </c>
      <c r="U7" s="136" t="s">
        <v>265</v>
      </c>
      <c r="V7" s="137"/>
      <c r="W7" s="137"/>
      <c r="X7" s="138"/>
      <c r="Y7" s="132" t="s">
        <v>557</v>
      </c>
      <c r="Z7" s="133"/>
      <c r="AA7" s="124" t="s">
        <v>382</v>
      </c>
      <c r="AB7" s="125"/>
    </row>
    <row r="8" spans="1:31" ht="10.5" x14ac:dyDescent="0.55000000000000004">
      <c r="B8" s="118"/>
      <c r="C8" s="118"/>
      <c r="D8" s="118"/>
      <c r="E8" s="15" t="s">
        <v>350</v>
      </c>
      <c r="F8" s="15" t="s">
        <v>2</v>
      </c>
      <c r="G8" s="15" t="s">
        <v>3</v>
      </c>
      <c r="H8" s="15" t="s">
        <v>4</v>
      </c>
      <c r="I8" s="15" t="s">
        <v>5</v>
      </c>
      <c r="J8" s="15" t="s">
        <v>6</v>
      </c>
      <c r="K8" s="15" t="s">
        <v>7</v>
      </c>
      <c r="L8" s="15" t="s">
        <v>8</v>
      </c>
      <c r="M8" s="15" t="s">
        <v>9</v>
      </c>
      <c r="N8" s="15" t="s">
        <v>10</v>
      </c>
      <c r="O8" s="15" t="s">
        <v>11</v>
      </c>
      <c r="P8" s="15" t="s">
        <v>12</v>
      </c>
      <c r="Q8" s="15" t="s">
        <v>344</v>
      </c>
      <c r="R8" s="15" t="s">
        <v>345</v>
      </c>
      <c r="S8" s="15" t="s">
        <v>346</v>
      </c>
      <c r="T8" s="118"/>
      <c r="U8" s="128" t="s">
        <v>266</v>
      </c>
      <c r="V8" s="128" t="s">
        <v>828</v>
      </c>
      <c r="W8" s="130" t="s">
        <v>380</v>
      </c>
      <c r="X8" s="134" t="s">
        <v>829</v>
      </c>
      <c r="Y8" s="121" t="s">
        <v>556</v>
      </c>
      <c r="Z8" s="121" t="s">
        <v>554</v>
      </c>
      <c r="AA8" s="126" t="s">
        <v>812</v>
      </c>
      <c r="AB8" s="126" t="s">
        <v>813</v>
      </c>
    </row>
    <row r="9" spans="1:31" ht="10.5" x14ac:dyDescent="0.55000000000000004">
      <c r="B9" s="118"/>
      <c r="C9" s="118"/>
      <c r="D9" s="118"/>
      <c r="E9" s="15" t="s">
        <v>351</v>
      </c>
      <c r="F9" s="15" t="s">
        <v>13</v>
      </c>
      <c r="G9" s="15" t="s">
        <v>14</v>
      </c>
      <c r="H9" s="15" t="s">
        <v>15</v>
      </c>
      <c r="I9" s="15" t="s">
        <v>16</v>
      </c>
      <c r="J9" s="15" t="s">
        <v>17</v>
      </c>
      <c r="K9" s="15" t="s">
        <v>18</v>
      </c>
      <c r="L9" s="15" t="s">
        <v>19</v>
      </c>
      <c r="M9" s="15" t="s">
        <v>20</v>
      </c>
      <c r="N9" s="15" t="s">
        <v>435</v>
      </c>
      <c r="O9" s="15" t="s">
        <v>22</v>
      </c>
      <c r="P9" s="15" t="s">
        <v>23</v>
      </c>
      <c r="Q9" s="15" t="s">
        <v>349</v>
      </c>
      <c r="R9" s="15" t="s">
        <v>347</v>
      </c>
      <c r="S9" s="15" t="s">
        <v>348</v>
      </c>
      <c r="T9" s="118"/>
      <c r="U9" s="128"/>
      <c r="V9" s="128"/>
      <c r="W9" s="131"/>
      <c r="X9" s="135"/>
      <c r="Y9" s="129"/>
      <c r="Z9" s="129"/>
      <c r="AA9" s="127"/>
      <c r="AB9" s="127"/>
    </row>
    <row r="10" spans="1:31" x14ac:dyDescent="0.2">
      <c r="B10" s="30" t="s">
        <v>24</v>
      </c>
      <c r="C10" s="22">
        <v>1</v>
      </c>
      <c r="D10" s="30" t="s">
        <v>24</v>
      </c>
      <c r="E10" s="22" t="s">
        <v>851</v>
      </c>
      <c r="F10" s="22" t="s">
        <v>852</v>
      </c>
      <c r="G10" s="22" t="s">
        <v>853</v>
      </c>
      <c r="H10" s="22" t="s">
        <v>854</v>
      </c>
      <c r="I10" s="17" t="s">
        <v>269</v>
      </c>
      <c r="J10" s="93" t="s">
        <v>593</v>
      </c>
      <c r="K10" s="93" t="s">
        <v>594</v>
      </c>
      <c r="L10" s="17" t="s">
        <v>269</v>
      </c>
      <c r="M10" s="30" t="s">
        <v>397</v>
      </c>
      <c r="N10" s="17" t="s">
        <v>269</v>
      </c>
      <c r="O10" s="17" t="s">
        <v>269</v>
      </c>
      <c r="P10" s="17" t="s">
        <v>269</v>
      </c>
      <c r="Q10" s="17" t="s">
        <v>269</v>
      </c>
      <c r="R10" s="17" t="s">
        <v>269</v>
      </c>
      <c r="S10" s="93" t="s">
        <v>582</v>
      </c>
      <c r="T10" s="17" t="s">
        <v>269</v>
      </c>
      <c r="U10" s="24"/>
      <c r="V10" s="17" t="s">
        <v>269</v>
      </c>
      <c r="W10" s="38" t="str">
        <f>_xlfn.IFS(AND(COUNTIF(U10,"SCB0*")=1, 'PCH64'!D60&gt;=2), "See the Notice *2", AND(COUNTIF(U10,"SCB7*")=1, 'PCH64'!K60&gt;=2), "See the Notice *2", TRUE, "")</f>
        <v/>
      </c>
      <c r="X10" s="19"/>
      <c r="Y10" s="20" t="s">
        <v>553</v>
      </c>
      <c r="Z10" s="20" t="s">
        <v>257</v>
      </c>
      <c r="AA10" s="19"/>
      <c r="AB10" s="19"/>
    </row>
    <row r="11" spans="1:31" x14ac:dyDescent="0.2">
      <c r="B11" s="30" t="s">
        <v>26</v>
      </c>
      <c r="C11" s="22">
        <v>2</v>
      </c>
      <c r="D11" s="30" t="s">
        <v>26</v>
      </c>
      <c r="E11" s="22" t="s">
        <v>855</v>
      </c>
      <c r="F11" s="22" t="s">
        <v>856</v>
      </c>
      <c r="G11" s="22" t="s">
        <v>857</v>
      </c>
      <c r="H11" s="22" t="s">
        <v>858</v>
      </c>
      <c r="I11" s="17" t="s">
        <v>269</v>
      </c>
      <c r="J11" s="93" t="s">
        <v>595</v>
      </c>
      <c r="K11" s="93" t="s">
        <v>596</v>
      </c>
      <c r="L11" s="17" t="s">
        <v>269</v>
      </c>
      <c r="M11" s="30" t="s">
        <v>27</v>
      </c>
      <c r="N11" s="17" t="s">
        <v>269</v>
      </c>
      <c r="O11" s="17" t="s">
        <v>269</v>
      </c>
      <c r="P11" s="17" t="s">
        <v>269</v>
      </c>
      <c r="Q11" s="17" t="s">
        <v>269</v>
      </c>
      <c r="R11" s="17" t="s">
        <v>269</v>
      </c>
      <c r="S11" s="93" t="s">
        <v>583</v>
      </c>
      <c r="T11" s="17" t="s">
        <v>269</v>
      </c>
      <c r="U11" s="25"/>
      <c r="V11" s="17" t="s">
        <v>269</v>
      </c>
      <c r="W11" s="38" t="str">
        <f>_xlfn.IFS(AND(COUNTIF(U11,"SCB0*")=1, 'PCH64'!D60&gt;=2), "See the Notice *2", AND(COUNTIF(U11,"SCB7*")=1, 'PCH64'!K60&gt;=2), "See the Notice *2", TRUE, "")</f>
        <v/>
      </c>
      <c r="X11" s="19"/>
      <c r="Y11" s="20" t="s">
        <v>267</v>
      </c>
      <c r="Z11" s="20" t="s">
        <v>257</v>
      </c>
      <c r="AA11" s="19"/>
      <c r="AB11" s="19"/>
    </row>
    <row r="12" spans="1:31" x14ac:dyDescent="0.2">
      <c r="B12" s="30" t="s">
        <v>28</v>
      </c>
      <c r="C12" s="22">
        <v>3</v>
      </c>
      <c r="D12" s="30" t="s">
        <v>28</v>
      </c>
      <c r="E12" s="22" t="s">
        <v>859</v>
      </c>
      <c r="F12" s="22" t="s">
        <v>860</v>
      </c>
      <c r="G12" s="22" t="s">
        <v>861</v>
      </c>
      <c r="H12" s="22" t="s">
        <v>862</v>
      </c>
      <c r="I12" s="17" t="s">
        <v>269</v>
      </c>
      <c r="J12" s="93" t="s">
        <v>597</v>
      </c>
      <c r="K12" s="17" t="s">
        <v>269</v>
      </c>
      <c r="L12" s="17" t="s">
        <v>269</v>
      </c>
      <c r="M12" s="30" t="s">
        <v>29</v>
      </c>
      <c r="N12" s="30" t="s">
        <v>408</v>
      </c>
      <c r="O12" s="17" t="s">
        <v>269</v>
      </c>
      <c r="P12" s="17" t="s">
        <v>269</v>
      </c>
      <c r="Q12" s="93" t="s">
        <v>581</v>
      </c>
      <c r="R12" s="17" t="s">
        <v>269</v>
      </c>
      <c r="S12" s="93" t="s">
        <v>584</v>
      </c>
      <c r="T12" s="17" t="s">
        <v>269</v>
      </c>
      <c r="U12" s="25"/>
      <c r="V12" s="17" t="s">
        <v>269</v>
      </c>
      <c r="W12" s="38" t="str">
        <f>_xlfn.IFS(AND(COUNTIF(U12,"SCB*")=1, 'PCH64'!D60&gt;=2), "See the Notice *2", TRUE, "")</f>
        <v/>
      </c>
      <c r="X12" s="19"/>
      <c r="Y12" s="20" t="s">
        <v>267</v>
      </c>
      <c r="Z12" s="20" t="s">
        <v>257</v>
      </c>
      <c r="AA12" s="19"/>
      <c r="AB12" s="19"/>
    </row>
    <row r="13" spans="1:31" x14ac:dyDescent="0.2">
      <c r="B13" s="30" t="s">
        <v>31</v>
      </c>
      <c r="C13" s="22">
        <v>4</v>
      </c>
      <c r="D13" s="30" t="s">
        <v>31</v>
      </c>
      <c r="E13" s="22" t="s">
        <v>863</v>
      </c>
      <c r="F13" s="22" t="s">
        <v>864</v>
      </c>
      <c r="G13" s="22" t="s">
        <v>865</v>
      </c>
      <c r="H13" s="22" t="s">
        <v>866</v>
      </c>
      <c r="I13" s="17" t="s">
        <v>269</v>
      </c>
      <c r="J13" s="93" t="s">
        <v>598</v>
      </c>
      <c r="K13" s="17" t="s">
        <v>269</v>
      </c>
      <c r="L13" s="17" t="s">
        <v>269</v>
      </c>
      <c r="M13" s="17" t="s">
        <v>269</v>
      </c>
      <c r="N13" s="30" t="s">
        <v>32</v>
      </c>
      <c r="O13" s="17" t="s">
        <v>269</v>
      </c>
      <c r="P13" s="17" t="s">
        <v>269</v>
      </c>
      <c r="Q13" s="93" t="s">
        <v>578</v>
      </c>
      <c r="R13" s="17" t="s">
        <v>269</v>
      </c>
      <c r="S13" s="93" t="s">
        <v>585</v>
      </c>
      <c r="T13" s="17" t="s">
        <v>269</v>
      </c>
      <c r="U13" s="25"/>
      <c r="V13" s="17" t="s">
        <v>269</v>
      </c>
      <c r="W13" s="38" t="str">
        <f>_xlfn.IFS(AND(COUNTIF(U13,"SCB*")=1, 'PCH64'!D60&gt;=2), "See the Notice *2", TRUE, "")</f>
        <v/>
      </c>
      <c r="X13" s="19"/>
      <c r="Y13" s="20" t="s">
        <v>267</v>
      </c>
      <c r="Z13" s="20" t="s">
        <v>257</v>
      </c>
      <c r="AA13" s="19"/>
      <c r="AB13" s="19"/>
    </row>
    <row r="14" spans="1:31" x14ac:dyDescent="0.2">
      <c r="B14" s="30" t="s">
        <v>39</v>
      </c>
      <c r="C14" s="22">
        <v>5</v>
      </c>
      <c r="D14" s="30" t="s">
        <v>39</v>
      </c>
      <c r="E14" s="22" t="s">
        <v>883</v>
      </c>
      <c r="F14" s="22" t="s">
        <v>884</v>
      </c>
      <c r="G14" s="22" t="s">
        <v>885</v>
      </c>
      <c r="H14" s="22" t="s">
        <v>886</v>
      </c>
      <c r="I14" s="17" t="s">
        <v>269</v>
      </c>
      <c r="J14" s="93" t="s">
        <v>599</v>
      </c>
      <c r="K14" s="17" t="s">
        <v>269</v>
      </c>
      <c r="L14" s="95" t="s">
        <v>617</v>
      </c>
      <c r="M14" s="30" t="s">
        <v>40</v>
      </c>
      <c r="N14" s="30" t="s">
        <v>410</v>
      </c>
      <c r="O14" s="30" t="s">
        <v>42</v>
      </c>
      <c r="P14" s="17" t="s">
        <v>269</v>
      </c>
      <c r="Q14" s="17" t="s">
        <v>269</v>
      </c>
      <c r="R14" s="30" t="s">
        <v>270</v>
      </c>
      <c r="S14" s="93" t="s">
        <v>590</v>
      </c>
      <c r="T14" s="17" t="s">
        <v>269</v>
      </c>
      <c r="U14" s="25"/>
      <c r="V14" s="17" t="s">
        <v>269</v>
      </c>
      <c r="W14" s="38" t="str">
        <f>_xlfn.IFS(AND(COUNTIF(U14,"SCB0*")=1, 'PCH64'!D60&gt;=2), "See the Notice *2", AND(COUNTIF(U14,"SCB7*")=1, 'PCH64'!K60&gt;=2), "See the Notice *2", TRUE, "")</f>
        <v/>
      </c>
      <c r="X14" s="19"/>
      <c r="Y14" s="20" t="s">
        <v>268</v>
      </c>
      <c r="Z14" s="20" t="s">
        <v>257</v>
      </c>
      <c r="AA14" s="19"/>
      <c r="AB14" s="19"/>
    </row>
    <row r="15" spans="1:31" x14ac:dyDescent="0.2">
      <c r="B15" s="30" t="s">
        <v>43</v>
      </c>
      <c r="C15" s="22">
        <v>6</v>
      </c>
      <c r="D15" s="30" t="s">
        <v>43</v>
      </c>
      <c r="E15" s="22" t="s">
        <v>887</v>
      </c>
      <c r="F15" s="22" t="s">
        <v>888</v>
      </c>
      <c r="G15" s="22" t="s">
        <v>889</v>
      </c>
      <c r="H15" s="22" t="s">
        <v>890</v>
      </c>
      <c r="I15" s="17" t="s">
        <v>269</v>
      </c>
      <c r="J15" s="93" t="s">
        <v>600</v>
      </c>
      <c r="K15" s="96" t="s">
        <v>601</v>
      </c>
      <c r="L15" s="95" t="s">
        <v>618</v>
      </c>
      <c r="M15" s="30" t="s">
        <v>44</v>
      </c>
      <c r="N15" s="30" t="s">
        <v>45</v>
      </c>
      <c r="O15" s="30" t="s">
        <v>46</v>
      </c>
      <c r="P15" s="17" t="s">
        <v>269</v>
      </c>
      <c r="Q15" s="17" t="s">
        <v>269</v>
      </c>
      <c r="R15" s="17" t="s">
        <v>269</v>
      </c>
      <c r="S15" s="93" t="s">
        <v>591</v>
      </c>
      <c r="T15" s="17" t="s">
        <v>269</v>
      </c>
      <c r="U15" s="25"/>
      <c r="V15" s="17" t="s">
        <v>269</v>
      </c>
      <c r="W15" s="38" t="str">
        <f>_xlfn.IFS(AND(COUNTIF(U15,"SCB0*")=1, 'PCH64'!D60&gt;=2), "See the Notice *2", AND(COUNTIF(U15,"SCB7*")=1, 'PCH64'!K60&gt;=2), "See the Notice *2", TRUE, "")</f>
        <v/>
      </c>
      <c r="X15" s="19"/>
      <c r="Y15" s="20" t="s">
        <v>268</v>
      </c>
      <c r="Z15" s="20" t="s">
        <v>257</v>
      </c>
      <c r="AA15" s="19"/>
      <c r="AB15" s="19"/>
    </row>
    <row r="16" spans="1:31" x14ac:dyDescent="0.2">
      <c r="B16" s="30" t="s">
        <v>80</v>
      </c>
      <c r="C16" s="22">
        <v>7</v>
      </c>
      <c r="D16" s="30" t="s">
        <v>80</v>
      </c>
      <c r="E16" s="109" t="s">
        <v>933</v>
      </c>
      <c r="F16" s="109" t="s">
        <v>884</v>
      </c>
      <c r="G16" s="109" t="s">
        <v>934</v>
      </c>
      <c r="H16" s="109" t="s">
        <v>886</v>
      </c>
      <c r="I16" s="17" t="s">
        <v>269</v>
      </c>
      <c r="J16" s="17" t="s">
        <v>269</v>
      </c>
      <c r="K16" s="17" t="s">
        <v>269</v>
      </c>
      <c r="L16" s="95" t="s">
        <v>634</v>
      </c>
      <c r="M16" s="30" t="s">
        <v>81</v>
      </c>
      <c r="N16" s="17" t="s">
        <v>269</v>
      </c>
      <c r="O16" s="17" t="s">
        <v>269</v>
      </c>
      <c r="P16" s="17" t="s">
        <v>269</v>
      </c>
      <c r="Q16" s="17" t="s">
        <v>269</v>
      </c>
      <c r="R16" s="17" t="s">
        <v>269</v>
      </c>
      <c r="S16" s="17" t="s">
        <v>269</v>
      </c>
      <c r="T16" s="17" t="s">
        <v>269</v>
      </c>
      <c r="U16" s="24"/>
      <c r="V16" s="17" t="s">
        <v>269</v>
      </c>
      <c r="W16" s="38" t="str">
        <f>_xlfn.IFS(AND(COUNTIF(U16,"SCB*")=1, 'PCH64'!I60&gt;=2), "See the Notice *2", TRUE, "")</f>
        <v/>
      </c>
      <c r="X16" s="19"/>
      <c r="Y16" s="20" t="s">
        <v>268</v>
      </c>
      <c r="Z16" s="20" t="s">
        <v>257</v>
      </c>
      <c r="AA16" s="19"/>
      <c r="AB16" s="19"/>
    </row>
    <row r="17" spans="2:28" x14ac:dyDescent="0.2">
      <c r="B17" s="30" t="s">
        <v>82</v>
      </c>
      <c r="C17" s="22">
        <v>8</v>
      </c>
      <c r="D17" s="30" t="s">
        <v>82</v>
      </c>
      <c r="E17" s="109" t="s">
        <v>875</v>
      </c>
      <c r="F17" s="109" t="s">
        <v>935</v>
      </c>
      <c r="G17" s="109" t="s">
        <v>877</v>
      </c>
      <c r="H17" s="109" t="s">
        <v>936</v>
      </c>
      <c r="I17" s="17" t="s">
        <v>269</v>
      </c>
      <c r="J17" s="17" t="s">
        <v>269</v>
      </c>
      <c r="K17" s="17" t="s">
        <v>269</v>
      </c>
      <c r="L17" s="17" t="s">
        <v>269</v>
      </c>
      <c r="M17" s="30" t="s">
        <v>83</v>
      </c>
      <c r="N17" s="17" t="s">
        <v>269</v>
      </c>
      <c r="O17" s="17" t="s">
        <v>269</v>
      </c>
      <c r="P17" s="17" t="s">
        <v>269</v>
      </c>
      <c r="Q17" s="17" t="s">
        <v>269</v>
      </c>
      <c r="R17" s="17" t="s">
        <v>269</v>
      </c>
      <c r="S17" s="17" t="s">
        <v>269</v>
      </c>
      <c r="T17" s="17" t="s">
        <v>269</v>
      </c>
      <c r="U17" s="24"/>
      <c r="V17" s="17" t="s">
        <v>269</v>
      </c>
      <c r="W17" s="38"/>
      <c r="X17" s="19"/>
      <c r="Y17" s="20" t="s">
        <v>268</v>
      </c>
      <c r="Z17" s="20" t="s">
        <v>257</v>
      </c>
      <c r="AA17" s="19"/>
      <c r="AB17" s="19"/>
    </row>
    <row r="18" spans="2:28" x14ac:dyDescent="0.2">
      <c r="B18" s="30" t="s">
        <v>92</v>
      </c>
      <c r="C18" s="22">
        <v>9</v>
      </c>
      <c r="D18" s="30" t="s">
        <v>92</v>
      </c>
      <c r="E18" s="109" t="s">
        <v>927</v>
      </c>
      <c r="F18" s="109" t="s">
        <v>864</v>
      </c>
      <c r="G18" s="109" t="s">
        <v>929</v>
      </c>
      <c r="H18" s="109" t="s">
        <v>866</v>
      </c>
      <c r="I18" s="17" t="s">
        <v>269</v>
      </c>
      <c r="J18" s="93" t="s">
        <v>635</v>
      </c>
      <c r="K18" s="17" t="s">
        <v>269</v>
      </c>
      <c r="L18" s="93" t="s">
        <v>636</v>
      </c>
      <c r="M18" s="30" t="s">
        <v>93</v>
      </c>
      <c r="N18" s="17" t="s">
        <v>269</v>
      </c>
      <c r="O18" s="17" t="s">
        <v>269</v>
      </c>
      <c r="P18" s="17" t="s">
        <v>269</v>
      </c>
      <c r="Q18" s="17" t="s">
        <v>269</v>
      </c>
      <c r="R18" s="17" t="s">
        <v>269</v>
      </c>
      <c r="S18" s="17" t="s">
        <v>269</v>
      </c>
      <c r="T18" s="30" t="s">
        <v>498</v>
      </c>
      <c r="U18" s="25"/>
      <c r="V18" s="17" t="s">
        <v>269</v>
      </c>
      <c r="W18" s="38" t="str">
        <f>_xlfn.IFS(AND(COUNTIF(U18,"SCB*")=1, 'PCH64'!H60&gt;=2), "See the Notice *2", TRUE, "")</f>
        <v/>
      </c>
      <c r="X18" s="19"/>
      <c r="Y18" s="20" t="s">
        <v>268</v>
      </c>
      <c r="Z18" s="20" t="s">
        <v>257</v>
      </c>
      <c r="AA18" s="19"/>
      <c r="AB18" s="19"/>
    </row>
    <row r="19" spans="2:28" x14ac:dyDescent="0.2">
      <c r="B19" s="30" t="s">
        <v>94</v>
      </c>
      <c r="C19" s="22">
        <v>10</v>
      </c>
      <c r="D19" s="30" t="s">
        <v>94</v>
      </c>
      <c r="E19" s="109" t="s">
        <v>911</v>
      </c>
      <c r="F19" s="109" t="s">
        <v>931</v>
      </c>
      <c r="G19" s="109" t="s">
        <v>913</v>
      </c>
      <c r="H19" s="109" t="s">
        <v>932</v>
      </c>
      <c r="I19" s="17" t="s">
        <v>269</v>
      </c>
      <c r="J19" s="93" t="s">
        <v>637</v>
      </c>
      <c r="K19" s="93" t="s">
        <v>638</v>
      </c>
      <c r="L19" s="93" t="s">
        <v>639</v>
      </c>
      <c r="M19" s="30" t="s">
        <v>95</v>
      </c>
      <c r="N19" s="17" t="s">
        <v>269</v>
      </c>
      <c r="O19" s="17" t="s">
        <v>269</v>
      </c>
      <c r="P19" s="17" t="s">
        <v>269</v>
      </c>
      <c r="Q19" s="17" t="s">
        <v>269</v>
      </c>
      <c r="R19" s="17" t="s">
        <v>269</v>
      </c>
      <c r="S19" s="17" t="s">
        <v>269</v>
      </c>
      <c r="T19" s="30" t="s">
        <v>272</v>
      </c>
      <c r="U19" s="25"/>
      <c r="V19" s="17" t="s">
        <v>269</v>
      </c>
      <c r="W19" s="38" t="str">
        <f>_xlfn.IFS(AND(COUNTIF(U19,"SCB*")=1, 'PCH64'!H60&gt;=2), "See the Notice *2", TRUE, "")</f>
        <v/>
      </c>
      <c r="X19" s="19"/>
      <c r="Y19" s="20" t="s">
        <v>268</v>
      </c>
      <c r="Z19" s="20" t="s">
        <v>257</v>
      </c>
      <c r="AA19" s="19"/>
      <c r="AB19" s="19"/>
    </row>
    <row r="20" spans="2:28" x14ac:dyDescent="0.2">
      <c r="B20" s="30" t="s">
        <v>96</v>
      </c>
      <c r="C20" s="22">
        <v>11</v>
      </c>
      <c r="D20" s="30" t="s">
        <v>96</v>
      </c>
      <c r="E20" s="109" t="s">
        <v>923</v>
      </c>
      <c r="F20" s="109" t="s">
        <v>916</v>
      </c>
      <c r="G20" s="109" t="s">
        <v>925</v>
      </c>
      <c r="H20" s="109" t="s">
        <v>918</v>
      </c>
      <c r="I20" s="17" t="s">
        <v>269</v>
      </c>
      <c r="J20" s="93" t="s">
        <v>640</v>
      </c>
      <c r="K20" s="93" t="s">
        <v>641</v>
      </c>
      <c r="L20" s="93" t="s">
        <v>642</v>
      </c>
      <c r="M20" s="30" t="s">
        <v>97</v>
      </c>
      <c r="N20" s="30" t="s">
        <v>98</v>
      </c>
      <c r="O20" s="17" t="s">
        <v>269</v>
      </c>
      <c r="P20" s="17" t="s">
        <v>269</v>
      </c>
      <c r="Q20" s="17" t="s">
        <v>269</v>
      </c>
      <c r="R20" s="17" t="s">
        <v>269</v>
      </c>
      <c r="S20" s="17" t="s">
        <v>269</v>
      </c>
      <c r="T20" s="30" t="s">
        <v>273</v>
      </c>
      <c r="U20" s="25"/>
      <c r="V20" s="17" t="s">
        <v>269</v>
      </c>
      <c r="W20" s="38" t="str">
        <f>_xlfn.IFS(AND(COUNTIF(U20,"SCB*")=1, 'PCH64'!H60&gt;=2), "See the Notice *2", TRUE, "")</f>
        <v/>
      </c>
      <c r="X20" s="19"/>
      <c r="Y20" s="20" t="s">
        <v>268</v>
      </c>
      <c r="Z20" s="20" t="s">
        <v>257</v>
      </c>
      <c r="AA20" s="19"/>
      <c r="AB20" s="19"/>
    </row>
    <row r="21" spans="2:28" x14ac:dyDescent="0.2">
      <c r="B21" s="30" t="s">
        <v>99</v>
      </c>
      <c r="C21" s="22">
        <v>12</v>
      </c>
      <c r="D21" s="30" t="s">
        <v>99</v>
      </c>
      <c r="E21" s="109" t="s">
        <v>907</v>
      </c>
      <c r="F21" s="109" t="s">
        <v>928</v>
      </c>
      <c r="G21" s="109" t="s">
        <v>909</v>
      </c>
      <c r="H21" s="109" t="s">
        <v>930</v>
      </c>
      <c r="I21" s="17" t="s">
        <v>269</v>
      </c>
      <c r="J21" s="93" t="s">
        <v>643</v>
      </c>
      <c r="K21" s="17" t="s">
        <v>269</v>
      </c>
      <c r="L21" s="93" t="s">
        <v>644</v>
      </c>
      <c r="M21" s="30" t="s">
        <v>100</v>
      </c>
      <c r="N21" s="30" t="s">
        <v>101</v>
      </c>
      <c r="O21" s="17" t="s">
        <v>269</v>
      </c>
      <c r="P21" s="30" t="s">
        <v>102</v>
      </c>
      <c r="Q21" s="17" t="s">
        <v>269</v>
      </c>
      <c r="R21" s="17" t="s">
        <v>269</v>
      </c>
      <c r="S21" s="17" t="s">
        <v>269</v>
      </c>
      <c r="T21" s="30" t="s">
        <v>274</v>
      </c>
      <c r="U21" s="25"/>
      <c r="V21" s="17" t="s">
        <v>269</v>
      </c>
      <c r="W21" s="38" t="str">
        <f>_xlfn.IFS(AND(COUNTIF(U21,"SCB*")=1, 'PCH64'!H60&gt;=2), "See the Notice *2", TRUE, "")</f>
        <v/>
      </c>
      <c r="X21" s="19"/>
      <c r="Y21" s="20" t="s">
        <v>268</v>
      </c>
      <c r="Z21" s="20" t="s">
        <v>257</v>
      </c>
      <c r="AA21" s="19"/>
      <c r="AB21" s="19"/>
    </row>
    <row r="22" spans="2:28" x14ac:dyDescent="0.2">
      <c r="B22" s="30" t="s">
        <v>103</v>
      </c>
      <c r="C22" s="22">
        <v>13</v>
      </c>
      <c r="D22" s="30" t="s">
        <v>103</v>
      </c>
      <c r="E22" s="109" t="s">
        <v>919</v>
      </c>
      <c r="F22" s="109" t="s">
        <v>912</v>
      </c>
      <c r="G22" s="109" t="s">
        <v>921</v>
      </c>
      <c r="H22" s="109" t="s">
        <v>914</v>
      </c>
      <c r="I22" s="17" t="s">
        <v>269</v>
      </c>
      <c r="J22" s="17" t="s">
        <v>269</v>
      </c>
      <c r="K22" s="17" t="s">
        <v>269</v>
      </c>
      <c r="L22" s="93" t="s">
        <v>645</v>
      </c>
      <c r="M22" s="30" t="s">
        <v>104</v>
      </c>
      <c r="N22" s="17" t="s">
        <v>269</v>
      </c>
      <c r="O22" s="17" t="s">
        <v>269</v>
      </c>
      <c r="P22" s="17" t="s">
        <v>269</v>
      </c>
      <c r="Q22" s="17" t="s">
        <v>269</v>
      </c>
      <c r="R22" s="17" t="s">
        <v>269</v>
      </c>
      <c r="S22" s="17" t="s">
        <v>269</v>
      </c>
      <c r="T22" s="30" t="s">
        <v>275</v>
      </c>
      <c r="U22" s="25"/>
      <c r="V22" s="17" t="s">
        <v>269</v>
      </c>
      <c r="W22" s="38" t="str">
        <f>_xlfn.IFS(AND(COUNTIF(U22,"SCB*")=1, 'PCH64'!H60&gt;=2), "See the Notice *2", TRUE, "")</f>
        <v/>
      </c>
      <c r="X22" s="19"/>
      <c r="Y22" s="20" t="s">
        <v>268</v>
      </c>
      <c r="Z22" s="20" t="s">
        <v>257</v>
      </c>
      <c r="AA22" s="19"/>
      <c r="AB22" s="19"/>
    </row>
    <row r="23" spans="2:28" x14ac:dyDescent="0.2">
      <c r="B23" s="30" t="s">
        <v>105</v>
      </c>
      <c r="C23" s="22">
        <v>14</v>
      </c>
      <c r="D23" s="30" t="s">
        <v>105</v>
      </c>
      <c r="E23" s="109" t="s">
        <v>903</v>
      </c>
      <c r="F23" s="109" t="s">
        <v>924</v>
      </c>
      <c r="G23" s="109" t="s">
        <v>905</v>
      </c>
      <c r="H23" s="109" t="s">
        <v>926</v>
      </c>
      <c r="I23" s="17" t="s">
        <v>269</v>
      </c>
      <c r="J23" s="17" t="s">
        <v>269</v>
      </c>
      <c r="K23" s="17" t="s">
        <v>269</v>
      </c>
      <c r="L23" s="93" t="s">
        <v>646</v>
      </c>
      <c r="M23" s="30" t="s">
        <v>106</v>
      </c>
      <c r="N23" s="17" t="s">
        <v>269</v>
      </c>
      <c r="O23" s="17" t="s">
        <v>269</v>
      </c>
      <c r="P23" s="17" t="s">
        <v>269</v>
      </c>
      <c r="Q23" s="17" t="s">
        <v>269</v>
      </c>
      <c r="R23" s="17" t="s">
        <v>269</v>
      </c>
      <c r="S23" s="17" t="s">
        <v>269</v>
      </c>
      <c r="T23" s="30" t="s">
        <v>276</v>
      </c>
      <c r="U23" s="25"/>
      <c r="V23" s="17" t="s">
        <v>269</v>
      </c>
      <c r="W23" s="38" t="str">
        <f>_xlfn.IFS(AND(COUNTIF(U23,"SCB*")=1, 'PCH64'!H60&gt;=2), "See the Notice *2", TRUE, "")</f>
        <v/>
      </c>
      <c r="X23" s="19"/>
      <c r="Y23" s="20" t="s">
        <v>268</v>
      </c>
      <c r="Z23" s="20" t="s">
        <v>257</v>
      </c>
      <c r="AA23" s="19"/>
      <c r="AB23" s="19"/>
    </row>
    <row r="24" spans="2:28" x14ac:dyDescent="0.2">
      <c r="B24" s="30" t="s">
        <v>107</v>
      </c>
      <c r="C24" s="22">
        <v>15</v>
      </c>
      <c r="D24" s="30" t="s">
        <v>107</v>
      </c>
      <c r="E24" s="109" t="s">
        <v>915</v>
      </c>
      <c r="F24" s="109" t="s">
        <v>908</v>
      </c>
      <c r="G24" s="109" t="s">
        <v>917</v>
      </c>
      <c r="H24" s="109" t="s">
        <v>910</v>
      </c>
      <c r="I24" s="17" t="s">
        <v>269</v>
      </c>
      <c r="J24" s="17" t="s">
        <v>269</v>
      </c>
      <c r="K24" s="17" t="s">
        <v>269</v>
      </c>
      <c r="L24" s="93" t="s">
        <v>647</v>
      </c>
      <c r="M24" s="17" t="s">
        <v>269</v>
      </c>
      <c r="N24" s="17" t="s">
        <v>269</v>
      </c>
      <c r="O24" s="30" t="s">
        <v>108</v>
      </c>
      <c r="P24" s="17" t="s">
        <v>269</v>
      </c>
      <c r="Q24" s="17" t="s">
        <v>269</v>
      </c>
      <c r="R24" s="17" t="s">
        <v>269</v>
      </c>
      <c r="S24" s="17" t="s">
        <v>269</v>
      </c>
      <c r="T24" s="30" t="s">
        <v>277</v>
      </c>
      <c r="U24" s="24"/>
      <c r="V24" s="17" t="s">
        <v>269</v>
      </c>
      <c r="W24" s="38" t="str">
        <f>_xlfn.IFS(AND(COUNTIF(U24,"SCB*")=1, 'PCH64'!H60&gt;=2), "See the Notice *2", TRUE, "")</f>
        <v/>
      </c>
      <c r="X24" s="19"/>
      <c r="Y24" s="20" t="s">
        <v>268</v>
      </c>
      <c r="Z24" s="20" t="s">
        <v>257</v>
      </c>
      <c r="AA24" s="19"/>
      <c r="AB24" s="19"/>
    </row>
    <row r="25" spans="2:28" x14ac:dyDescent="0.2">
      <c r="B25" s="28" t="s">
        <v>257</v>
      </c>
      <c r="C25" s="17">
        <v>16</v>
      </c>
      <c r="D25" s="17" t="s">
        <v>269</v>
      </c>
      <c r="E25" s="17" t="s">
        <v>269</v>
      </c>
      <c r="F25" s="17" t="s">
        <v>269</v>
      </c>
      <c r="G25" s="17" t="s">
        <v>269</v>
      </c>
      <c r="H25" s="17" t="s">
        <v>269</v>
      </c>
      <c r="I25" s="17" t="s">
        <v>269</v>
      </c>
      <c r="J25" s="17" t="s">
        <v>269</v>
      </c>
      <c r="K25" s="17" t="s">
        <v>269</v>
      </c>
      <c r="L25" s="17" t="s">
        <v>269</v>
      </c>
      <c r="M25" s="17" t="s">
        <v>269</v>
      </c>
      <c r="N25" s="17" t="s">
        <v>269</v>
      </c>
      <c r="O25" s="17" t="s">
        <v>269</v>
      </c>
      <c r="P25" s="17" t="s">
        <v>269</v>
      </c>
      <c r="Q25" s="17" t="s">
        <v>269</v>
      </c>
      <c r="R25" s="17" t="s">
        <v>269</v>
      </c>
      <c r="S25" s="17" t="s">
        <v>269</v>
      </c>
      <c r="T25" s="17" t="s">
        <v>269</v>
      </c>
      <c r="U25" s="28" t="s">
        <v>257</v>
      </c>
      <c r="V25" s="17" t="s">
        <v>269</v>
      </c>
      <c r="W25" s="38"/>
      <c r="X25" s="19" t="s">
        <v>544</v>
      </c>
      <c r="Y25" s="20" t="s">
        <v>555</v>
      </c>
      <c r="Z25" s="20" t="s">
        <v>555</v>
      </c>
      <c r="AA25" s="19"/>
      <c r="AB25" s="19"/>
    </row>
    <row r="26" spans="2:28" x14ac:dyDescent="0.2">
      <c r="B26" s="16" t="s">
        <v>256</v>
      </c>
      <c r="C26" s="17">
        <v>17</v>
      </c>
      <c r="D26" s="17" t="s">
        <v>269</v>
      </c>
      <c r="E26" s="17" t="s">
        <v>269</v>
      </c>
      <c r="F26" s="17" t="s">
        <v>269</v>
      </c>
      <c r="G26" s="17" t="s">
        <v>269</v>
      </c>
      <c r="H26" s="17" t="s">
        <v>269</v>
      </c>
      <c r="I26" s="17" t="s">
        <v>269</v>
      </c>
      <c r="J26" s="17" t="s">
        <v>269</v>
      </c>
      <c r="K26" s="17" t="s">
        <v>269</v>
      </c>
      <c r="L26" s="17" t="s">
        <v>269</v>
      </c>
      <c r="M26" s="17" t="s">
        <v>269</v>
      </c>
      <c r="N26" s="17" t="s">
        <v>269</v>
      </c>
      <c r="O26" s="17" t="s">
        <v>269</v>
      </c>
      <c r="P26" s="17" t="s">
        <v>269</v>
      </c>
      <c r="Q26" s="17" t="s">
        <v>269</v>
      </c>
      <c r="R26" s="17" t="s">
        <v>269</v>
      </c>
      <c r="S26" s="17" t="s">
        <v>269</v>
      </c>
      <c r="T26" s="17" t="s">
        <v>269</v>
      </c>
      <c r="U26" s="16" t="s">
        <v>256</v>
      </c>
      <c r="V26" s="17" t="s">
        <v>269</v>
      </c>
      <c r="W26" s="38"/>
      <c r="X26" s="19" t="s">
        <v>545</v>
      </c>
      <c r="Y26" s="20" t="s">
        <v>555</v>
      </c>
      <c r="Z26" s="20" t="s">
        <v>555</v>
      </c>
      <c r="AA26" s="19"/>
      <c r="AB26" s="19"/>
    </row>
    <row r="27" spans="2:28" x14ac:dyDescent="0.2">
      <c r="B27" s="30" t="s">
        <v>111</v>
      </c>
      <c r="C27" s="22">
        <v>18</v>
      </c>
      <c r="D27" s="30" t="s">
        <v>111</v>
      </c>
      <c r="E27" s="109" t="s">
        <v>937</v>
      </c>
      <c r="F27" s="109" t="s">
        <v>904</v>
      </c>
      <c r="G27" s="109" t="s">
        <v>938</v>
      </c>
      <c r="H27" s="109" t="s">
        <v>906</v>
      </c>
      <c r="I27" s="17" t="s">
        <v>269</v>
      </c>
      <c r="J27" s="93" t="s">
        <v>648</v>
      </c>
      <c r="K27" s="17" t="s">
        <v>269</v>
      </c>
      <c r="L27" s="93" t="s">
        <v>649</v>
      </c>
      <c r="M27" s="30" t="s">
        <v>100</v>
      </c>
      <c r="N27" s="17" t="s">
        <v>269</v>
      </c>
      <c r="O27" s="17" t="s">
        <v>269</v>
      </c>
      <c r="P27" s="17" t="s">
        <v>269</v>
      </c>
      <c r="Q27" s="17" t="s">
        <v>269</v>
      </c>
      <c r="R27" s="17" t="s">
        <v>269</v>
      </c>
      <c r="S27" s="17" t="s">
        <v>269</v>
      </c>
      <c r="T27" s="30" t="s">
        <v>279</v>
      </c>
      <c r="U27" s="24"/>
      <c r="V27" s="17" t="s">
        <v>269</v>
      </c>
      <c r="W27" s="38" t="str">
        <f>_xlfn.IFS(AND(COUNTIF(U27,"SCB*")=1, 'PCH64'!I60&gt;=2), "See the Notice *2", TRUE, "")</f>
        <v/>
      </c>
      <c r="X27" s="19"/>
      <c r="Y27" s="20" t="s">
        <v>268</v>
      </c>
      <c r="Z27" s="20" t="s">
        <v>257</v>
      </c>
      <c r="AA27" s="19"/>
      <c r="AB27" s="19"/>
    </row>
    <row r="28" spans="2:28" x14ac:dyDescent="0.2">
      <c r="B28" s="30" t="s">
        <v>112</v>
      </c>
      <c r="C28" s="22">
        <v>19</v>
      </c>
      <c r="D28" s="30" t="s">
        <v>112</v>
      </c>
      <c r="E28" s="109" t="s">
        <v>939</v>
      </c>
      <c r="F28" s="109" t="s">
        <v>940</v>
      </c>
      <c r="G28" s="109" t="s">
        <v>941</v>
      </c>
      <c r="H28" s="109" t="s">
        <v>942</v>
      </c>
      <c r="I28" s="17" t="s">
        <v>269</v>
      </c>
      <c r="J28" s="93" t="s">
        <v>650</v>
      </c>
      <c r="K28" s="93" t="s">
        <v>651</v>
      </c>
      <c r="L28" s="93" t="s">
        <v>652</v>
      </c>
      <c r="M28" s="30" t="s">
        <v>104</v>
      </c>
      <c r="N28" s="17" t="s">
        <v>269</v>
      </c>
      <c r="O28" s="17" t="s">
        <v>269</v>
      </c>
      <c r="P28" s="17" t="s">
        <v>269</v>
      </c>
      <c r="Q28" s="17" t="s">
        <v>269</v>
      </c>
      <c r="R28" s="17" t="s">
        <v>269</v>
      </c>
      <c r="S28" s="17" t="s">
        <v>269</v>
      </c>
      <c r="T28" s="30" t="s">
        <v>280</v>
      </c>
      <c r="U28" s="24"/>
      <c r="V28" s="17" t="s">
        <v>269</v>
      </c>
      <c r="W28" s="38" t="str">
        <f>_xlfn.IFS(AND(COUNTIF(U28,"SCB*")=1, 'PCH64'!I60&gt;=2), "See the Notice *2", TRUE, "")</f>
        <v/>
      </c>
      <c r="X28" s="19"/>
      <c r="Y28" s="20" t="s">
        <v>268</v>
      </c>
      <c r="Z28" s="20" t="s">
        <v>257</v>
      </c>
      <c r="AA28" s="19"/>
      <c r="AB28" s="19"/>
    </row>
    <row r="29" spans="2:28" x14ac:dyDescent="0.2">
      <c r="B29" s="30" t="s">
        <v>113</v>
      </c>
      <c r="C29" s="22">
        <v>20</v>
      </c>
      <c r="D29" s="30" t="s">
        <v>113</v>
      </c>
      <c r="E29" s="109" t="s">
        <v>943</v>
      </c>
      <c r="F29" s="109" t="s">
        <v>944</v>
      </c>
      <c r="G29" s="109" t="s">
        <v>945</v>
      </c>
      <c r="H29" s="109" t="s">
        <v>946</v>
      </c>
      <c r="I29" s="17" t="s">
        <v>269</v>
      </c>
      <c r="J29" s="93" t="s">
        <v>653</v>
      </c>
      <c r="K29" s="93" t="s">
        <v>654</v>
      </c>
      <c r="L29" s="93" t="s">
        <v>655</v>
      </c>
      <c r="M29" s="30" t="s">
        <v>106</v>
      </c>
      <c r="N29" s="17" t="s">
        <v>269</v>
      </c>
      <c r="O29" s="17" t="s">
        <v>269</v>
      </c>
      <c r="P29" s="17" t="s">
        <v>269</v>
      </c>
      <c r="Q29" s="17" t="s">
        <v>269</v>
      </c>
      <c r="R29" s="17" t="s">
        <v>269</v>
      </c>
      <c r="S29" s="17" t="s">
        <v>269</v>
      </c>
      <c r="T29" s="30" t="s">
        <v>281</v>
      </c>
      <c r="U29" s="24"/>
      <c r="V29" s="17" t="s">
        <v>269</v>
      </c>
      <c r="W29" s="38" t="str">
        <f>_xlfn.IFS(AND(COUNTIF(U29,"SCB*")=1, 'PCH64'!I60&gt;=2), "See the Notice *2", TRUE, "")</f>
        <v/>
      </c>
      <c r="X29" s="19"/>
      <c r="Y29" s="20" t="s">
        <v>268</v>
      </c>
      <c r="Z29" s="20" t="s">
        <v>257</v>
      </c>
      <c r="AA29" s="19"/>
      <c r="AB29" s="19"/>
    </row>
    <row r="30" spans="2:28" x14ac:dyDescent="0.2">
      <c r="B30" s="30" t="s">
        <v>121</v>
      </c>
      <c r="C30" s="22">
        <v>21</v>
      </c>
      <c r="D30" s="30" t="s">
        <v>121</v>
      </c>
      <c r="E30" s="109" t="s">
        <v>961</v>
      </c>
      <c r="F30" s="109" t="s">
        <v>856</v>
      </c>
      <c r="G30" s="109" t="s">
        <v>962</v>
      </c>
      <c r="H30" s="109" t="s">
        <v>858</v>
      </c>
      <c r="I30" s="17" t="s">
        <v>269</v>
      </c>
      <c r="J30" s="17" t="s">
        <v>269</v>
      </c>
      <c r="K30" s="17" t="s">
        <v>269</v>
      </c>
      <c r="L30" s="17" t="s">
        <v>269</v>
      </c>
      <c r="M30" s="30" t="s">
        <v>87</v>
      </c>
      <c r="N30" s="30" t="s">
        <v>41</v>
      </c>
      <c r="O30" s="17" t="s">
        <v>269</v>
      </c>
      <c r="P30" s="17" t="s">
        <v>269</v>
      </c>
      <c r="Q30" s="17" t="s">
        <v>269</v>
      </c>
      <c r="R30" s="17" t="s">
        <v>269</v>
      </c>
      <c r="S30" s="17" t="s">
        <v>269</v>
      </c>
      <c r="T30" s="17" t="s">
        <v>269</v>
      </c>
      <c r="U30" s="25"/>
      <c r="V30" s="17" t="s">
        <v>269</v>
      </c>
      <c r="W30" s="38"/>
      <c r="X30" s="19"/>
      <c r="Y30" s="20" t="s">
        <v>268</v>
      </c>
      <c r="Z30" s="20" t="s">
        <v>257</v>
      </c>
      <c r="AA30" s="19"/>
      <c r="AB30" s="19"/>
    </row>
    <row r="31" spans="2:28" x14ac:dyDescent="0.2">
      <c r="B31" s="30" t="s">
        <v>122</v>
      </c>
      <c r="C31" s="22">
        <v>22</v>
      </c>
      <c r="D31" s="30" t="s">
        <v>122</v>
      </c>
      <c r="E31" s="109" t="s">
        <v>963</v>
      </c>
      <c r="F31" s="109" t="s">
        <v>964</v>
      </c>
      <c r="G31" s="109" t="s">
        <v>965</v>
      </c>
      <c r="H31" s="109" t="s">
        <v>966</v>
      </c>
      <c r="I31" s="17" t="s">
        <v>269</v>
      </c>
      <c r="J31" s="17" t="s">
        <v>269</v>
      </c>
      <c r="K31" s="17" t="s">
        <v>269</v>
      </c>
      <c r="L31" s="17" t="s">
        <v>269</v>
      </c>
      <c r="M31" s="30" t="s">
        <v>89</v>
      </c>
      <c r="N31" s="30" t="s">
        <v>45</v>
      </c>
      <c r="O31" s="30" t="s">
        <v>123</v>
      </c>
      <c r="P31" s="17" t="s">
        <v>269</v>
      </c>
      <c r="Q31" s="17" t="s">
        <v>269</v>
      </c>
      <c r="R31" s="17" t="s">
        <v>269</v>
      </c>
      <c r="S31" s="17" t="s">
        <v>269</v>
      </c>
      <c r="T31" s="30" t="s">
        <v>287</v>
      </c>
      <c r="U31" s="25"/>
      <c r="V31" s="17" t="s">
        <v>269</v>
      </c>
      <c r="W31" s="38"/>
      <c r="X31" s="19"/>
      <c r="Y31" s="20" t="s">
        <v>268</v>
      </c>
      <c r="Z31" s="20" t="s">
        <v>257</v>
      </c>
      <c r="AA31" s="19"/>
      <c r="AB31" s="19"/>
    </row>
    <row r="32" spans="2:28" x14ac:dyDescent="0.2">
      <c r="B32" s="30" t="s">
        <v>564</v>
      </c>
      <c r="C32" s="22">
        <v>23</v>
      </c>
      <c r="D32" s="30" t="s">
        <v>562</v>
      </c>
      <c r="E32" s="17" t="s">
        <v>269</v>
      </c>
      <c r="F32" s="17" t="s">
        <v>269</v>
      </c>
      <c r="G32" s="17" t="s">
        <v>269</v>
      </c>
      <c r="H32" s="17" t="s">
        <v>269</v>
      </c>
      <c r="I32" s="17" t="s">
        <v>269</v>
      </c>
      <c r="J32" s="17" t="s">
        <v>269</v>
      </c>
      <c r="K32" s="17" t="s">
        <v>269</v>
      </c>
      <c r="L32" s="17" t="s">
        <v>269</v>
      </c>
      <c r="M32" s="17" t="s">
        <v>269</v>
      </c>
      <c r="N32" s="17" t="s">
        <v>269</v>
      </c>
      <c r="O32" s="17" t="s">
        <v>269</v>
      </c>
      <c r="P32" s="17" t="s">
        <v>269</v>
      </c>
      <c r="Q32" s="17" t="s">
        <v>269</v>
      </c>
      <c r="R32" s="17" t="s">
        <v>269</v>
      </c>
      <c r="S32" s="17" t="s">
        <v>269</v>
      </c>
      <c r="T32" s="30" t="s">
        <v>417</v>
      </c>
      <c r="U32" s="25"/>
      <c r="V32" s="17" t="s">
        <v>269</v>
      </c>
      <c r="W32" s="38"/>
      <c r="X32" s="19"/>
      <c r="Y32" s="20" t="s">
        <v>268</v>
      </c>
      <c r="Z32" s="20" t="s">
        <v>363</v>
      </c>
      <c r="AA32" s="19"/>
      <c r="AB32" s="19"/>
    </row>
    <row r="33" spans="2:28" x14ac:dyDescent="0.2">
      <c r="B33" s="30" t="s">
        <v>565</v>
      </c>
      <c r="C33" s="22">
        <v>24</v>
      </c>
      <c r="D33" s="30" t="s">
        <v>776</v>
      </c>
      <c r="E33" s="17" t="s">
        <v>269</v>
      </c>
      <c r="F33" s="17" t="s">
        <v>269</v>
      </c>
      <c r="G33" s="17" t="s">
        <v>269</v>
      </c>
      <c r="H33" s="17" t="s">
        <v>269</v>
      </c>
      <c r="I33" s="17" t="s">
        <v>269</v>
      </c>
      <c r="J33" s="17" t="s">
        <v>269</v>
      </c>
      <c r="K33" s="17" t="s">
        <v>269</v>
      </c>
      <c r="L33" s="17" t="s">
        <v>269</v>
      </c>
      <c r="M33" s="17" t="s">
        <v>269</v>
      </c>
      <c r="N33" s="17" t="s">
        <v>269</v>
      </c>
      <c r="O33" s="17" t="s">
        <v>269</v>
      </c>
      <c r="P33" s="17" t="s">
        <v>269</v>
      </c>
      <c r="Q33" s="17" t="s">
        <v>269</v>
      </c>
      <c r="R33" s="17" t="s">
        <v>269</v>
      </c>
      <c r="S33" s="17" t="s">
        <v>269</v>
      </c>
      <c r="T33" s="30" t="s">
        <v>300</v>
      </c>
      <c r="U33" s="25"/>
      <c r="V33" s="17" t="s">
        <v>269</v>
      </c>
      <c r="W33" s="38"/>
      <c r="X33" s="19"/>
      <c r="Y33" s="20" t="s">
        <v>268</v>
      </c>
      <c r="Z33" s="20" t="s">
        <v>363</v>
      </c>
      <c r="AA33" s="19"/>
      <c r="AB33" s="19"/>
    </row>
    <row r="34" spans="2:28" x14ac:dyDescent="0.2">
      <c r="B34" s="30" t="s">
        <v>566</v>
      </c>
      <c r="C34" s="22">
        <v>25</v>
      </c>
      <c r="D34" s="30" t="s">
        <v>777</v>
      </c>
      <c r="E34" s="17" t="s">
        <v>269</v>
      </c>
      <c r="F34" s="17" t="s">
        <v>269</v>
      </c>
      <c r="G34" s="17" t="s">
        <v>269</v>
      </c>
      <c r="H34" s="17" t="s">
        <v>269</v>
      </c>
      <c r="I34" s="17" t="s">
        <v>269</v>
      </c>
      <c r="J34" s="17" t="s">
        <v>269</v>
      </c>
      <c r="K34" s="17" t="s">
        <v>269</v>
      </c>
      <c r="L34" s="17" t="s">
        <v>269</v>
      </c>
      <c r="M34" s="17" t="s">
        <v>269</v>
      </c>
      <c r="N34" s="17" t="s">
        <v>269</v>
      </c>
      <c r="O34" s="17" t="s">
        <v>269</v>
      </c>
      <c r="P34" s="17" t="s">
        <v>269</v>
      </c>
      <c r="Q34" s="17" t="s">
        <v>269</v>
      </c>
      <c r="R34" s="17" t="s">
        <v>269</v>
      </c>
      <c r="S34" s="17" t="s">
        <v>269</v>
      </c>
      <c r="T34" s="30" t="s">
        <v>301</v>
      </c>
      <c r="U34" s="25"/>
      <c r="V34" s="17" t="s">
        <v>269</v>
      </c>
      <c r="W34" s="38"/>
      <c r="X34" s="19"/>
      <c r="Y34" s="20" t="s">
        <v>268</v>
      </c>
      <c r="Z34" s="20" t="s">
        <v>363</v>
      </c>
      <c r="AA34" s="19"/>
      <c r="AB34" s="19"/>
    </row>
    <row r="35" spans="2:28" x14ac:dyDescent="0.2">
      <c r="B35" s="31" t="s">
        <v>260</v>
      </c>
      <c r="C35" s="17">
        <v>26</v>
      </c>
      <c r="D35" s="17" t="s">
        <v>269</v>
      </c>
      <c r="E35" s="17" t="s">
        <v>269</v>
      </c>
      <c r="F35" s="17" t="s">
        <v>269</v>
      </c>
      <c r="G35" s="17" t="s">
        <v>269</v>
      </c>
      <c r="H35" s="17" t="s">
        <v>269</v>
      </c>
      <c r="I35" s="17" t="s">
        <v>269</v>
      </c>
      <c r="J35" s="17" t="s">
        <v>269</v>
      </c>
      <c r="K35" s="17" t="s">
        <v>269</v>
      </c>
      <c r="L35" s="17" t="s">
        <v>269</v>
      </c>
      <c r="M35" s="17" t="s">
        <v>269</v>
      </c>
      <c r="N35" s="17" t="s">
        <v>269</v>
      </c>
      <c r="O35" s="17" t="s">
        <v>269</v>
      </c>
      <c r="P35" s="17" t="s">
        <v>269</v>
      </c>
      <c r="Q35" s="17" t="s">
        <v>269</v>
      </c>
      <c r="R35" s="17" t="s">
        <v>269</v>
      </c>
      <c r="S35" s="17" t="s">
        <v>269</v>
      </c>
      <c r="T35" s="17" t="s">
        <v>269</v>
      </c>
      <c r="U35" s="31" t="s">
        <v>260</v>
      </c>
      <c r="V35" s="17" t="s">
        <v>269</v>
      </c>
      <c r="W35" s="38"/>
      <c r="X35" s="19" t="s">
        <v>548</v>
      </c>
      <c r="Y35" s="20" t="s">
        <v>555</v>
      </c>
      <c r="Z35" s="20" t="s">
        <v>555</v>
      </c>
      <c r="AA35" s="19"/>
      <c r="AB35" s="19"/>
    </row>
    <row r="36" spans="2:28" x14ac:dyDescent="0.2">
      <c r="B36" s="16" t="s">
        <v>261</v>
      </c>
      <c r="C36" s="17">
        <v>27</v>
      </c>
      <c r="D36" s="17" t="s">
        <v>269</v>
      </c>
      <c r="E36" s="17" t="s">
        <v>269</v>
      </c>
      <c r="F36" s="17" t="s">
        <v>269</v>
      </c>
      <c r="G36" s="17" t="s">
        <v>269</v>
      </c>
      <c r="H36" s="17" t="s">
        <v>269</v>
      </c>
      <c r="I36" s="17" t="s">
        <v>269</v>
      </c>
      <c r="J36" s="17" t="s">
        <v>269</v>
      </c>
      <c r="K36" s="17" t="s">
        <v>269</v>
      </c>
      <c r="L36" s="17" t="s">
        <v>269</v>
      </c>
      <c r="M36" s="17" t="s">
        <v>269</v>
      </c>
      <c r="N36" s="17" t="s">
        <v>269</v>
      </c>
      <c r="O36" s="17" t="s">
        <v>269</v>
      </c>
      <c r="P36" s="17" t="s">
        <v>269</v>
      </c>
      <c r="Q36" s="17" t="s">
        <v>269</v>
      </c>
      <c r="R36" s="17" t="s">
        <v>269</v>
      </c>
      <c r="S36" s="17" t="s">
        <v>269</v>
      </c>
      <c r="T36" s="17" t="s">
        <v>269</v>
      </c>
      <c r="U36" s="16" t="s">
        <v>261</v>
      </c>
      <c r="V36" s="17" t="s">
        <v>269</v>
      </c>
      <c r="W36" s="38"/>
      <c r="X36" s="19" t="s">
        <v>550</v>
      </c>
      <c r="Y36" s="20" t="s">
        <v>555</v>
      </c>
      <c r="Z36" s="20" t="s">
        <v>555</v>
      </c>
      <c r="AA36" s="19"/>
      <c r="AB36" s="19"/>
    </row>
    <row r="37" spans="2:28" x14ac:dyDescent="0.2">
      <c r="B37" s="28" t="s">
        <v>262</v>
      </c>
      <c r="C37" s="17">
        <v>28</v>
      </c>
      <c r="D37" s="17" t="s">
        <v>269</v>
      </c>
      <c r="E37" s="17" t="s">
        <v>269</v>
      </c>
      <c r="F37" s="17" t="s">
        <v>269</v>
      </c>
      <c r="G37" s="17" t="s">
        <v>269</v>
      </c>
      <c r="H37" s="17" t="s">
        <v>269</v>
      </c>
      <c r="I37" s="17" t="s">
        <v>269</v>
      </c>
      <c r="J37" s="17" t="s">
        <v>269</v>
      </c>
      <c r="K37" s="17" t="s">
        <v>269</v>
      </c>
      <c r="L37" s="17" t="s">
        <v>269</v>
      </c>
      <c r="M37" s="17" t="s">
        <v>269</v>
      </c>
      <c r="N37" s="17" t="s">
        <v>269</v>
      </c>
      <c r="O37" s="17" t="s">
        <v>269</v>
      </c>
      <c r="P37" s="17" t="s">
        <v>269</v>
      </c>
      <c r="Q37" s="17" t="s">
        <v>269</v>
      </c>
      <c r="R37" s="17" t="s">
        <v>269</v>
      </c>
      <c r="S37" s="17" t="s">
        <v>269</v>
      </c>
      <c r="T37" s="17" t="s">
        <v>269</v>
      </c>
      <c r="U37" s="28" t="s">
        <v>262</v>
      </c>
      <c r="V37" s="17" t="s">
        <v>269</v>
      </c>
      <c r="W37" s="38"/>
      <c r="X37" s="19" t="s">
        <v>551</v>
      </c>
      <c r="Y37" s="20" t="s">
        <v>555</v>
      </c>
      <c r="Z37" s="20" t="s">
        <v>555</v>
      </c>
      <c r="AA37" s="19"/>
      <c r="AB37" s="19"/>
    </row>
    <row r="38" spans="2:28" x14ac:dyDescent="0.2">
      <c r="B38" s="31" t="s">
        <v>263</v>
      </c>
      <c r="C38" s="17">
        <v>29</v>
      </c>
      <c r="D38" s="17" t="s">
        <v>269</v>
      </c>
      <c r="E38" s="17" t="s">
        <v>269</v>
      </c>
      <c r="F38" s="17" t="s">
        <v>269</v>
      </c>
      <c r="G38" s="17" t="s">
        <v>269</v>
      </c>
      <c r="H38" s="17" t="s">
        <v>269</v>
      </c>
      <c r="I38" s="17" t="s">
        <v>269</v>
      </c>
      <c r="J38" s="17" t="s">
        <v>269</v>
      </c>
      <c r="K38" s="17" t="s">
        <v>269</v>
      </c>
      <c r="L38" s="17" t="s">
        <v>269</v>
      </c>
      <c r="M38" s="17" t="s">
        <v>269</v>
      </c>
      <c r="N38" s="17" t="s">
        <v>269</v>
      </c>
      <c r="O38" s="17" t="s">
        <v>269</v>
      </c>
      <c r="P38" s="17" t="s">
        <v>269</v>
      </c>
      <c r="Q38" s="17" t="s">
        <v>269</v>
      </c>
      <c r="R38" s="17" t="s">
        <v>269</v>
      </c>
      <c r="S38" s="17" t="s">
        <v>269</v>
      </c>
      <c r="T38" s="17" t="s">
        <v>269</v>
      </c>
      <c r="U38" s="31" t="s">
        <v>263</v>
      </c>
      <c r="V38" s="17" t="s">
        <v>269</v>
      </c>
      <c r="W38" s="38"/>
      <c r="X38" s="19" t="s">
        <v>549</v>
      </c>
      <c r="Y38" s="20" t="s">
        <v>555</v>
      </c>
      <c r="Z38" s="20" t="s">
        <v>555</v>
      </c>
      <c r="AA38" s="19"/>
      <c r="AB38" s="19"/>
    </row>
    <row r="39" spans="2:28" x14ac:dyDescent="0.2">
      <c r="B39" s="30" t="s">
        <v>142</v>
      </c>
      <c r="C39" s="22">
        <v>30</v>
      </c>
      <c r="D39" s="30" t="s">
        <v>142</v>
      </c>
      <c r="E39" s="109" t="s">
        <v>1025</v>
      </c>
      <c r="F39" s="109" t="s">
        <v>1026</v>
      </c>
      <c r="G39" s="109" t="s">
        <v>1027</v>
      </c>
      <c r="H39" s="109" t="s">
        <v>1028</v>
      </c>
      <c r="I39" s="17" t="s">
        <v>269</v>
      </c>
      <c r="J39" s="17" t="s">
        <v>269</v>
      </c>
      <c r="K39" s="17" t="s">
        <v>269</v>
      </c>
      <c r="L39" s="17" t="s">
        <v>269</v>
      </c>
      <c r="M39" s="17" t="s">
        <v>269</v>
      </c>
      <c r="N39" s="30" t="s">
        <v>98</v>
      </c>
      <c r="O39" s="30" t="s">
        <v>143</v>
      </c>
      <c r="P39" s="17" t="s">
        <v>269</v>
      </c>
      <c r="Q39" s="17" t="s">
        <v>269</v>
      </c>
      <c r="R39" s="17" t="s">
        <v>269</v>
      </c>
      <c r="S39" s="17" t="s">
        <v>269</v>
      </c>
      <c r="T39" s="30" t="s">
        <v>302</v>
      </c>
      <c r="U39" s="25"/>
      <c r="V39" s="33"/>
      <c r="W39" s="38"/>
      <c r="X39" s="19"/>
      <c r="Y39" s="20" t="s">
        <v>268</v>
      </c>
      <c r="Z39" s="20" t="s">
        <v>363</v>
      </c>
      <c r="AA39" s="19"/>
      <c r="AB39" s="19"/>
    </row>
    <row r="40" spans="2:28" x14ac:dyDescent="0.2">
      <c r="B40" s="30" t="s">
        <v>144</v>
      </c>
      <c r="C40" s="22">
        <v>31</v>
      </c>
      <c r="D40" s="30" t="s">
        <v>144</v>
      </c>
      <c r="E40" s="109" t="s">
        <v>1029</v>
      </c>
      <c r="F40" s="109" t="s">
        <v>1030</v>
      </c>
      <c r="G40" s="109" t="s">
        <v>1031</v>
      </c>
      <c r="H40" s="109" t="s">
        <v>1032</v>
      </c>
      <c r="I40" s="17" t="s">
        <v>269</v>
      </c>
      <c r="J40" s="17" t="s">
        <v>269</v>
      </c>
      <c r="K40" s="17" t="s">
        <v>269</v>
      </c>
      <c r="L40" s="17" t="s">
        <v>269</v>
      </c>
      <c r="M40" s="30" t="s">
        <v>145</v>
      </c>
      <c r="N40" s="30" t="s">
        <v>101</v>
      </c>
      <c r="O40" s="30" t="s">
        <v>146</v>
      </c>
      <c r="P40" s="17" t="s">
        <v>269</v>
      </c>
      <c r="Q40" s="17" t="s">
        <v>269</v>
      </c>
      <c r="R40" s="17" t="s">
        <v>269</v>
      </c>
      <c r="S40" s="17" t="s">
        <v>269</v>
      </c>
      <c r="T40" s="30" t="s">
        <v>303</v>
      </c>
      <c r="U40" s="25"/>
      <c r="V40" s="33"/>
      <c r="W40" s="38"/>
      <c r="X40" s="19"/>
      <c r="Y40" s="20" t="s">
        <v>268</v>
      </c>
      <c r="Z40" s="20" t="s">
        <v>363</v>
      </c>
      <c r="AA40" s="19"/>
      <c r="AB40" s="19"/>
    </row>
    <row r="41" spans="2:28" x14ac:dyDescent="0.2">
      <c r="B41" s="28" t="s">
        <v>363</v>
      </c>
      <c r="C41" s="17">
        <v>32</v>
      </c>
      <c r="D41" s="17" t="s">
        <v>269</v>
      </c>
      <c r="E41" s="17" t="s">
        <v>269</v>
      </c>
      <c r="F41" s="17" t="s">
        <v>269</v>
      </c>
      <c r="G41" s="17" t="s">
        <v>269</v>
      </c>
      <c r="H41" s="17" t="s">
        <v>269</v>
      </c>
      <c r="I41" s="17" t="s">
        <v>269</v>
      </c>
      <c r="J41" s="17" t="s">
        <v>269</v>
      </c>
      <c r="K41" s="17" t="s">
        <v>269</v>
      </c>
      <c r="L41" s="17" t="s">
        <v>269</v>
      </c>
      <c r="M41" s="17" t="s">
        <v>269</v>
      </c>
      <c r="N41" s="17" t="s">
        <v>269</v>
      </c>
      <c r="O41" s="17" t="s">
        <v>269</v>
      </c>
      <c r="P41" s="17" t="s">
        <v>269</v>
      </c>
      <c r="Q41" s="17" t="s">
        <v>269</v>
      </c>
      <c r="R41" s="17" t="s">
        <v>269</v>
      </c>
      <c r="S41" s="17" t="s">
        <v>269</v>
      </c>
      <c r="T41" s="17" t="s">
        <v>269</v>
      </c>
      <c r="U41" s="28" t="s">
        <v>363</v>
      </c>
      <c r="V41" s="17" t="s">
        <v>269</v>
      </c>
      <c r="W41" s="38"/>
      <c r="X41" s="19" t="s">
        <v>546</v>
      </c>
      <c r="Y41" s="20" t="s">
        <v>555</v>
      </c>
      <c r="Z41" s="20" t="s">
        <v>555</v>
      </c>
      <c r="AA41" s="19"/>
      <c r="AB41" s="19"/>
    </row>
    <row r="42" spans="2:28" x14ac:dyDescent="0.2">
      <c r="B42" s="16" t="s">
        <v>256</v>
      </c>
      <c r="C42" s="17">
        <v>33</v>
      </c>
      <c r="D42" s="17" t="s">
        <v>269</v>
      </c>
      <c r="E42" s="17" t="s">
        <v>269</v>
      </c>
      <c r="F42" s="17" t="s">
        <v>269</v>
      </c>
      <c r="G42" s="17" t="s">
        <v>269</v>
      </c>
      <c r="H42" s="17" t="s">
        <v>269</v>
      </c>
      <c r="I42" s="17" t="s">
        <v>269</v>
      </c>
      <c r="J42" s="17" t="s">
        <v>269</v>
      </c>
      <c r="K42" s="17" t="s">
        <v>269</v>
      </c>
      <c r="L42" s="17" t="s">
        <v>269</v>
      </c>
      <c r="M42" s="17" t="s">
        <v>269</v>
      </c>
      <c r="N42" s="17" t="s">
        <v>269</v>
      </c>
      <c r="O42" s="17" t="s">
        <v>269</v>
      </c>
      <c r="P42" s="17" t="s">
        <v>269</v>
      </c>
      <c r="Q42" s="17" t="s">
        <v>269</v>
      </c>
      <c r="R42" s="17" t="s">
        <v>269</v>
      </c>
      <c r="S42" s="17" t="s">
        <v>269</v>
      </c>
      <c r="T42" s="17" t="s">
        <v>269</v>
      </c>
      <c r="U42" s="16" t="s">
        <v>256</v>
      </c>
      <c r="V42" s="17" t="s">
        <v>269</v>
      </c>
      <c r="W42" s="38"/>
      <c r="X42" s="19" t="s">
        <v>545</v>
      </c>
      <c r="Y42" s="20" t="s">
        <v>555</v>
      </c>
      <c r="Z42" s="20" t="s">
        <v>555</v>
      </c>
      <c r="AA42" s="19"/>
      <c r="AB42" s="19"/>
    </row>
    <row r="43" spans="2:28" x14ac:dyDescent="0.2">
      <c r="B43" s="30" t="s">
        <v>159</v>
      </c>
      <c r="C43" s="22">
        <v>34</v>
      </c>
      <c r="D43" s="30" t="s">
        <v>159</v>
      </c>
      <c r="E43" s="109" t="s">
        <v>1057</v>
      </c>
      <c r="F43" s="109" t="s">
        <v>1058</v>
      </c>
      <c r="G43" s="109" t="s">
        <v>1059</v>
      </c>
      <c r="H43" s="110" t="s">
        <v>1060</v>
      </c>
      <c r="I43" s="30" t="s">
        <v>160</v>
      </c>
      <c r="J43" s="93" t="s">
        <v>672</v>
      </c>
      <c r="K43" s="17" t="s">
        <v>269</v>
      </c>
      <c r="L43" s="93" t="s">
        <v>673</v>
      </c>
      <c r="M43" s="17" t="s">
        <v>269</v>
      </c>
      <c r="N43" s="17" t="s">
        <v>269</v>
      </c>
      <c r="O43" s="17" t="s">
        <v>269</v>
      </c>
      <c r="P43" s="17" t="s">
        <v>269</v>
      </c>
      <c r="Q43" s="17" t="s">
        <v>269</v>
      </c>
      <c r="R43" s="17" t="s">
        <v>269</v>
      </c>
      <c r="S43" s="17" t="s">
        <v>269</v>
      </c>
      <c r="T43" s="30" t="s">
        <v>310</v>
      </c>
      <c r="U43" s="24"/>
      <c r="V43" s="33"/>
      <c r="W43" s="38" t="str">
        <f>_xlfn.IFS(AND(COUNTIF(U43,"SCB*")=1, 'PCH64'!G60&gt;=2), "See the Notice *2", TRUE, "")</f>
        <v/>
      </c>
      <c r="X43" s="19"/>
      <c r="Y43" s="20" t="s">
        <v>268</v>
      </c>
      <c r="Z43" s="20" t="s">
        <v>363</v>
      </c>
      <c r="AA43" s="19"/>
      <c r="AB43" s="19"/>
    </row>
    <row r="44" spans="2:28" x14ac:dyDescent="0.2">
      <c r="B44" s="30" t="s">
        <v>161</v>
      </c>
      <c r="C44" s="22">
        <v>35</v>
      </c>
      <c r="D44" s="30" t="s">
        <v>161</v>
      </c>
      <c r="E44" s="109" t="s">
        <v>1061</v>
      </c>
      <c r="F44" s="109" t="s">
        <v>1062</v>
      </c>
      <c r="G44" s="109" t="s">
        <v>1063</v>
      </c>
      <c r="H44" s="110" t="s">
        <v>1064</v>
      </c>
      <c r="I44" s="30" t="s">
        <v>162</v>
      </c>
      <c r="J44" s="93" t="s">
        <v>674</v>
      </c>
      <c r="K44" s="93" t="s">
        <v>675</v>
      </c>
      <c r="L44" s="93" t="s">
        <v>676</v>
      </c>
      <c r="M44" s="17" t="s">
        <v>269</v>
      </c>
      <c r="N44" s="17" t="s">
        <v>269</v>
      </c>
      <c r="O44" s="17" t="s">
        <v>269</v>
      </c>
      <c r="P44" s="17" t="s">
        <v>269</v>
      </c>
      <c r="Q44" s="17" t="s">
        <v>269</v>
      </c>
      <c r="R44" s="17" t="s">
        <v>269</v>
      </c>
      <c r="S44" s="17" t="s">
        <v>269</v>
      </c>
      <c r="T44" s="30" t="s">
        <v>311</v>
      </c>
      <c r="U44" s="25"/>
      <c r="V44" s="33"/>
      <c r="W44" s="38" t="str">
        <f>_xlfn.IFS(AND(COUNTIF(U44,"SCB*")=1, 'PCH64'!G60&gt;=2), "See the Notice *2", TRUE, "")</f>
        <v/>
      </c>
      <c r="X44" s="19"/>
      <c r="Y44" s="20" t="s">
        <v>268</v>
      </c>
      <c r="Z44" s="20" t="s">
        <v>363</v>
      </c>
      <c r="AA44" s="19"/>
      <c r="AB44" s="19"/>
    </row>
    <row r="45" spans="2:28" x14ac:dyDescent="0.2">
      <c r="B45" s="30" t="s">
        <v>163</v>
      </c>
      <c r="C45" s="22">
        <v>36</v>
      </c>
      <c r="D45" s="30" t="s">
        <v>163</v>
      </c>
      <c r="E45" s="109" t="s">
        <v>1065</v>
      </c>
      <c r="F45" s="109" t="s">
        <v>1066</v>
      </c>
      <c r="G45" s="109" t="s">
        <v>1067</v>
      </c>
      <c r="H45" s="110" t="s">
        <v>1068</v>
      </c>
      <c r="I45" s="30" t="s">
        <v>164</v>
      </c>
      <c r="J45" s="93" t="s">
        <v>677</v>
      </c>
      <c r="K45" s="93" t="s">
        <v>678</v>
      </c>
      <c r="L45" s="93" t="s">
        <v>679</v>
      </c>
      <c r="M45" s="17" t="s">
        <v>269</v>
      </c>
      <c r="N45" s="17" t="s">
        <v>269</v>
      </c>
      <c r="O45" s="17" t="s">
        <v>269</v>
      </c>
      <c r="P45" s="17" t="s">
        <v>269</v>
      </c>
      <c r="Q45" s="17" t="s">
        <v>269</v>
      </c>
      <c r="R45" s="17" t="s">
        <v>269</v>
      </c>
      <c r="S45" s="17" t="s">
        <v>269</v>
      </c>
      <c r="T45" s="30" t="s">
        <v>312</v>
      </c>
      <c r="U45" s="25"/>
      <c r="V45" s="33"/>
      <c r="W45" s="38" t="str">
        <f>_xlfn.IFS(AND(COUNTIF(U45,"SCB*")=1, 'PCH64'!G60&gt;=2), "See the Notice *2", TRUE, "")</f>
        <v/>
      </c>
      <c r="X45" s="19"/>
      <c r="Y45" s="20" t="s">
        <v>268</v>
      </c>
      <c r="Z45" s="20" t="s">
        <v>363</v>
      </c>
      <c r="AA45" s="19"/>
      <c r="AB45" s="19"/>
    </row>
    <row r="46" spans="2:28" x14ac:dyDescent="0.2">
      <c r="B46" s="30" t="s">
        <v>165</v>
      </c>
      <c r="C46" s="22">
        <v>37</v>
      </c>
      <c r="D46" s="30" t="s">
        <v>165</v>
      </c>
      <c r="E46" s="109" t="s">
        <v>1069</v>
      </c>
      <c r="F46" s="109" t="s">
        <v>1070</v>
      </c>
      <c r="G46" s="109" t="s">
        <v>1071</v>
      </c>
      <c r="H46" s="110" t="s">
        <v>1072</v>
      </c>
      <c r="I46" s="30" t="s">
        <v>166</v>
      </c>
      <c r="J46" s="93" t="s">
        <v>680</v>
      </c>
      <c r="K46" s="17" t="s">
        <v>269</v>
      </c>
      <c r="L46" s="93" t="s">
        <v>681</v>
      </c>
      <c r="M46" s="17" t="s">
        <v>269</v>
      </c>
      <c r="N46" s="17" t="s">
        <v>269</v>
      </c>
      <c r="O46" s="17" t="s">
        <v>269</v>
      </c>
      <c r="P46" s="17" t="s">
        <v>269</v>
      </c>
      <c r="Q46" s="17" t="s">
        <v>269</v>
      </c>
      <c r="R46" s="17" t="s">
        <v>269</v>
      </c>
      <c r="S46" s="17" t="s">
        <v>269</v>
      </c>
      <c r="T46" s="30" t="s">
        <v>313</v>
      </c>
      <c r="U46" s="25"/>
      <c r="V46" s="33"/>
      <c r="W46" s="38" t="str">
        <f>_xlfn.IFS(AND(COUNTIF(U46,"SCB*")=1, 'PCH64'!G60&gt;=2), "See the Notice *2", TRUE, "")</f>
        <v/>
      </c>
      <c r="X46" s="19"/>
      <c r="Y46" s="20" t="s">
        <v>268</v>
      </c>
      <c r="Z46" s="20" t="s">
        <v>363</v>
      </c>
      <c r="AA46" s="19"/>
      <c r="AB46" s="19"/>
    </row>
    <row r="47" spans="2:28" x14ac:dyDescent="0.2">
      <c r="B47" s="30" t="s">
        <v>173</v>
      </c>
      <c r="C47" s="22">
        <v>38</v>
      </c>
      <c r="D47" s="30" t="s">
        <v>173</v>
      </c>
      <c r="E47" s="109" t="s">
        <v>1089</v>
      </c>
      <c r="F47" s="109" t="s">
        <v>1090</v>
      </c>
      <c r="G47" s="109" t="s">
        <v>1091</v>
      </c>
      <c r="H47" s="109" t="s">
        <v>1092</v>
      </c>
      <c r="I47" s="17" t="s">
        <v>269</v>
      </c>
      <c r="J47" s="93" t="s">
        <v>685</v>
      </c>
      <c r="K47" s="17" t="s">
        <v>269</v>
      </c>
      <c r="L47" s="93" t="s">
        <v>686</v>
      </c>
      <c r="M47" s="17" t="s">
        <v>269</v>
      </c>
      <c r="N47" s="30" t="s">
        <v>174</v>
      </c>
      <c r="O47" s="17" t="s">
        <v>269</v>
      </c>
      <c r="P47" s="17" t="s">
        <v>269</v>
      </c>
      <c r="Q47" s="17" t="s">
        <v>269</v>
      </c>
      <c r="R47" s="17" t="s">
        <v>269</v>
      </c>
      <c r="S47" s="17" t="s">
        <v>269</v>
      </c>
      <c r="T47" s="30" t="s">
        <v>318</v>
      </c>
      <c r="U47" s="25"/>
      <c r="V47" s="33"/>
      <c r="W47" s="38" t="str">
        <f>_xlfn.IFS(AND(COUNTIF(U47,"SCB*")=1, 'PCH64'!F60&gt;=2), "See the Notice *2", TRUE, "")</f>
        <v/>
      </c>
      <c r="X47" s="19"/>
      <c r="Y47" s="20" t="s">
        <v>268</v>
      </c>
      <c r="Z47" s="20" t="s">
        <v>363</v>
      </c>
      <c r="AA47" s="19"/>
      <c r="AB47" s="19"/>
    </row>
    <row r="48" spans="2:28" x14ac:dyDescent="0.2">
      <c r="B48" s="30" t="s">
        <v>175</v>
      </c>
      <c r="C48" s="22">
        <v>39</v>
      </c>
      <c r="D48" s="30" t="s">
        <v>175</v>
      </c>
      <c r="E48" s="109" t="s">
        <v>1093</v>
      </c>
      <c r="F48" s="109" t="s">
        <v>1094</v>
      </c>
      <c r="G48" s="109" t="s">
        <v>1095</v>
      </c>
      <c r="H48" s="109" t="s">
        <v>1096</v>
      </c>
      <c r="I48" s="17" t="s">
        <v>269</v>
      </c>
      <c r="J48" s="93" t="s">
        <v>687</v>
      </c>
      <c r="K48" s="93" t="s">
        <v>688</v>
      </c>
      <c r="L48" s="93" t="s">
        <v>689</v>
      </c>
      <c r="M48" s="17" t="s">
        <v>269</v>
      </c>
      <c r="N48" s="30" t="s">
        <v>176</v>
      </c>
      <c r="O48" s="17" t="s">
        <v>269</v>
      </c>
      <c r="P48" s="17" t="s">
        <v>269</v>
      </c>
      <c r="Q48" s="17" t="s">
        <v>269</v>
      </c>
      <c r="R48" s="17" t="s">
        <v>269</v>
      </c>
      <c r="S48" s="17" t="s">
        <v>269</v>
      </c>
      <c r="T48" s="30" t="s">
        <v>319</v>
      </c>
      <c r="U48" s="24"/>
      <c r="V48" s="33"/>
      <c r="W48" s="38" t="str">
        <f>_xlfn.IFS(AND(COUNTIF(U48,"SCB*")=1, 'PCH64'!F60&gt;=2), "See the Notice *2", TRUE, "")</f>
        <v/>
      </c>
      <c r="X48" s="19"/>
      <c r="Y48" s="20" t="s">
        <v>268</v>
      </c>
      <c r="Z48" s="20" t="s">
        <v>363</v>
      </c>
      <c r="AA48" s="19"/>
      <c r="AB48" s="19"/>
    </row>
    <row r="49" spans="2:28" x14ac:dyDescent="0.2">
      <c r="B49" s="30" t="s">
        <v>177</v>
      </c>
      <c r="C49" s="22">
        <v>40</v>
      </c>
      <c r="D49" s="30" t="s">
        <v>177</v>
      </c>
      <c r="E49" s="109" t="s">
        <v>1097</v>
      </c>
      <c r="F49" s="109" t="s">
        <v>1098</v>
      </c>
      <c r="G49" s="109" t="s">
        <v>1099</v>
      </c>
      <c r="H49" s="109" t="s">
        <v>1100</v>
      </c>
      <c r="I49" s="17" t="s">
        <v>269</v>
      </c>
      <c r="J49" s="93" t="s">
        <v>690</v>
      </c>
      <c r="K49" s="93" t="s">
        <v>691</v>
      </c>
      <c r="L49" s="93" t="s">
        <v>692</v>
      </c>
      <c r="M49" s="30" t="s">
        <v>149</v>
      </c>
      <c r="N49" s="17" t="s">
        <v>269</v>
      </c>
      <c r="O49" s="17" t="s">
        <v>269</v>
      </c>
      <c r="P49" s="17" t="s">
        <v>269</v>
      </c>
      <c r="Q49" s="17" t="s">
        <v>269</v>
      </c>
      <c r="R49" s="17" t="s">
        <v>269</v>
      </c>
      <c r="S49" s="17" t="s">
        <v>269</v>
      </c>
      <c r="T49" s="30" t="s">
        <v>320</v>
      </c>
      <c r="U49" s="24"/>
      <c r="V49" s="33"/>
      <c r="W49" s="38" t="str">
        <f>_xlfn.IFS(AND(COUNTIF(U49,"SCB*")=1, 'PCH64'!F60&gt;=2), "See the Notice *2", TRUE, "")</f>
        <v/>
      </c>
      <c r="X49" s="19"/>
      <c r="Y49" s="20" t="s">
        <v>268</v>
      </c>
      <c r="Z49" s="20" t="s">
        <v>363</v>
      </c>
      <c r="AA49" s="19"/>
      <c r="AB49" s="19"/>
    </row>
    <row r="50" spans="2:28" x14ac:dyDescent="0.2">
      <c r="B50" s="30" t="s">
        <v>205</v>
      </c>
      <c r="C50" s="22">
        <v>41</v>
      </c>
      <c r="D50" s="30" t="s">
        <v>205</v>
      </c>
      <c r="E50" s="111" t="s">
        <v>951</v>
      </c>
      <c r="F50" s="111" t="s">
        <v>948</v>
      </c>
      <c r="G50" s="111" t="s">
        <v>953</v>
      </c>
      <c r="H50" s="112" t="s">
        <v>950</v>
      </c>
      <c r="I50" s="113" t="s">
        <v>1151</v>
      </c>
      <c r="J50" s="93" t="s">
        <v>709</v>
      </c>
      <c r="K50" s="17" t="s">
        <v>269</v>
      </c>
      <c r="L50" s="93" t="s">
        <v>710</v>
      </c>
      <c r="M50" s="17" t="s">
        <v>269</v>
      </c>
      <c r="N50" s="17" t="s">
        <v>269</v>
      </c>
      <c r="O50" s="17" t="s">
        <v>269</v>
      </c>
      <c r="P50" s="30" t="s">
        <v>206</v>
      </c>
      <c r="Q50" s="17" t="s">
        <v>269</v>
      </c>
      <c r="R50" s="17" t="s">
        <v>269</v>
      </c>
      <c r="S50" s="17" t="s">
        <v>269</v>
      </c>
      <c r="T50" s="30" t="s">
        <v>330</v>
      </c>
      <c r="U50" s="24"/>
      <c r="V50" s="17" t="s">
        <v>269</v>
      </c>
      <c r="W50" s="38" t="str">
        <f>_xlfn.IFS(AND(COUNTIF(U50,"SCB*")=1, 'PCH64'!E60&gt;=2), "See the Notice *2", TRUE, "")</f>
        <v/>
      </c>
      <c r="X50" s="19"/>
      <c r="Y50" s="20" t="s">
        <v>268</v>
      </c>
      <c r="Z50" s="20" t="s">
        <v>257</v>
      </c>
      <c r="AA50" s="19"/>
      <c r="AB50" s="19"/>
    </row>
    <row r="51" spans="2:28" x14ac:dyDescent="0.2">
      <c r="B51" s="30" t="s">
        <v>207</v>
      </c>
      <c r="C51" s="22">
        <v>42</v>
      </c>
      <c r="D51" s="30" t="s">
        <v>207</v>
      </c>
      <c r="E51" s="112" t="s">
        <v>957</v>
      </c>
      <c r="F51" s="112" t="s">
        <v>955</v>
      </c>
      <c r="G51" s="112" t="s">
        <v>958</v>
      </c>
      <c r="H51" s="112" t="s">
        <v>956</v>
      </c>
      <c r="I51" s="113" t="s">
        <v>1152</v>
      </c>
      <c r="J51" s="93" t="s">
        <v>711</v>
      </c>
      <c r="K51" s="93" t="s">
        <v>712</v>
      </c>
      <c r="L51" s="93" t="s">
        <v>713</v>
      </c>
      <c r="M51" s="17" t="s">
        <v>269</v>
      </c>
      <c r="N51" s="17" t="s">
        <v>269</v>
      </c>
      <c r="O51" s="17" t="s">
        <v>269</v>
      </c>
      <c r="P51" s="30" t="s">
        <v>208</v>
      </c>
      <c r="Q51" s="17" t="s">
        <v>269</v>
      </c>
      <c r="R51" s="17" t="s">
        <v>269</v>
      </c>
      <c r="S51" s="17" t="s">
        <v>269</v>
      </c>
      <c r="T51" s="30" t="s">
        <v>331</v>
      </c>
      <c r="U51" s="24"/>
      <c r="V51" s="17" t="s">
        <v>269</v>
      </c>
      <c r="W51" s="38" t="str">
        <f>_xlfn.IFS(AND(COUNTIF(U51,"SCB*")=1, 'PCH64'!E60&gt;=2), "See the Notice *2", TRUE, "")</f>
        <v/>
      </c>
      <c r="X51" s="19"/>
      <c r="Y51" s="20" t="s">
        <v>268</v>
      </c>
      <c r="Z51" s="20" t="s">
        <v>257</v>
      </c>
      <c r="AA51" s="19"/>
      <c r="AB51" s="19"/>
    </row>
    <row r="52" spans="2:28" x14ac:dyDescent="0.2">
      <c r="B52" s="30" t="s">
        <v>210</v>
      </c>
      <c r="C52" s="22">
        <v>43</v>
      </c>
      <c r="D52" s="30" t="s">
        <v>210</v>
      </c>
      <c r="E52" s="112" t="s">
        <v>1131</v>
      </c>
      <c r="F52" s="112" t="s">
        <v>1116</v>
      </c>
      <c r="G52" s="112" t="s">
        <v>1111</v>
      </c>
      <c r="H52" s="112" t="s">
        <v>1118</v>
      </c>
      <c r="I52" s="113" t="s">
        <v>1154</v>
      </c>
      <c r="J52" s="93" t="s">
        <v>717</v>
      </c>
      <c r="K52" s="17" t="s">
        <v>269</v>
      </c>
      <c r="L52" s="93" t="s">
        <v>718</v>
      </c>
      <c r="M52" s="17" t="s">
        <v>269</v>
      </c>
      <c r="N52" s="17" t="s">
        <v>269</v>
      </c>
      <c r="O52" s="17" t="s">
        <v>269</v>
      </c>
      <c r="P52" s="32" t="s">
        <v>1167</v>
      </c>
      <c r="Q52" s="17" t="s">
        <v>269</v>
      </c>
      <c r="R52" s="17" t="s">
        <v>269</v>
      </c>
      <c r="S52" s="17" t="s">
        <v>269</v>
      </c>
      <c r="T52" s="30" t="s">
        <v>333</v>
      </c>
      <c r="U52" s="24"/>
      <c r="V52" s="17" t="s">
        <v>269</v>
      </c>
      <c r="W52" s="38" t="str">
        <f>_xlfn.IFS(AND(COUNTIF(U52,"SCB*")=1, 'PCH64'!E60&gt;=2), "See the Notice *2", TRUE, "")</f>
        <v/>
      </c>
      <c r="X52" s="19"/>
      <c r="Y52" s="20" t="s">
        <v>268</v>
      </c>
      <c r="Z52" s="20" t="s">
        <v>257</v>
      </c>
      <c r="AA52" s="19"/>
      <c r="AB52" s="19"/>
    </row>
    <row r="53" spans="2:28" x14ac:dyDescent="0.2">
      <c r="B53" s="30" t="s">
        <v>211</v>
      </c>
      <c r="C53" s="22">
        <v>44</v>
      </c>
      <c r="D53" s="30" t="s">
        <v>211</v>
      </c>
      <c r="E53" s="112" t="s">
        <v>1130</v>
      </c>
      <c r="F53" s="112" t="s">
        <v>1113</v>
      </c>
      <c r="G53" s="112" t="s">
        <v>1108</v>
      </c>
      <c r="H53" s="112" t="s">
        <v>1115</v>
      </c>
      <c r="I53" s="32" t="s">
        <v>1155</v>
      </c>
      <c r="J53" s="17" t="s">
        <v>269</v>
      </c>
      <c r="K53" s="17" t="s">
        <v>269</v>
      </c>
      <c r="L53" s="93" t="s">
        <v>719</v>
      </c>
      <c r="M53" s="17" t="s">
        <v>269</v>
      </c>
      <c r="N53" s="17" t="s">
        <v>269</v>
      </c>
      <c r="O53" s="17" t="s">
        <v>269</v>
      </c>
      <c r="P53" s="32" t="s">
        <v>1168</v>
      </c>
      <c r="Q53" s="17" t="s">
        <v>269</v>
      </c>
      <c r="R53" s="17" t="s">
        <v>269</v>
      </c>
      <c r="S53" s="17" t="s">
        <v>269</v>
      </c>
      <c r="T53" s="30" t="s">
        <v>334</v>
      </c>
      <c r="U53" s="24"/>
      <c r="V53" s="17" t="s">
        <v>269</v>
      </c>
      <c r="W53" s="38" t="str">
        <f>_xlfn.IFS(AND(COUNTIF(U53,"SCB*")=1, 'PCH64'!E60&gt;=2), "See the Notice *2", TRUE, "")</f>
        <v/>
      </c>
      <c r="X53" s="19"/>
      <c r="Y53" s="20" t="s">
        <v>268</v>
      </c>
      <c r="Z53" s="20" t="s">
        <v>257</v>
      </c>
      <c r="AA53" s="19"/>
      <c r="AB53" s="19"/>
    </row>
    <row r="54" spans="2:28" x14ac:dyDescent="0.2">
      <c r="B54" s="30" t="s">
        <v>212</v>
      </c>
      <c r="C54" s="22">
        <v>45</v>
      </c>
      <c r="D54" s="30" t="s">
        <v>212</v>
      </c>
      <c r="E54" s="112" t="s">
        <v>1129</v>
      </c>
      <c r="F54" s="112" t="s">
        <v>1110</v>
      </c>
      <c r="G54" s="112" t="s">
        <v>1105</v>
      </c>
      <c r="H54" s="112" t="s">
        <v>1112</v>
      </c>
      <c r="I54" s="32" t="s">
        <v>1156</v>
      </c>
      <c r="J54" s="17" t="s">
        <v>269</v>
      </c>
      <c r="K54" s="17" t="s">
        <v>269</v>
      </c>
      <c r="L54" s="93" t="s">
        <v>720</v>
      </c>
      <c r="M54" s="17" t="s">
        <v>269</v>
      </c>
      <c r="N54" s="17" t="s">
        <v>269</v>
      </c>
      <c r="O54" s="17" t="s">
        <v>269</v>
      </c>
      <c r="P54" s="32" t="s">
        <v>1169</v>
      </c>
      <c r="Q54" s="17" t="s">
        <v>269</v>
      </c>
      <c r="R54" s="17" t="s">
        <v>269</v>
      </c>
      <c r="S54" s="17" t="s">
        <v>269</v>
      </c>
      <c r="T54" s="30" t="s">
        <v>335</v>
      </c>
      <c r="U54" s="24"/>
      <c r="V54" s="17" t="s">
        <v>269</v>
      </c>
      <c r="W54" s="38" t="str">
        <f>_xlfn.IFS(AND(COUNTIF(U54,"SCB*")=1, 'PCH64'!E60&gt;=2), "See the Notice *2", TRUE, "")</f>
        <v/>
      </c>
      <c r="X54" s="19"/>
      <c r="Y54" s="20" t="s">
        <v>268</v>
      </c>
      <c r="Z54" s="20" t="s">
        <v>257</v>
      </c>
      <c r="AA54" s="19"/>
      <c r="AB54" s="19"/>
    </row>
    <row r="55" spans="2:28" x14ac:dyDescent="0.2">
      <c r="B55" s="30" t="s">
        <v>213</v>
      </c>
      <c r="C55" s="22">
        <v>46</v>
      </c>
      <c r="D55" s="30" t="s">
        <v>213</v>
      </c>
      <c r="E55" s="112" t="s">
        <v>1128</v>
      </c>
      <c r="F55" s="112" t="s">
        <v>1107</v>
      </c>
      <c r="G55" s="112" t="s">
        <v>1102</v>
      </c>
      <c r="H55" s="112" t="s">
        <v>1109</v>
      </c>
      <c r="I55" s="32" t="s">
        <v>1157</v>
      </c>
      <c r="J55" s="17" t="s">
        <v>269</v>
      </c>
      <c r="K55" s="17" t="s">
        <v>269</v>
      </c>
      <c r="L55" s="93" t="s">
        <v>721</v>
      </c>
      <c r="M55" s="17" t="s">
        <v>269</v>
      </c>
      <c r="N55" s="30" t="s">
        <v>214</v>
      </c>
      <c r="O55" s="17" t="s">
        <v>269</v>
      </c>
      <c r="P55" s="32" t="s">
        <v>1170</v>
      </c>
      <c r="Q55" s="17" t="s">
        <v>269</v>
      </c>
      <c r="R55" s="17" t="s">
        <v>269</v>
      </c>
      <c r="S55" s="17" t="s">
        <v>269</v>
      </c>
      <c r="T55" s="30" t="s">
        <v>336</v>
      </c>
      <c r="U55" s="24"/>
      <c r="V55" s="17" t="s">
        <v>269</v>
      </c>
      <c r="W55" s="38" t="str">
        <f>_xlfn.IFS(AND(COUNTIF(U55,"SCB*")=1, 'PCH64'!E60&gt;=2), "See the Notice *2", TRUE, "")</f>
        <v/>
      </c>
      <c r="X55" s="19"/>
      <c r="Y55" s="20" t="s">
        <v>268</v>
      </c>
      <c r="Z55" s="20" t="s">
        <v>257</v>
      </c>
      <c r="AA55" s="19"/>
      <c r="AB55" s="19"/>
    </row>
    <row r="56" spans="2:28" x14ac:dyDescent="0.2">
      <c r="B56" s="30" t="s">
        <v>215</v>
      </c>
      <c r="C56" s="22">
        <v>47</v>
      </c>
      <c r="D56" s="30" t="s">
        <v>215</v>
      </c>
      <c r="E56" s="112" t="s">
        <v>1097</v>
      </c>
      <c r="F56" s="112" t="s">
        <v>1104</v>
      </c>
      <c r="G56" s="112" t="s">
        <v>1099</v>
      </c>
      <c r="H56" s="112" t="s">
        <v>1106</v>
      </c>
      <c r="I56" s="32" t="s">
        <v>1158</v>
      </c>
      <c r="J56" s="17" t="s">
        <v>269</v>
      </c>
      <c r="K56" s="17" t="s">
        <v>269</v>
      </c>
      <c r="L56" s="17" t="s">
        <v>269</v>
      </c>
      <c r="M56" s="17" t="s">
        <v>269</v>
      </c>
      <c r="N56" s="30" t="s">
        <v>216</v>
      </c>
      <c r="O56" s="17" t="s">
        <v>269</v>
      </c>
      <c r="P56" s="32" t="s">
        <v>1171</v>
      </c>
      <c r="Q56" s="17" t="s">
        <v>269</v>
      </c>
      <c r="R56" s="17" t="s">
        <v>269</v>
      </c>
      <c r="S56" s="17" t="s">
        <v>269</v>
      </c>
      <c r="T56" s="30" t="s">
        <v>337</v>
      </c>
      <c r="U56" s="24"/>
      <c r="V56" s="17" t="s">
        <v>269</v>
      </c>
      <c r="W56" s="38"/>
      <c r="X56" s="19"/>
      <c r="Y56" s="20" t="s">
        <v>268</v>
      </c>
      <c r="Z56" s="20" t="s">
        <v>257</v>
      </c>
      <c r="AA56" s="19"/>
      <c r="AB56" s="19"/>
    </row>
    <row r="57" spans="2:28" x14ac:dyDescent="0.2">
      <c r="B57" s="28" t="s">
        <v>257</v>
      </c>
      <c r="C57" s="17">
        <v>48</v>
      </c>
      <c r="D57" s="17" t="s">
        <v>269</v>
      </c>
      <c r="E57" s="17" t="s">
        <v>269</v>
      </c>
      <c r="F57" s="17" t="s">
        <v>269</v>
      </c>
      <c r="G57" s="17" t="s">
        <v>269</v>
      </c>
      <c r="H57" s="17" t="s">
        <v>269</v>
      </c>
      <c r="I57" s="17" t="s">
        <v>269</v>
      </c>
      <c r="J57" s="17" t="s">
        <v>269</v>
      </c>
      <c r="K57" s="17" t="s">
        <v>269</v>
      </c>
      <c r="L57" s="17" t="s">
        <v>269</v>
      </c>
      <c r="M57" s="17" t="s">
        <v>269</v>
      </c>
      <c r="N57" s="17" t="s">
        <v>269</v>
      </c>
      <c r="O57" s="17" t="s">
        <v>269</v>
      </c>
      <c r="P57" s="17" t="s">
        <v>269</v>
      </c>
      <c r="Q57" s="17" t="s">
        <v>269</v>
      </c>
      <c r="R57" s="17" t="s">
        <v>269</v>
      </c>
      <c r="S57" s="17" t="s">
        <v>269</v>
      </c>
      <c r="T57" s="17" t="s">
        <v>269</v>
      </c>
      <c r="U57" s="28" t="s">
        <v>257</v>
      </c>
      <c r="V57" s="17" t="s">
        <v>269</v>
      </c>
      <c r="W57" s="38"/>
      <c r="X57" s="19" t="s">
        <v>544</v>
      </c>
      <c r="Y57" s="20" t="s">
        <v>555</v>
      </c>
      <c r="Z57" s="20" t="s">
        <v>555</v>
      </c>
      <c r="AA57" s="19"/>
      <c r="AB57" s="19"/>
    </row>
    <row r="58" spans="2:28" x14ac:dyDescent="0.2">
      <c r="B58" s="16" t="s">
        <v>256</v>
      </c>
      <c r="C58" s="17">
        <v>49</v>
      </c>
      <c r="D58" s="17" t="s">
        <v>269</v>
      </c>
      <c r="E58" s="17" t="s">
        <v>269</v>
      </c>
      <c r="F58" s="17" t="s">
        <v>269</v>
      </c>
      <c r="G58" s="17" t="s">
        <v>269</v>
      </c>
      <c r="H58" s="17" t="s">
        <v>269</v>
      </c>
      <c r="I58" s="17" t="s">
        <v>269</v>
      </c>
      <c r="J58" s="17" t="s">
        <v>269</v>
      </c>
      <c r="K58" s="17" t="s">
        <v>269</v>
      </c>
      <c r="L58" s="17" t="s">
        <v>269</v>
      </c>
      <c r="M58" s="17" t="s">
        <v>269</v>
      </c>
      <c r="N58" s="17" t="s">
        <v>269</v>
      </c>
      <c r="O58" s="17" t="s">
        <v>269</v>
      </c>
      <c r="P58" s="17" t="s">
        <v>269</v>
      </c>
      <c r="Q58" s="17" t="s">
        <v>269</v>
      </c>
      <c r="R58" s="17" t="s">
        <v>269</v>
      </c>
      <c r="S58" s="17" t="s">
        <v>269</v>
      </c>
      <c r="T58" s="17" t="s">
        <v>269</v>
      </c>
      <c r="U58" s="16" t="s">
        <v>256</v>
      </c>
      <c r="V58" s="17" t="s">
        <v>269</v>
      </c>
      <c r="W58" s="38"/>
      <c r="X58" s="19" t="s">
        <v>545</v>
      </c>
      <c r="Y58" s="20" t="s">
        <v>555</v>
      </c>
      <c r="Z58" s="20" t="s">
        <v>555</v>
      </c>
      <c r="AA58" s="19"/>
      <c r="AB58" s="19"/>
    </row>
    <row r="59" spans="2:28" x14ac:dyDescent="0.2">
      <c r="B59" s="30" t="s">
        <v>567</v>
      </c>
      <c r="C59" s="22">
        <v>50</v>
      </c>
      <c r="D59" s="30" t="s">
        <v>770</v>
      </c>
      <c r="E59" s="112" t="s">
        <v>1049</v>
      </c>
      <c r="F59" s="112" t="s">
        <v>1058</v>
      </c>
      <c r="G59" s="112" t="s">
        <v>1051</v>
      </c>
      <c r="H59" s="112" t="s">
        <v>1060</v>
      </c>
      <c r="I59" s="17" t="s">
        <v>269</v>
      </c>
      <c r="J59" s="17" t="s">
        <v>269</v>
      </c>
      <c r="K59" s="17" t="s">
        <v>269</v>
      </c>
      <c r="L59" s="93" t="s">
        <v>745</v>
      </c>
      <c r="M59" s="17" t="s">
        <v>269</v>
      </c>
      <c r="N59" s="17" t="s">
        <v>269</v>
      </c>
      <c r="O59" s="17" t="s">
        <v>269</v>
      </c>
      <c r="P59" s="17" t="s">
        <v>269</v>
      </c>
      <c r="Q59" s="17" t="s">
        <v>269</v>
      </c>
      <c r="R59" s="17" t="s">
        <v>269</v>
      </c>
      <c r="S59" s="17" t="s">
        <v>269</v>
      </c>
      <c r="T59" s="30" t="s">
        <v>353</v>
      </c>
      <c r="U59" s="24"/>
      <c r="V59" s="17" t="s">
        <v>269</v>
      </c>
      <c r="W59" s="38" t="str">
        <f>_xlfn.IFS(AND(COUNTIF(U59,"SCB*")=1, 'PCH64'!E60&gt;=2), "See the Notice *2", TRUE, "")</f>
        <v/>
      </c>
      <c r="X59" s="19"/>
      <c r="Y59" s="20" t="s">
        <v>268</v>
      </c>
      <c r="Z59" s="20" t="s">
        <v>257</v>
      </c>
      <c r="AA59" s="19"/>
      <c r="AB59" s="19"/>
    </row>
    <row r="60" spans="2:28" x14ac:dyDescent="0.2">
      <c r="B60" s="30" t="s">
        <v>568</v>
      </c>
      <c r="C60" s="22">
        <v>51</v>
      </c>
      <c r="D60" s="30" t="s">
        <v>771</v>
      </c>
      <c r="E60" s="112" t="s">
        <v>1045</v>
      </c>
      <c r="F60" s="112" t="s">
        <v>1054</v>
      </c>
      <c r="G60" s="112" t="s">
        <v>1047</v>
      </c>
      <c r="H60" s="112" t="s">
        <v>1056</v>
      </c>
      <c r="I60" s="17" t="s">
        <v>269</v>
      </c>
      <c r="J60" s="17" t="s">
        <v>269</v>
      </c>
      <c r="K60" s="17" t="s">
        <v>269</v>
      </c>
      <c r="L60" s="17" t="s">
        <v>269</v>
      </c>
      <c r="M60" s="17" t="s">
        <v>269</v>
      </c>
      <c r="N60" s="17" t="s">
        <v>269</v>
      </c>
      <c r="O60" s="17" t="s">
        <v>269</v>
      </c>
      <c r="P60" s="17" t="s">
        <v>269</v>
      </c>
      <c r="Q60" s="17" t="s">
        <v>269</v>
      </c>
      <c r="R60" s="17" t="s">
        <v>269</v>
      </c>
      <c r="S60" s="17" t="s">
        <v>269</v>
      </c>
      <c r="T60" s="30" t="s">
        <v>354</v>
      </c>
      <c r="U60" s="24"/>
      <c r="V60" s="17" t="s">
        <v>269</v>
      </c>
      <c r="W60" s="38"/>
      <c r="X60" s="19"/>
      <c r="Y60" s="20" t="s">
        <v>268</v>
      </c>
      <c r="Z60" s="20" t="s">
        <v>257</v>
      </c>
      <c r="AA60" s="19"/>
      <c r="AB60" s="19"/>
    </row>
    <row r="61" spans="2:28" x14ac:dyDescent="0.2">
      <c r="B61" s="30" t="s">
        <v>569</v>
      </c>
      <c r="C61" s="22">
        <v>52</v>
      </c>
      <c r="D61" s="30" t="s">
        <v>772</v>
      </c>
      <c r="E61" s="112" t="s">
        <v>1041</v>
      </c>
      <c r="F61" s="112" t="s">
        <v>1050</v>
      </c>
      <c r="G61" s="112" t="s">
        <v>1043</v>
      </c>
      <c r="H61" s="112" t="s">
        <v>1052</v>
      </c>
      <c r="I61" s="17" t="s">
        <v>269</v>
      </c>
      <c r="J61" s="17" t="s">
        <v>269</v>
      </c>
      <c r="K61" s="17" t="s">
        <v>269</v>
      </c>
      <c r="L61" s="17" t="s">
        <v>269</v>
      </c>
      <c r="M61" s="17" t="s">
        <v>269</v>
      </c>
      <c r="N61" s="17" t="s">
        <v>269</v>
      </c>
      <c r="O61" s="30" t="s">
        <v>235</v>
      </c>
      <c r="P61" s="30" t="s">
        <v>62</v>
      </c>
      <c r="Q61" s="17" t="s">
        <v>269</v>
      </c>
      <c r="R61" s="17" t="s">
        <v>269</v>
      </c>
      <c r="S61" s="17" t="s">
        <v>269</v>
      </c>
      <c r="T61" s="30" t="s">
        <v>355</v>
      </c>
      <c r="U61" s="24"/>
      <c r="V61" s="17" t="s">
        <v>269</v>
      </c>
      <c r="W61" s="38"/>
      <c r="X61" s="19"/>
      <c r="Y61" s="20" t="s">
        <v>268</v>
      </c>
      <c r="Z61" s="20" t="s">
        <v>257</v>
      </c>
      <c r="AA61" s="19"/>
      <c r="AB61" s="19"/>
    </row>
    <row r="62" spans="2:28" x14ac:dyDescent="0.2">
      <c r="B62" s="30" t="s">
        <v>570</v>
      </c>
      <c r="C62" s="22">
        <v>53</v>
      </c>
      <c r="D62" s="30" t="s">
        <v>773</v>
      </c>
      <c r="E62" s="112" t="s">
        <v>1037</v>
      </c>
      <c r="F62" s="112" t="s">
        <v>1046</v>
      </c>
      <c r="G62" s="112" t="s">
        <v>1039</v>
      </c>
      <c r="H62" s="112" t="s">
        <v>1048</v>
      </c>
      <c r="I62" s="17" t="s">
        <v>269</v>
      </c>
      <c r="J62" s="17" t="s">
        <v>269</v>
      </c>
      <c r="K62" s="17" t="s">
        <v>269</v>
      </c>
      <c r="L62" s="17" t="s">
        <v>269</v>
      </c>
      <c r="M62" s="17" t="s">
        <v>269</v>
      </c>
      <c r="N62" s="17" t="s">
        <v>269</v>
      </c>
      <c r="O62" s="17" t="s">
        <v>269</v>
      </c>
      <c r="P62" s="17" t="s">
        <v>269</v>
      </c>
      <c r="Q62" s="17" t="s">
        <v>269</v>
      </c>
      <c r="R62" s="17" t="s">
        <v>269</v>
      </c>
      <c r="S62" s="17" t="s">
        <v>269</v>
      </c>
      <c r="T62" s="30" t="s">
        <v>356</v>
      </c>
      <c r="U62" s="24"/>
      <c r="V62" s="17" t="s">
        <v>269</v>
      </c>
      <c r="W62" s="38"/>
      <c r="X62" s="19"/>
      <c r="Y62" s="20" t="s">
        <v>268</v>
      </c>
      <c r="Z62" s="20" t="s">
        <v>257</v>
      </c>
      <c r="AA62" s="19"/>
      <c r="AB62" s="19"/>
    </row>
    <row r="63" spans="2:28" x14ac:dyDescent="0.2">
      <c r="B63" s="34" t="s">
        <v>264</v>
      </c>
      <c r="C63" s="17">
        <v>54</v>
      </c>
      <c r="D63" s="34" t="s">
        <v>264</v>
      </c>
      <c r="E63" s="17" t="s">
        <v>269</v>
      </c>
      <c r="F63" s="17" t="s">
        <v>269</v>
      </c>
      <c r="G63" s="17" t="s">
        <v>269</v>
      </c>
      <c r="H63" s="17" t="s">
        <v>269</v>
      </c>
      <c r="I63" s="17" t="s">
        <v>269</v>
      </c>
      <c r="J63" s="17" t="s">
        <v>269</v>
      </c>
      <c r="K63" s="17" t="s">
        <v>269</v>
      </c>
      <c r="L63" s="17" t="s">
        <v>269</v>
      </c>
      <c r="M63" s="17" t="s">
        <v>269</v>
      </c>
      <c r="N63" s="17" t="s">
        <v>269</v>
      </c>
      <c r="O63" s="17" t="s">
        <v>269</v>
      </c>
      <c r="P63" s="17" t="s">
        <v>269</v>
      </c>
      <c r="Q63" s="17" t="s">
        <v>269</v>
      </c>
      <c r="R63" s="17" t="s">
        <v>269</v>
      </c>
      <c r="S63" s="17" t="s">
        <v>269</v>
      </c>
      <c r="T63" s="17" t="s">
        <v>269</v>
      </c>
      <c r="U63" s="34" t="s">
        <v>264</v>
      </c>
      <c r="V63" s="17" t="s">
        <v>269</v>
      </c>
      <c r="W63" s="38"/>
      <c r="X63" s="19" t="s">
        <v>552</v>
      </c>
      <c r="Y63" s="20" t="s">
        <v>555</v>
      </c>
      <c r="Z63" s="20" t="s">
        <v>555</v>
      </c>
      <c r="AA63" s="19"/>
      <c r="AB63" s="19"/>
    </row>
    <row r="64" spans="2:28" x14ac:dyDescent="0.2">
      <c r="B64" s="28" t="s">
        <v>257</v>
      </c>
      <c r="C64" s="17">
        <v>55</v>
      </c>
      <c r="D64" s="17" t="s">
        <v>269</v>
      </c>
      <c r="E64" s="17" t="s">
        <v>269</v>
      </c>
      <c r="F64" s="17" t="s">
        <v>269</v>
      </c>
      <c r="G64" s="17" t="s">
        <v>269</v>
      </c>
      <c r="H64" s="17" t="s">
        <v>269</v>
      </c>
      <c r="I64" s="17" t="s">
        <v>269</v>
      </c>
      <c r="J64" s="17" t="s">
        <v>269</v>
      </c>
      <c r="K64" s="17" t="s">
        <v>269</v>
      </c>
      <c r="L64" s="17" t="s">
        <v>269</v>
      </c>
      <c r="M64" s="17" t="s">
        <v>269</v>
      </c>
      <c r="N64" s="17" t="s">
        <v>269</v>
      </c>
      <c r="O64" s="17" t="s">
        <v>269</v>
      </c>
      <c r="P64" s="17" t="s">
        <v>269</v>
      </c>
      <c r="Q64" s="17" t="s">
        <v>269</v>
      </c>
      <c r="R64" s="17" t="s">
        <v>269</v>
      </c>
      <c r="S64" s="17" t="s">
        <v>269</v>
      </c>
      <c r="T64" s="17" t="s">
        <v>269</v>
      </c>
      <c r="U64" s="28" t="s">
        <v>257</v>
      </c>
      <c r="V64" s="17" t="s">
        <v>269</v>
      </c>
      <c r="W64" s="38"/>
      <c r="X64" s="19" t="s">
        <v>544</v>
      </c>
      <c r="Y64" s="20" t="s">
        <v>555</v>
      </c>
      <c r="Z64" s="20" t="s">
        <v>555</v>
      </c>
      <c r="AA64" s="19"/>
      <c r="AB64" s="19"/>
    </row>
    <row r="65" spans="2:28" x14ac:dyDescent="0.2">
      <c r="B65" s="16" t="s">
        <v>256</v>
      </c>
      <c r="C65" s="17">
        <v>56</v>
      </c>
      <c r="D65" s="17" t="s">
        <v>269</v>
      </c>
      <c r="E65" s="17" t="s">
        <v>269</v>
      </c>
      <c r="F65" s="17" t="s">
        <v>269</v>
      </c>
      <c r="G65" s="17" t="s">
        <v>269</v>
      </c>
      <c r="H65" s="17" t="s">
        <v>269</v>
      </c>
      <c r="I65" s="17" t="s">
        <v>269</v>
      </c>
      <c r="J65" s="17" t="s">
        <v>269</v>
      </c>
      <c r="K65" s="17" t="s">
        <v>269</v>
      </c>
      <c r="L65" s="17" t="s">
        <v>269</v>
      </c>
      <c r="M65" s="17" t="s">
        <v>269</v>
      </c>
      <c r="N65" s="17" t="s">
        <v>269</v>
      </c>
      <c r="O65" s="17" t="s">
        <v>269</v>
      </c>
      <c r="P65" s="17" t="s">
        <v>269</v>
      </c>
      <c r="Q65" s="17" t="s">
        <v>269</v>
      </c>
      <c r="R65" s="17" t="s">
        <v>269</v>
      </c>
      <c r="S65" s="17" t="s">
        <v>269</v>
      </c>
      <c r="T65" s="17" t="s">
        <v>269</v>
      </c>
      <c r="U65" s="16" t="s">
        <v>256</v>
      </c>
      <c r="V65" s="17" t="s">
        <v>269</v>
      </c>
      <c r="W65" s="38"/>
      <c r="X65" s="19" t="s">
        <v>545</v>
      </c>
      <c r="Y65" s="20" t="s">
        <v>555</v>
      </c>
      <c r="Z65" s="20" t="s">
        <v>555</v>
      </c>
      <c r="AA65" s="19"/>
      <c r="AB65" s="19"/>
    </row>
    <row r="66" spans="2:28" x14ac:dyDescent="0.2">
      <c r="B66" s="16" t="s">
        <v>256</v>
      </c>
      <c r="C66" s="17">
        <v>57</v>
      </c>
      <c r="D66" s="17" t="s">
        <v>269</v>
      </c>
      <c r="E66" s="17" t="s">
        <v>269</v>
      </c>
      <c r="F66" s="17" t="s">
        <v>269</v>
      </c>
      <c r="G66" s="17" t="s">
        <v>269</v>
      </c>
      <c r="H66" s="17" t="s">
        <v>269</v>
      </c>
      <c r="I66" s="17" t="s">
        <v>269</v>
      </c>
      <c r="J66" s="17" t="s">
        <v>269</v>
      </c>
      <c r="K66" s="17" t="s">
        <v>269</v>
      </c>
      <c r="L66" s="17" t="s">
        <v>269</v>
      </c>
      <c r="M66" s="17" t="s">
        <v>269</v>
      </c>
      <c r="N66" s="17" t="s">
        <v>269</v>
      </c>
      <c r="O66" s="17" t="s">
        <v>269</v>
      </c>
      <c r="P66" s="17" t="s">
        <v>269</v>
      </c>
      <c r="Q66" s="17" t="s">
        <v>269</v>
      </c>
      <c r="R66" s="17" t="s">
        <v>269</v>
      </c>
      <c r="S66" s="17" t="s">
        <v>269</v>
      </c>
      <c r="T66" s="17" t="s">
        <v>269</v>
      </c>
      <c r="U66" s="16" t="s">
        <v>256</v>
      </c>
      <c r="V66" s="17" t="s">
        <v>269</v>
      </c>
      <c r="W66" s="38"/>
      <c r="X66" s="19" t="s">
        <v>545</v>
      </c>
      <c r="Y66" s="20" t="s">
        <v>555</v>
      </c>
      <c r="Z66" s="20" t="s">
        <v>555</v>
      </c>
      <c r="AA66" s="19"/>
      <c r="AB66" s="19"/>
    </row>
    <row r="67" spans="2:28" x14ac:dyDescent="0.2">
      <c r="B67" s="28" t="s">
        <v>259</v>
      </c>
      <c r="C67" s="17">
        <v>58</v>
      </c>
      <c r="D67" s="17" t="s">
        <v>269</v>
      </c>
      <c r="E67" s="17" t="s">
        <v>269</v>
      </c>
      <c r="F67" s="17" t="s">
        <v>269</v>
      </c>
      <c r="G67" s="17" t="s">
        <v>269</v>
      </c>
      <c r="H67" s="17" t="s">
        <v>269</v>
      </c>
      <c r="I67" s="17" t="s">
        <v>269</v>
      </c>
      <c r="J67" s="17" t="s">
        <v>269</v>
      </c>
      <c r="K67" s="17" t="s">
        <v>269</v>
      </c>
      <c r="L67" s="17" t="s">
        <v>269</v>
      </c>
      <c r="M67" s="17" t="s">
        <v>269</v>
      </c>
      <c r="N67" s="17" t="s">
        <v>269</v>
      </c>
      <c r="O67" s="17" t="s">
        <v>269</v>
      </c>
      <c r="P67" s="17" t="s">
        <v>269</v>
      </c>
      <c r="Q67" s="17" t="s">
        <v>269</v>
      </c>
      <c r="R67" s="17" t="s">
        <v>269</v>
      </c>
      <c r="S67" s="17" t="s">
        <v>269</v>
      </c>
      <c r="T67" s="17" t="s">
        <v>269</v>
      </c>
      <c r="U67" s="28" t="s">
        <v>259</v>
      </c>
      <c r="V67" s="17" t="s">
        <v>269</v>
      </c>
      <c r="W67" s="38"/>
      <c r="X67" s="19" t="s">
        <v>547</v>
      </c>
      <c r="Y67" s="20" t="s">
        <v>555</v>
      </c>
      <c r="Z67" s="20" t="s">
        <v>555</v>
      </c>
      <c r="AA67" s="19"/>
      <c r="AB67" s="19"/>
    </row>
    <row r="68" spans="2:28" x14ac:dyDescent="0.2">
      <c r="B68" s="30" t="s">
        <v>237</v>
      </c>
      <c r="C68" s="22">
        <v>59</v>
      </c>
      <c r="D68" s="30" t="s">
        <v>237</v>
      </c>
      <c r="E68" s="112" t="s">
        <v>1017</v>
      </c>
      <c r="F68" s="112" t="s">
        <v>1026</v>
      </c>
      <c r="G68" s="112" t="s">
        <v>1019</v>
      </c>
      <c r="H68" s="112" t="s">
        <v>1028</v>
      </c>
      <c r="I68" s="17" t="s">
        <v>269</v>
      </c>
      <c r="J68" s="93" t="s">
        <v>746</v>
      </c>
      <c r="K68" s="17" t="s">
        <v>269</v>
      </c>
      <c r="L68" s="93" t="s">
        <v>747</v>
      </c>
      <c r="M68" s="17" t="s">
        <v>269</v>
      </c>
      <c r="N68" s="30" t="s">
        <v>194</v>
      </c>
      <c r="O68" s="17" t="s">
        <v>269</v>
      </c>
      <c r="P68" s="32" t="s">
        <v>1172</v>
      </c>
      <c r="Q68" s="17" t="s">
        <v>269</v>
      </c>
      <c r="R68" s="17" t="s">
        <v>269</v>
      </c>
      <c r="S68" s="17" t="s">
        <v>269</v>
      </c>
      <c r="T68" s="17" t="s">
        <v>269</v>
      </c>
      <c r="U68" s="24"/>
      <c r="V68" s="17" t="s">
        <v>269</v>
      </c>
      <c r="W68" s="38" t="str">
        <f>_xlfn.IFS(AND(COUNTIF(U68,"SCB*")=1, 'PCH64'!J60&gt;=2), "See the Notice *2", TRUE, "")</f>
        <v/>
      </c>
      <c r="X68" s="19"/>
      <c r="Y68" s="20" t="s">
        <v>268</v>
      </c>
      <c r="Z68" s="20" t="s">
        <v>257</v>
      </c>
      <c r="AA68" s="19"/>
      <c r="AB68" s="19"/>
    </row>
    <row r="69" spans="2:28" x14ac:dyDescent="0.2">
      <c r="B69" s="30" t="s">
        <v>248</v>
      </c>
      <c r="C69" s="22">
        <v>60</v>
      </c>
      <c r="D69" s="30" t="s">
        <v>248</v>
      </c>
      <c r="E69" s="112" t="s">
        <v>1184</v>
      </c>
      <c r="F69" s="112" t="s">
        <v>1078</v>
      </c>
      <c r="G69" s="112" t="s">
        <v>1083</v>
      </c>
      <c r="H69" s="112" t="s">
        <v>1080</v>
      </c>
      <c r="I69" s="17" t="s">
        <v>269</v>
      </c>
      <c r="J69" s="93" t="s">
        <v>766</v>
      </c>
      <c r="K69" s="17" t="s">
        <v>269</v>
      </c>
      <c r="L69" s="97" t="s">
        <v>767</v>
      </c>
      <c r="M69" s="17" t="s">
        <v>269</v>
      </c>
      <c r="N69" s="17" t="s">
        <v>269</v>
      </c>
      <c r="O69" s="30" t="s">
        <v>249</v>
      </c>
      <c r="P69" s="30" t="s">
        <v>220</v>
      </c>
      <c r="Q69" s="17" t="s">
        <v>269</v>
      </c>
      <c r="R69" s="17" t="s">
        <v>269</v>
      </c>
      <c r="S69" s="17" t="s">
        <v>269</v>
      </c>
      <c r="T69" s="17" t="s">
        <v>269</v>
      </c>
      <c r="U69" s="24"/>
      <c r="V69" s="17" t="s">
        <v>269</v>
      </c>
      <c r="W69" s="38" t="str">
        <f>_xlfn.IFS(AND(COUNTIF(U69,"SCB*")=1, 'PCH64'!K60&gt;=2), "See the Notice *2", TRUE, "")</f>
        <v/>
      </c>
      <c r="X69" s="19"/>
      <c r="Y69" s="20" t="s">
        <v>268</v>
      </c>
      <c r="Z69" s="20" t="s">
        <v>257</v>
      </c>
      <c r="AA69" s="19"/>
      <c r="AB69" s="19"/>
    </row>
    <row r="70" spans="2:28" x14ac:dyDescent="0.2">
      <c r="B70" s="30" t="s">
        <v>250</v>
      </c>
      <c r="C70" s="22">
        <v>61</v>
      </c>
      <c r="D70" s="30" t="s">
        <v>250</v>
      </c>
      <c r="E70" s="112" t="s">
        <v>1186</v>
      </c>
      <c r="F70" s="112" t="s">
        <v>1086</v>
      </c>
      <c r="G70" s="112" t="s">
        <v>983</v>
      </c>
      <c r="H70" s="112" t="s">
        <v>1088</v>
      </c>
      <c r="I70" s="17" t="s">
        <v>269</v>
      </c>
      <c r="J70" s="17" t="s">
        <v>269</v>
      </c>
      <c r="K70" s="17" t="s">
        <v>269</v>
      </c>
      <c r="L70" s="93" t="s">
        <v>768</v>
      </c>
      <c r="M70" s="17" t="s">
        <v>269</v>
      </c>
      <c r="N70" s="17" t="s">
        <v>269</v>
      </c>
      <c r="O70" s="30" t="s">
        <v>251</v>
      </c>
      <c r="P70" s="30" t="s">
        <v>60</v>
      </c>
      <c r="Q70" s="17" t="s">
        <v>269</v>
      </c>
      <c r="R70" s="30" t="s">
        <v>339</v>
      </c>
      <c r="S70" s="17" t="s">
        <v>269</v>
      </c>
      <c r="T70" s="17" t="s">
        <v>269</v>
      </c>
      <c r="U70" s="24"/>
      <c r="V70" s="17" t="s">
        <v>269</v>
      </c>
      <c r="W70" s="38" t="str">
        <f>_xlfn.IFS(AND(COUNTIF(U70,"SCB*")=1, 'PCH64'!K60&gt;=2), "See the Notice *2", TRUE, "")</f>
        <v/>
      </c>
      <c r="X70" s="19"/>
      <c r="Y70" s="20" t="s">
        <v>268</v>
      </c>
      <c r="Z70" s="20" t="s">
        <v>257</v>
      </c>
      <c r="AA70" s="19"/>
      <c r="AB70" s="19"/>
    </row>
    <row r="71" spans="2:28" x14ac:dyDescent="0.2">
      <c r="B71" s="30" t="s">
        <v>252</v>
      </c>
      <c r="C71" s="22">
        <v>62</v>
      </c>
      <c r="D71" s="30" t="s">
        <v>252</v>
      </c>
      <c r="E71" s="112" t="s">
        <v>977</v>
      </c>
      <c r="F71" s="112" t="s">
        <v>986</v>
      </c>
      <c r="G71" s="112" t="s">
        <v>979</v>
      </c>
      <c r="H71" s="112" t="s">
        <v>988</v>
      </c>
      <c r="I71" s="17" t="s">
        <v>269</v>
      </c>
      <c r="J71" s="17" t="s">
        <v>269</v>
      </c>
      <c r="K71" s="17" t="s">
        <v>269</v>
      </c>
      <c r="L71" s="93" t="s">
        <v>769</v>
      </c>
      <c r="M71" s="17" t="s">
        <v>269</v>
      </c>
      <c r="N71" s="17" t="s">
        <v>269</v>
      </c>
      <c r="O71" s="17" t="s">
        <v>269</v>
      </c>
      <c r="P71" s="17" t="s">
        <v>269</v>
      </c>
      <c r="Q71" s="17" t="s">
        <v>269</v>
      </c>
      <c r="R71" s="30" t="s">
        <v>340</v>
      </c>
      <c r="S71" s="17" t="s">
        <v>269</v>
      </c>
      <c r="T71" s="17" t="s">
        <v>269</v>
      </c>
      <c r="U71" s="24"/>
      <c r="V71" s="17" t="s">
        <v>269</v>
      </c>
      <c r="W71" s="38" t="str">
        <f>_xlfn.IFS(AND(COUNTIF(U71,"SCB*")=1, 'PCH64'!K60&gt;=2), "See the Notice *2", TRUE, "")</f>
        <v/>
      </c>
      <c r="X71" s="19"/>
      <c r="Y71" s="20" t="s">
        <v>268</v>
      </c>
      <c r="Z71" s="20" t="s">
        <v>257</v>
      </c>
      <c r="AA71" s="19"/>
      <c r="AB71" s="19"/>
    </row>
    <row r="72" spans="2:28" x14ac:dyDescent="0.2">
      <c r="B72" s="30" t="s">
        <v>253</v>
      </c>
      <c r="C72" s="22">
        <v>63</v>
      </c>
      <c r="D72" s="30" t="s">
        <v>253</v>
      </c>
      <c r="E72" s="112" t="s">
        <v>975</v>
      </c>
      <c r="F72" s="112" t="s">
        <v>982</v>
      </c>
      <c r="G72" s="112" t="s">
        <v>976</v>
      </c>
      <c r="H72" s="112" t="s">
        <v>984</v>
      </c>
      <c r="I72" s="17" t="s">
        <v>269</v>
      </c>
      <c r="J72" s="17" t="s">
        <v>269</v>
      </c>
      <c r="K72" s="17" t="s">
        <v>269</v>
      </c>
      <c r="L72" s="17" t="s">
        <v>269</v>
      </c>
      <c r="M72" s="17" t="s">
        <v>269</v>
      </c>
      <c r="N72" s="17" t="s">
        <v>269</v>
      </c>
      <c r="O72" s="17" t="s">
        <v>269</v>
      </c>
      <c r="P72" s="17" t="s">
        <v>269</v>
      </c>
      <c r="Q72" s="17" t="s">
        <v>269</v>
      </c>
      <c r="R72" s="30" t="s">
        <v>341</v>
      </c>
      <c r="S72" s="17" t="s">
        <v>269</v>
      </c>
      <c r="T72" s="17" t="s">
        <v>269</v>
      </c>
      <c r="U72" s="24"/>
      <c r="V72" s="17" t="s">
        <v>269</v>
      </c>
      <c r="W72" s="38"/>
      <c r="X72" s="19"/>
      <c r="Y72" s="20" t="s">
        <v>268</v>
      </c>
      <c r="Z72" s="20" t="s">
        <v>257</v>
      </c>
      <c r="AA72" s="19"/>
      <c r="AB72" s="19"/>
    </row>
    <row r="73" spans="2:28" x14ac:dyDescent="0.2">
      <c r="B73" s="30" t="s">
        <v>254</v>
      </c>
      <c r="C73" s="22">
        <v>64</v>
      </c>
      <c r="D73" s="30" t="s">
        <v>254</v>
      </c>
      <c r="E73" s="112" t="s">
        <v>971</v>
      </c>
      <c r="F73" s="112" t="s">
        <v>978</v>
      </c>
      <c r="G73" s="112" t="s">
        <v>973</v>
      </c>
      <c r="H73" s="112" t="s">
        <v>980</v>
      </c>
      <c r="I73" s="17" t="s">
        <v>269</v>
      </c>
      <c r="J73" s="17" t="s">
        <v>269</v>
      </c>
      <c r="K73" s="17" t="s">
        <v>269</v>
      </c>
      <c r="L73" s="17" t="s">
        <v>269</v>
      </c>
      <c r="M73" s="17" t="s">
        <v>269</v>
      </c>
      <c r="N73" s="17" t="s">
        <v>269</v>
      </c>
      <c r="O73" s="30" t="s">
        <v>235</v>
      </c>
      <c r="P73" s="30" t="s">
        <v>102</v>
      </c>
      <c r="Q73" s="17" t="s">
        <v>269</v>
      </c>
      <c r="R73" s="30" t="s">
        <v>342</v>
      </c>
      <c r="S73" s="17" t="s">
        <v>269</v>
      </c>
      <c r="T73" s="30" t="s">
        <v>357</v>
      </c>
      <c r="U73" s="24"/>
      <c r="V73" s="17" t="s">
        <v>269</v>
      </c>
      <c r="W73" s="38"/>
      <c r="X73" s="19"/>
      <c r="Y73" s="20" t="s">
        <v>268</v>
      </c>
      <c r="Z73" s="20" t="s">
        <v>257</v>
      </c>
      <c r="AA73" s="19"/>
      <c r="AB73" s="19"/>
    </row>
    <row r="76" spans="2:28" x14ac:dyDescent="0.55000000000000004">
      <c r="B76" s="10" t="s">
        <v>836</v>
      </c>
    </row>
    <row r="77" spans="2:28" x14ac:dyDescent="0.55000000000000004">
      <c r="B77" s="10" t="s">
        <v>573</v>
      </c>
    </row>
    <row r="78" spans="2:28" x14ac:dyDescent="0.55000000000000004">
      <c r="B78" s="10" t="s">
        <v>838</v>
      </c>
    </row>
    <row r="79" spans="2:28" x14ac:dyDescent="0.55000000000000004">
      <c r="B79" s="10" t="s">
        <v>835</v>
      </c>
    </row>
    <row r="80" spans="2:28" x14ac:dyDescent="0.55000000000000004">
      <c r="B80" s="10" t="s">
        <v>837</v>
      </c>
    </row>
    <row r="91" spans="4:17" ht="15" customHeight="1" x14ac:dyDescent="0.35">
      <c r="D91" s="117" t="s">
        <v>847</v>
      </c>
      <c r="E91" s="117"/>
      <c r="F91" s="117"/>
      <c r="G91" s="117"/>
      <c r="H91" s="117"/>
      <c r="I91" s="117"/>
      <c r="J91" s="117"/>
      <c r="K91" s="117"/>
      <c r="L91" s="117"/>
      <c r="M91" s="117"/>
      <c r="N91" s="117"/>
      <c r="O91" s="117"/>
      <c r="P91" s="117"/>
      <c r="Q91" s="117"/>
    </row>
    <row r="92" spans="4:17" ht="172" customHeight="1" x14ac:dyDescent="0.55000000000000004">
      <c r="D92" s="116" t="s">
        <v>848</v>
      </c>
      <c r="E92" s="116"/>
      <c r="F92" s="116"/>
      <c r="G92" s="116"/>
      <c r="H92" s="116"/>
      <c r="I92" s="116"/>
      <c r="J92" s="116"/>
      <c r="K92" s="116"/>
      <c r="L92" s="116"/>
      <c r="M92" s="116"/>
      <c r="N92" s="116"/>
      <c r="O92" s="116"/>
      <c r="P92" s="116"/>
      <c r="Q92" s="116"/>
    </row>
    <row r="113" spans="27:28" x14ac:dyDescent="0.55000000000000004">
      <c r="AA113" s="100"/>
      <c r="AB113" s="100"/>
    </row>
    <row r="114" spans="27:28" x14ac:dyDescent="0.55000000000000004">
      <c r="AA114" s="100"/>
      <c r="AB114" s="100"/>
    </row>
    <row r="115" spans="27:28" x14ac:dyDescent="0.55000000000000004">
      <c r="AA115" s="100"/>
      <c r="AB115" s="100"/>
    </row>
    <row r="116" spans="27:28" x14ac:dyDescent="0.55000000000000004">
      <c r="AA116" s="100"/>
      <c r="AB116" s="100"/>
    </row>
    <row r="117" spans="27:28" x14ac:dyDescent="0.55000000000000004">
      <c r="AA117" s="100"/>
      <c r="AB117" s="100"/>
    </row>
    <row r="118" spans="27:28" x14ac:dyDescent="0.55000000000000004">
      <c r="AA118" s="100"/>
      <c r="AB118" s="100"/>
    </row>
    <row r="119" spans="27:28" x14ac:dyDescent="0.55000000000000004">
      <c r="AA119" s="100"/>
      <c r="AB119" s="100"/>
    </row>
    <row r="120" spans="27:28" x14ac:dyDescent="0.55000000000000004">
      <c r="AA120" s="100"/>
      <c r="AB120" s="100"/>
    </row>
    <row r="121" spans="27:28" x14ac:dyDescent="0.55000000000000004">
      <c r="AA121" s="100"/>
      <c r="AB121" s="100"/>
    </row>
    <row r="122" spans="27:28" x14ac:dyDescent="0.55000000000000004">
      <c r="AA122" s="100"/>
      <c r="AB122" s="100"/>
    </row>
    <row r="123" spans="27:28" x14ac:dyDescent="0.55000000000000004">
      <c r="AA123" s="100"/>
      <c r="AB123" s="100"/>
    </row>
    <row r="124" spans="27:28" x14ac:dyDescent="0.55000000000000004">
      <c r="AA124" s="100"/>
      <c r="AB124" s="100"/>
    </row>
    <row r="125" spans="27:28" x14ac:dyDescent="0.55000000000000004">
      <c r="AA125" s="100"/>
      <c r="AB125" s="100"/>
    </row>
    <row r="126" spans="27:28" x14ac:dyDescent="0.55000000000000004">
      <c r="AA126" s="100"/>
      <c r="AB126" s="100"/>
    </row>
    <row r="127" spans="27:28" x14ac:dyDescent="0.55000000000000004">
      <c r="AA127" s="100"/>
      <c r="AB127" s="100"/>
    </row>
    <row r="128" spans="27:28" x14ac:dyDescent="0.55000000000000004">
      <c r="AA128" s="100"/>
      <c r="AB128" s="100"/>
    </row>
    <row r="129" spans="27:28" x14ac:dyDescent="0.55000000000000004">
      <c r="AA129" s="100"/>
      <c r="AB129" s="100"/>
    </row>
    <row r="130" spans="27:28" x14ac:dyDescent="0.55000000000000004">
      <c r="AA130" s="100"/>
      <c r="AB130" s="100"/>
    </row>
    <row r="131" spans="27:28" x14ac:dyDescent="0.55000000000000004">
      <c r="AA131" s="100"/>
      <c r="AB131" s="100"/>
    </row>
    <row r="132" spans="27:28" x14ac:dyDescent="0.55000000000000004">
      <c r="AA132" s="100"/>
      <c r="AB132" s="100"/>
    </row>
    <row r="133" spans="27:28" x14ac:dyDescent="0.55000000000000004">
      <c r="AA133" s="100"/>
      <c r="AB133" s="100"/>
    </row>
    <row r="134" spans="27:28" x14ac:dyDescent="0.55000000000000004">
      <c r="AA134" s="100"/>
      <c r="AB134" s="100"/>
    </row>
    <row r="135" spans="27:28" x14ac:dyDescent="0.55000000000000004">
      <c r="AA135" s="100"/>
      <c r="AB135" s="100"/>
    </row>
    <row r="136" spans="27:28" x14ac:dyDescent="0.55000000000000004">
      <c r="AA136" s="100"/>
      <c r="AB136" s="100"/>
    </row>
    <row r="137" spans="27:28" x14ac:dyDescent="0.55000000000000004">
      <c r="AA137" s="100"/>
      <c r="AB137" s="100"/>
    </row>
    <row r="138" spans="27:28" x14ac:dyDescent="0.55000000000000004">
      <c r="AA138" s="100"/>
      <c r="AB138" s="100"/>
    </row>
    <row r="139" spans="27:28" x14ac:dyDescent="0.55000000000000004">
      <c r="AA139" s="100"/>
      <c r="AB139" s="100"/>
    </row>
    <row r="140" spans="27:28" x14ac:dyDescent="0.55000000000000004">
      <c r="AA140" s="100"/>
      <c r="AB140" s="100"/>
    </row>
    <row r="141" spans="27:28" x14ac:dyDescent="0.55000000000000004">
      <c r="AA141" s="100"/>
      <c r="AB141" s="100"/>
    </row>
    <row r="142" spans="27:28" x14ac:dyDescent="0.55000000000000004">
      <c r="AA142" s="100"/>
      <c r="AB142" s="100"/>
    </row>
    <row r="143" spans="27:28" x14ac:dyDescent="0.55000000000000004">
      <c r="AA143" s="100"/>
      <c r="AB143" s="100"/>
    </row>
    <row r="144" spans="27:28" x14ac:dyDescent="0.55000000000000004">
      <c r="AA144" s="100"/>
      <c r="AB144" s="100"/>
    </row>
    <row r="145" spans="27:28" x14ac:dyDescent="0.55000000000000004">
      <c r="AA145" s="100"/>
      <c r="AB145" s="100"/>
    </row>
    <row r="146" spans="27:28" x14ac:dyDescent="0.55000000000000004">
      <c r="AA146" s="100"/>
      <c r="AB146" s="100"/>
    </row>
    <row r="147" spans="27:28" x14ac:dyDescent="0.55000000000000004">
      <c r="AA147" s="100"/>
      <c r="AB147" s="100"/>
    </row>
    <row r="148" spans="27:28" x14ac:dyDescent="0.55000000000000004">
      <c r="AA148" s="100"/>
      <c r="AB148" s="100"/>
    </row>
    <row r="149" spans="27:28" x14ac:dyDescent="0.55000000000000004">
      <c r="AA149" s="100"/>
      <c r="AB149" s="100"/>
    </row>
    <row r="150" spans="27:28" x14ac:dyDescent="0.55000000000000004">
      <c r="AA150" s="100"/>
      <c r="AB150" s="100"/>
    </row>
    <row r="151" spans="27:28" x14ac:dyDescent="0.55000000000000004">
      <c r="AA151" s="100"/>
      <c r="AB151" s="100"/>
    </row>
    <row r="152" spans="27:28" x14ac:dyDescent="0.55000000000000004">
      <c r="AA152" s="100"/>
      <c r="AB152" s="100"/>
    </row>
    <row r="153" spans="27:28" x14ac:dyDescent="0.55000000000000004">
      <c r="AA153" s="100"/>
      <c r="AB153" s="100"/>
    </row>
    <row r="154" spans="27:28" x14ac:dyDescent="0.55000000000000004">
      <c r="AA154" s="100"/>
      <c r="AB154" s="100"/>
    </row>
    <row r="155" spans="27:28" x14ac:dyDescent="0.55000000000000004">
      <c r="AA155" s="100"/>
      <c r="AB155" s="100"/>
    </row>
    <row r="156" spans="27:28" x14ac:dyDescent="0.55000000000000004">
      <c r="AA156" s="100"/>
      <c r="AB156" s="100"/>
    </row>
  </sheetData>
  <sheetProtection algorithmName="SHA-512" hashValue="MqlKnhe5HFQgaGo3GSAbIyYa4XFpiBLx1Io80sF2gLrZlhT3YNKiPcGuOB7obyIaCR9/FmQX/7iC2f/AitVkXQ==" saltValue="sKWcvXDALbjrbpUZkaBF2w==" spinCount="100000" sheet="1" objects="1" scenarios="1" formatCells="0" formatColumns="0" formatRows="0" insertColumns="0" insertRows="0" insertHyperlinks="0" deleteColumns="0" deleteRows="0" selectLockedCells="1" sort="0" autoFilter="0" pivotTables="0"/>
  <mergeCells count="19">
    <mergeCell ref="T7:T9"/>
    <mergeCell ref="D7:D9"/>
    <mergeCell ref="AB8:AB9"/>
    <mergeCell ref="AA7:AB7"/>
    <mergeCell ref="AA8:AA9"/>
    <mergeCell ref="W8:W9"/>
    <mergeCell ref="U8:U9"/>
    <mergeCell ref="V8:V9"/>
    <mergeCell ref="X8:X9"/>
    <mergeCell ref="Y7:Z7"/>
    <mergeCell ref="Y8:Y9"/>
    <mergeCell ref="Z8:Z9"/>
    <mergeCell ref="U7:X7"/>
    <mergeCell ref="D91:Q91"/>
    <mergeCell ref="D92:Q92"/>
    <mergeCell ref="B7:B9"/>
    <mergeCell ref="C7:C9"/>
    <mergeCell ref="I7:K7"/>
    <mergeCell ref="Q7:S7"/>
  </mergeCells>
  <phoneticPr fontId="3"/>
  <conditionalFormatting sqref="U27:U34 U10:U24 U39:V40 U43:U56 U59:U62 U68:U73 V43:V49">
    <cfRule type="notContainsBlanks" dxfId="3" priority="36">
      <formula>LEN(TRIM(U10))&gt;0</formula>
    </cfRule>
  </conditionalFormatting>
  <conditionalFormatting sqref="U10:U24 U27:U34 U39:U40 U43:U56 U59:U62 U68:U73">
    <cfRule type="duplicateValues" dxfId="2" priority="37"/>
  </conditionalFormatting>
  <dataValidations count="58">
    <dataValidation type="list" allowBlank="1" showInputMessage="1" showErrorMessage="1" sqref="U56" xr:uid="{31B0CDDC-7EC3-4E51-AE26-7B5D4744FE0E}">
      <formula1>$D$56:$T$56</formula1>
    </dataValidation>
    <dataValidation type="list" allowBlank="1" showInputMessage="1" showErrorMessage="1" sqref="U55" xr:uid="{58C27998-D451-4F5D-99B4-95CBCEED8410}">
      <formula1>$D$55:$T$55</formula1>
    </dataValidation>
    <dataValidation type="list" allowBlank="1" showInputMessage="1" showErrorMessage="1" sqref="U54" xr:uid="{C1090A07-EF0E-4670-8596-CF6B2BEF6C25}">
      <formula1>$D$54:$T$54</formula1>
    </dataValidation>
    <dataValidation type="list" allowBlank="1" showInputMessage="1" showErrorMessage="1" sqref="U53" xr:uid="{24F85C97-369B-479F-8FCF-2A99183AA24A}">
      <formula1>$D$53:$T$53</formula1>
    </dataValidation>
    <dataValidation type="list" allowBlank="1" showInputMessage="1" showErrorMessage="1" sqref="U52" xr:uid="{61AE851A-7444-4847-9BEF-DE61FB31E81F}">
      <formula1>$D$52:$T$52</formula1>
    </dataValidation>
    <dataValidation type="list" allowBlank="1" showInputMessage="1" showErrorMessage="1" sqref="U51" xr:uid="{0BD22039-06FC-48AA-B3E5-01B2D051082B}">
      <formula1>$D$51:$T$51</formula1>
    </dataValidation>
    <dataValidation type="list" allowBlank="1" showInputMessage="1" showErrorMessage="1" sqref="U50" xr:uid="{E3B5742B-DC2B-442A-90D3-C1DAF4476C11}">
      <formula1>$D$50:$T$50</formula1>
    </dataValidation>
    <dataValidation type="list" allowBlank="1" showInputMessage="1" showErrorMessage="1" sqref="U62" xr:uid="{7BC58FC2-76AA-4068-BB96-93258368AA11}">
      <formula1>$D$62:$T$62</formula1>
    </dataValidation>
    <dataValidation type="list" allowBlank="1" showInputMessage="1" showErrorMessage="1" sqref="U61" xr:uid="{2742876F-E56D-430C-94B2-1489CA7E5E80}">
      <formula1>$D$61:$T$61</formula1>
    </dataValidation>
    <dataValidation type="list" allowBlank="1" showInputMessage="1" showErrorMessage="1" sqref="U60" xr:uid="{7E522800-F7EF-43A9-A5C8-49AE0FBE0BC6}">
      <formula1>$D$60:$T$60</formula1>
    </dataValidation>
    <dataValidation type="list" allowBlank="1" showInputMessage="1" showErrorMessage="1" sqref="U59" xr:uid="{55DC7620-8E21-4BFB-9070-43CEBAA1D784}">
      <formula1>$D$59:$T$59</formula1>
    </dataValidation>
    <dataValidation type="list" allowBlank="1" showInputMessage="1" showErrorMessage="1" sqref="U49" xr:uid="{405D875A-9114-48BE-B671-91C1D6C6B285}">
      <formula1>$D$49:$T$49</formula1>
    </dataValidation>
    <dataValidation type="list" allowBlank="1" showInputMessage="1" showErrorMessage="1" sqref="U48" xr:uid="{D4B7971F-0443-4B7A-83B0-0BFD2614C14A}">
      <formula1>$D$48:$T$48</formula1>
    </dataValidation>
    <dataValidation type="list" allowBlank="1" showInputMessage="1" showErrorMessage="1" sqref="U43" xr:uid="{BC3FF583-7BFC-4792-B187-DED6A7F24276}">
      <formula1>$D$43:$T$43</formula1>
    </dataValidation>
    <dataValidation type="list" allowBlank="1" showInputMessage="1" showErrorMessage="1" sqref="U73" xr:uid="{A7514742-C9E9-45E8-BDCB-59E9EEA51174}">
      <formula1>$D$73:$T$73</formula1>
    </dataValidation>
    <dataValidation type="list" allowBlank="1" showInputMessage="1" showErrorMessage="1" sqref="U72" xr:uid="{A563C3DB-4B8A-4A84-BC29-EB983D1F994C}">
      <formula1>$D$72:$T$72</formula1>
    </dataValidation>
    <dataValidation type="list" allowBlank="1" showInputMessage="1" showErrorMessage="1" sqref="U71" xr:uid="{EC4BFF6D-7776-45D9-9884-6172DFF42A37}">
      <formula1>$D$71:$T$71</formula1>
    </dataValidation>
    <dataValidation type="list" allowBlank="1" showInputMessage="1" showErrorMessage="1" sqref="U70" xr:uid="{CFBB7346-6A9E-4663-8F3F-0C0E03B2965C}">
      <formula1>$D$70:$T$70</formula1>
    </dataValidation>
    <dataValidation type="list" allowBlank="1" showInputMessage="1" showErrorMessage="1" sqref="U69" xr:uid="{AD82A522-F729-43F7-8019-A8E04ED27A3A}">
      <formula1>$D$69:$T$69</formula1>
    </dataValidation>
    <dataValidation type="list" allowBlank="1" showInputMessage="1" showErrorMessage="1" sqref="U68" xr:uid="{7F20928F-8305-438F-A296-27624E1A9C91}">
      <formula1>$D$68:$T$68</formula1>
    </dataValidation>
    <dataValidation type="list" allowBlank="1" showInputMessage="1" showErrorMessage="1" sqref="U29" xr:uid="{C3B25D7B-9509-412D-B65C-6D238C5F5736}">
      <formula1>$D$29:$T$29</formula1>
    </dataValidation>
    <dataValidation type="list" allowBlank="1" showInputMessage="1" showErrorMessage="1" sqref="U28" xr:uid="{5E228684-E6EF-42DB-9822-A56D21ED8369}">
      <formula1>$D$28:$T$28</formula1>
    </dataValidation>
    <dataValidation type="list" allowBlank="1" showInputMessage="1" showErrorMessage="1" sqref="U17" xr:uid="{1767B0C0-5D9D-4393-B9E2-EF28228F7C0D}">
      <formula1>$D$17:$T$17</formula1>
    </dataValidation>
    <dataValidation type="list" allowBlank="1" showInputMessage="1" showErrorMessage="1" sqref="U16" xr:uid="{87F4B2A1-EF07-4B05-8F6E-5114B3A0DE9B}">
      <formula1>$D$16:$T$16</formula1>
    </dataValidation>
    <dataValidation type="list" allowBlank="1" showInputMessage="1" showErrorMessage="1" sqref="U10" xr:uid="{3F745A41-9F12-477A-96B0-51B8FD93D3D8}">
      <formula1>$D$10:$T$10</formula1>
    </dataValidation>
    <dataValidation type="list" allowBlank="1" showInputMessage="1" showErrorMessage="1" sqref="U11" xr:uid="{5D261AF1-7DFA-418F-B9AB-58AD3F41665E}">
      <formula1>$D$11:$T$11</formula1>
    </dataValidation>
    <dataValidation type="list" allowBlank="1" showInputMessage="1" showErrorMessage="1" sqref="U12" xr:uid="{2D89389C-35C8-4667-B999-AFCE07F0FE02}">
      <formula1>$D$12:$T$12</formula1>
    </dataValidation>
    <dataValidation type="list" allowBlank="1" showInputMessage="1" showErrorMessage="1" sqref="U13" xr:uid="{4C4D717D-925E-4C50-A67C-2B6073167F1C}">
      <formula1>$D$13:$T$13</formula1>
    </dataValidation>
    <dataValidation type="list" allowBlank="1" showInputMessage="1" showErrorMessage="1" sqref="U14" xr:uid="{F18543C2-430D-48B5-85D8-A2E598219336}">
      <formula1>$D$14:$T$14</formula1>
    </dataValidation>
    <dataValidation type="list" allowBlank="1" showInputMessage="1" showErrorMessage="1" sqref="U15" xr:uid="{2CEB1D1F-B221-4CB7-BCC1-ED531E291E3D}">
      <formula1>$D$15:$T$15</formula1>
    </dataValidation>
    <dataValidation type="list" allowBlank="1" showInputMessage="1" showErrorMessage="1" sqref="U30" xr:uid="{910EBE35-FFE3-4746-A425-D6DE525F693A}">
      <formula1>$D$30:$T$30</formula1>
    </dataValidation>
    <dataValidation type="list" allowBlank="1" showInputMessage="1" showErrorMessage="1" sqref="U31" xr:uid="{AC8210B2-7FFC-474B-A0E2-917F04AD05CD}">
      <formula1>$D$31:$T$31</formula1>
    </dataValidation>
    <dataValidation type="list" allowBlank="1" showInputMessage="1" showErrorMessage="1" sqref="U27" xr:uid="{C3EF483B-C980-4E7C-B9FD-DE72D340CC19}">
      <formula1>$D$27:$T$27</formula1>
    </dataValidation>
    <dataValidation type="list" allowBlank="1" showInputMessage="1" showErrorMessage="1" sqref="U44" xr:uid="{18C14EFE-E351-44D3-9F20-A3B25EA7ADC0}">
      <formula1>$D$44:$T$44</formula1>
    </dataValidation>
    <dataValidation type="list" allowBlank="1" showInputMessage="1" showErrorMessage="1" sqref="U45" xr:uid="{BCACF0FC-2560-4E6E-A463-92DE7E900398}">
      <formula1>$D$45:$T$45</formula1>
    </dataValidation>
    <dataValidation type="list" allowBlank="1" showInputMessage="1" showErrorMessage="1" sqref="U46" xr:uid="{A42DEBBE-E1AE-49EA-AD5E-73A1B3A94DAF}">
      <formula1>$D$46:$T$46</formula1>
    </dataValidation>
    <dataValidation type="list" allowBlank="1" showInputMessage="1" showErrorMessage="1" sqref="U18" xr:uid="{47CCE752-DDD1-4202-99C8-18B6D95481B8}">
      <formula1>$D$18:$T$18</formula1>
    </dataValidation>
    <dataValidation type="list" allowBlank="1" showInputMessage="1" showErrorMessage="1" sqref="U19" xr:uid="{80A17DF8-ECE4-4E06-B254-0E7061DBC6F0}">
      <formula1>$D$19:$T$19</formula1>
    </dataValidation>
    <dataValidation type="list" allowBlank="1" showInputMessage="1" showErrorMessage="1" sqref="U20" xr:uid="{5C93F253-BF9A-47F9-916E-CEE2BEF55005}">
      <formula1>$D$20:$T$20</formula1>
    </dataValidation>
    <dataValidation type="list" allowBlank="1" showInputMessage="1" showErrorMessage="1" sqref="U21" xr:uid="{5CD5416C-0A5E-442B-AF49-265E6B4E28F1}">
      <formula1>$D$21:$T$21</formula1>
    </dataValidation>
    <dataValidation type="list" allowBlank="1" showInputMessage="1" showErrorMessage="1" sqref="U22" xr:uid="{B450F076-D979-426C-B0FC-00F3885DF080}">
      <formula1>$D$22:$T$22</formula1>
    </dataValidation>
    <dataValidation type="list" allowBlank="1" showInputMessage="1" showErrorMessage="1" sqref="U23" xr:uid="{F8E266B0-04D3-4EF5-A13E-0EDBD6F8AC61}">
      <formula1>$D$23:$T$23</formula1>
    </dataValidation>
    <dataValidation type="list" allowBlank="1" showInputMessage="1" showErrorMessage="1" sqref="U47" xr:uid="{F18DF337-B470-4FD8-8573-DACCA949F502}">
      <formula1>$D$47:$T$47</formula1>
    </dataValidation>
    <dataValidation type="list" allowBlank="1" showInputMessage="1" showErrorMessage="1" sqref="U32" xr:uid="{A2FB5822-ED9D-46BF-81C5-01D84F276AE1}">
      <formula1>$D$32:$T$32</formula1>
    </dataValidation>
    <dataValidation type="list" allowBlank="1" showInputMessage="1" showErrorMessage="1" sqref="U33" xr:uid="{5EC012B3-83DD-4EFB-A187-257957B94D64}">
      <formula1>$D$33:$T$33</formula1>
    </dataValidation>
    <dataValidation type="list" allowBlank="1" showInputMessage="1" showErrorMessage="1" sqref="U34" xr:uid="{39E31694-48C7-4A9C-B80A-FABF3620F733}">
      <formula1>$D$34:$T$34</formula1>
    </dataValidation>
    <dataValidation type="list" allowBlank="1" showInputMessage="1" showErrorMessage="1" sqref="U39" xr:uid="{C5044A22-547C-422C-9BA0-1D02568DDAD4}">
      <formula1>$D$39:$T$39</formula1>
    </dataValidation>
    <dataValidation type="list" allowBlank="1" showInputMessage="1" showErrorMessage="1" sqref="U40" xr:uid="{31549125-E200-44F9-B250-9C1F7158E73B}">
      <formula1>$D$40:$T$40</formula1>
    </dataValidation>
    <dataValidation type="list" allowBlank="1" showInputMessage="1" showErrorMessage="1" sqref="U24" xr:uid="{09756FF6-576D-4427-83F0-455E88A339B7}">
      <formula1>$D$24:$T$24</formula1>
    </dataValidation>
    <dataValidation type="list" allowBlank="1" showInputMessage="1" showErrorMessage="1" sqref="V39" xr:uid="{F14039DB-6CD2-4049-9A9C-4AF6131EAF71}">
      <formula1>"NA, SMARTIO12_0"</formula1>
    </dataValidation>
    <dataValidation type="list" allowBlank="1" showInputMessage="1" showErrorMessage="1" sqref="V40" xr:uid="{A503218D-9CE5-43B5-9C3C-8C045C6B197A}">
      <formula1>"NA, SMARTIO12_1"</formula1>
    </dataValidation>
    <dataValidation type="list" allowBlank="1" showInputMessage="1" showErrorMessage="1" sqref="V43" xr:uid="{E2CC7ADC-9150-4977-A445-5D3F2CD0B455}">
      <formula1>"NA, SMARTIO13_0"</formula1>
    </dataValidation>
    <dataValidation type="list" allowBlank="1" showInputMessage="1" showErrorMessage="1" sqref="V44" xr:uid="{63D76086-F243-4812-A5D3-CBF1901A88FD}">
      <formula1>"NA, SMARTIO13_1"</formula1>
    </dataValidation>
    <dataValidation type="list" allowBlank="1" showInputMessage="1" showErrorMessage="1" sqref="V45" xr:uid="{8764F51A-A4F4-48EA-9789-2996FDBD2F7B}">
      <formula1>"NA, SMARTIO13_2"</formula1>
    </dataValidation>
    <dataValidation type="list" allowBlank="1" showInputMessage="1" showErrorMessage="1" sqref="V46" xr:uid="{EA172C7D-C9D1-4EF1-BAAE-5562057A4AE9}">
      <formula1>"NA, SMARTIO13_3"</formula1>
    </dataValidation>
    <dataValidation type="list" allowBlank="1" showInputMessage="1" showErrorMessage="1" sqref="V47" xr:uid="{8B0AFE7A-9E62-437F-BCD0-CE2FDEA40756}">
      <formula1>"NA, SMARTIO14_0"</formula1>
    </dataValidation>
    <dataValidation type="list" allowBlank="1" showInputMessage="1" showErrorMessage="1" sqref="V48" xr:uid="{C0CDF648-6446-406F-A401-AEF4EA59DC90}">
      <formula1>"NA, SMARTIO14_1"</formula1>
    </dataValidation>
    <dataValidation type="list" allowBlank="1" showInputMessage="1" showErrorMessage="1" sqref="V49" xr:uid="{DCE9D729-2F7D-4769-9ABD-52A24B6904A2}">
      <formula1>"NA, SMARTIO14_2"</formula1>
    </dataValidation>
  </dataValidations>
  <pageMargins left="0.7" right="0.7" top="0.75" bottom="0.75" header="0.3" footer="0.3"/>
  <pageSetup paperSize="9" orientation="portrait" r:id="rId1"/>
  <ignoredErrors>
    <ignoredError sqref="W10:W73" unlockedFormula="1"/>
  </ignoredErrors>
  <drawing r:id="rId2"/>
  <legacy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1CC7D-2D94-409E-BF24-1E9478D670FB}">
  <dimension ref="A1:BQ127"/>
  <sheetViews>
    <sheetView zoomScale="70" zoomScaleNormal="70" workbookViewId="0">
      <selection activeCell="N5" sqref="N5"/>
    </sheetView>
  </sheetViews>
  <sheetFormatPr defaultRowHeight="10" x14ac:dyDescent="0.55000000000000004"/>
  <cols>
    <col min="1" max="1" width="8.58203125" style="40"/>
    <col min="2" max="2" width="14.08203125" style="40" bestFit="1" customWidth="1"/>
    <col min="3" max="3" width="16" style="40" bestFit="1" customWidth="1"/>
    <col min="4" max="66" width="6.08203125" style="40" customWidth="1"/>
    <col min="67" max="69" width="8.58203125" style="40" customWidth="1"/>
    <col min="70" max="291" width="8.58203125" style="40"/>
    <col min="292" max="292" width="14.33203125" style="40" customWidth="1"/>
    <col min="293" max="294" width="3.33203125" style="40" customWidth="1"/>
    <col min="295" max="319" width="2.33203125" style="40" customWidth="1"/>
    <col min="320" max="321" width="3.33203125" style="40" customWidth="1"/>
    <col min="322" max="322" width="14.33203125" style="40" customWidth="1"/>
    <col min="323" max="547" width="8.58203125" style="40"/>
    <col min="548" max="548" width="14.33203125" style="40" customWidth="1"/>
    <col min="549" max="550" width="3.33203125" style="40" customWidth="1"/>
    <col min="551" max="575" width="2.33203125" style="40" customWidth="1"/>
    <col min="576" max="577" width="3.33203125" style="40" customWidth="1"/>
    <col min="578" max="578" width="14.33203125" style="40" customWidth="1"/>
    <col min="579" max="803" width="8.58203125" style="40"/>
    <col min="804" max="804" width="14.33203125" style="40" customWidth="1"/>
    <col min="805" max="806" width="3.33203125" style="40" customWidth="1"/>
    <col min="807" max="831" width="2.33203125" style="40" customWidth="1"/>
    <col min="832" max="833" width="3.33203125" style="40" customWidth="1"/>
    <col min="834" max="834" width="14.33203125" style="40" customWidth="1"/>
    <col min="835" max="1059" width="8.58203125" style="40"/>
    <col min="1060" max="1060" width="14.33203125" style="40" customWidth="1"/>
    <col min="1061" max="1062" width="3.33203125" style="40" customWidth="1"/>
    <col min="1063" max="1087" width="2.33203125" style="40" customWidth="1"/>
    <col min="1088" max="1089" width="3.33203125" style="40" customWidth="1"/>
    <col min="1090" max="1090" width="14.33203125" style="40" customWidth="1"/>
    <col min="1091" max="1315" width="8.58203125" style="40"/>
    <col min="1316" max="1316" width="14.33203125" style="40" customWidth="1"/>
    <col min="1317" max="1318" width="3.33203125" style="40" customWidth="1"/>
    <col min="1319" max="1343" width="2.33203125" style="40" customWidth="1"/>
    <col min="1344" max="1345" width="3.33203125" style="40" customWidth="1"/>
    <col min="1346" max="1346" width="14.33203125" style="40" customWidth="1"/>
    <col min="1347" max="1571" width="8.58203125" style="40"/>
    <col min="1572" max="1572" width="14.33203125" style="40" customWidth="1"/>
    <col min="1573" max="1574" width="3.33203125" style="40" customWidth="1"/>
    <col min="1575" max="1599" width="2.33203125" style="40" customWidth="1"/>
    <col min="1600" max="1601" width="3.33203125" style="40" customWidth="1"/>
    <col min="1602" max="1602" width="14.33203125" style="40" customWidth="1"/>
    <col min="1603" max="1827" width="8.58203125" style="40"/>
    <col min="1828" max="1828" width="14.33203125" style="40" customWidth="1"/>
    <col min="1829" max="1830" width="3.33203125" style="40" customWidth="1"/>
    <col min="1831" max="1855" width="2.33203125" style="40" customWidth="1"/>
    <col min="1856" max="1857" width="3.33203125" style="40" customWidth="1"/>
    <col min="1858" max="1858" width="14.33203125" style="40" customWidth="1"/>
    <col min="1859" max="2083" width="8.58203125" style="40"/>
    <col min="2084" max="2084" width="14.33203125" style="40" customWidth="1"/>
    <col min="2085" max="2086" width="3.33203125" style="40" customWidth="1"/>
    <col min="2087" max="2111" width="2.33203125" style="40" customWidth="1"/>
    <col min="2112" max="2113" width="3.33203125" style="40" customWidth="1"/>
    <col min="2114" max="2114" width="14.33203125" style="40" customWidth="1"/>
    <col min="2115" max="2339" width="8.58203125" style="40"/>
    <col min="2340" max="2340" width="14.33203125" style="40" customWidth="1"/>
    <col min="2341" max="2342" width="3.33203125" style="40" customWidth="1"/>
    <col min="2343" max="2367" width="2.33203125" style="40" customWidth="1"/>
    <col min="2368" max="2369" width="3.33203125" style="40" customWidth="1"/>
    <col min="2370" max="2370" width="14.33203125" style="40" customWidth="1"/>
    <col min="2371" max="2595" width="8.58203125" style="40"/>
    <col min="2596" max="2596" width="14.33203125" style="40" customWidth="1"/>
    <col min="2597" max="2598" width="3.33203125" style="40" customWidth="1"/>
    <col min="2599" max="2623" width="2.33203125" style="40" customWidth="1"/>
    <col min="2624" max="2625" width="3.33203125" style="40" customWidth="1"/>
    <col min="2626" max="2626" width="14.33203125" style="40" customWidth="1"/>
    <col min="2627" max="2851" width="8.58203125" style="40"/>
    <col min="2852" max="2852" width="14.33203125" style="40" customWidth="1"/>
    <col min="2853" max="2854" width="3.33203125" style="40" customWidth="1"/>
    <col min="2855" max="2879" width="2.33203125" style="40" customWidth="1"/>
    <col min="2880" max="2881" width="3.33203125" style="40" customWidth="1"/>
    <col min="2882" max="2882" width="14.33203125" style="40" customWidth="1"/>
    <col min="2883" max="3107" width="8.58203125" style="40"/>
    <col min="3108" max="3108" width="14.33203125" style="40" customWidth="1"/>
    <col min="3109" max="3110" width="3.33203125" style="40" customWidth="1"/>
    <col min="3111" max="3135" width="2.33203125" style="40" customWidth="1"/>
    <col min="3136" max="3137" width="3.33203125" style="40" customWidth="1"/>
    <col min="3138" max="3138" width="14.33203125" style="40" customWidth="1"/>
    <col min="3139" max="3363" width="8.58203125" style="40"/>
    <col min="3364" max="3364" width="14.33203125" style="40" customWidth="1"/>
    <col min="3365" max="3366" width="3.33203125" style="40" customWidth="1"/>
    <col min="3367" max="3391" width="2.33203125" style="40" customWidth="1"/>
    <col min="3392" max="3393" width="3.33203125" style="40" customWidth="1"/>
    <col min="3394" max="3394" width="14.33203125" style="40" customWidth="1"/>
    <col min="3395" max="3619" width="8.58203125" style="40"/>
    <col min="3620" max="3620" width="14.33203125" style="40" customWidth="1"/>
    <col min="3621" max="3622" width="3.33203125" style="40" customWidth="1"/>
    <col min="3623" max="3647" width="2.33203125" style="40" customWidth="1"/>
    <col min="3648" max="3649" width="3.33203125" style="40" customWidth="1"/>
    <col min="3650" max="3650" width="14.33203125" style="40" customWidth="1"/>
    <col min="3651" max="3875" width="8.58203125" style="40"/>
    <col min="3876" max="3876" width="14.33203125" style="40" customWidth="1"/>
    <col min="3877" max="3878" width="3.33203125" style="40" customWidth="1"/>
    <col min="3879" max="3903" width="2.33203125" style="40" customWidth="1"/>
    <col min="3904" max="3905" width="3.33203125" style="40" customWidth="1"/>
    <col min="3906" max="3906" width="14.33203125" style="40" customWidth="1"/>
    <col min="3907" max="4131" width="8.58203125" style="40"/>
    <col min="4132" max="4132" width="14.33203125" style="40" customWidth="1"/>
    <col min="4133" max="4134" width="3.33203125" style="40" customWidth="1"/>
    <col min="4135" max="4159" width="2.33203125" style="40" customWidth="1"/>
    <col min="4160" max="4161" width="3.33203125" style="40" customWidth="1"/>
    <col min="4162" max="4162" width="14.33203125" style="40" customWidth="1"/>
    <col min="4163" max="4387" width="8.58203125" style="40"/>
    <col min="4388" max="4388" width="14.33203125" style="40" customWidth="1"/>
    <col min="4389" max="4390" width="3.33203125" style="40" customWidth="1"/>
    <col min="4391" max="4415" width="2.33203125" style="40" customWidth="1"/>
    <col min="4416" max="4417" width="3.33203125" style="40" customWidth="1"/>
    <col min="4418" max="4418" width="14.33203125" style="40" customWidth="1"/>
    <col min="4419" max="4643" width="8.58203125" style="40"/>
    <col min="4644" max="4644" width="14.33203125" style="40" customWidth="1"/>
    <col min="4645" max="4646" width="3.33203125" style="40" customWidth="1"/>
    <col min="4647" max="4671" width="2.33203125" style="40" customWidth="1"/>
    <col min="4672" max="4673" width="3.33203125" style="40" customWidth="1"/>
    <col min="4674" max="4674" width="14.33203125" style="40" customWidth="1"/>
    <col min="4675" max="4899" width="8.58203125" style="40"/>
    <col min="4900" max="4900" width="14.33203125" style="40" customWidth="1"/>
    <col min="4901" max="4902" width="3.33203125" style="40" customWidth="1"/>
    <col min="4903" max="4927" width="2.33203125" style="40" customWidth="1"/>
    <col min="4928" max="4929" width="3.33203125" style="40" customWidth="1"/>
    <col min="4930" max="4930" width="14.33203125" style="40" customWidth="1"/>
    <col min="4931" max="5155" width="8.58203125" style="40"/>
    <col min="5156" max="5156" width="14.33203125" style="40" customWidth="1"/>
    <col min="5157" max="5158" width="3.33203125" style="40" customWidth="1"/>
    <col min="5159" max="5183" width="2.33203125" style="40" customWidth="1"/>
    <col min="5184" max="5185" width="3.33203125" style="40" customWidth="1"/>
    <col min="5186" max="5186" width="14.33203125" style="40" customWidth="1"/>
    <col min="5187" max="5411" width="8.58203125" style="40"/>
    <col min="5412" max="5412" width="14.33203125" style="40" customWidth="1"/>
    <col min="5413" max="5414" width="3.33203125" style="40" customWidth="1"/>
    <col min="5415" max="5439" width="2.33203125" style="40" customWidth="1"/>
    <col min="5440" max="5441" width="3.33203125" style="40" customWidth="1"/>
    <col min="5442" max="5442" width="14.33203125" style="40" customWidth="1"/>
    <col min="5443" max="5667" width="8.58203125" style="40"/>
    <col min="5668" max="5668" width="14.33203125" style="40" customWidth="1"/>
    <col min="5669" max="5670" width="3.33203125" style="40" customWidth="1"/>
    <col min="5671" max="5695" width="2.33203125" style="40" customWidth="1"/>
    <col min="5696" max="5697" width="3.33203125" style="40" customWidth="1"/>
    <col min="5698" max="5698" width="14.33203125" style="40" customWidth="1"/>
    <col min="5699" max="5923" width="8.58203125" style="40"/>
    <col min="5924" max="5924" width="14.33203125" style="40" customWidth="1"/>
    <col min="5925" max="5926" width="3.33203125" style="40" customWidth="1"/>
    <col min="5927" max="5951" width="2.33203125" style="40" customWidth="1"/>
    <col min="5952" max="5953" width="3.33203125" style="40" customWidth="1"/>
    <col min="5954" max="5954" width="14.33203125" style="40" customWidth="1"/>
    <col min="5955" max="6179" width="8.58203125" style="40"/>
    <col min="6180" max="6180" width="14.33203125" style="40" customWidth="1"/>
    <col min="6181" max="6182" width="3.33203125" style="40" customWidth="1"/>
    <col min="6183" max="6207" width="2.33203125" style="40" customWidth="1"/>
    <col min="6208" max="6209" width="3.33203125" style="40" customWidth="1"/>
    <col min="6210" max="6210" width="14.33203125" style="40" customWidth="1"/>
    <col min="6211" max="6435" width="8.58203125" style="40"/>
    <col min="6436" max="6436" width="14.33203125" style="40" customWidth="1"/>
    <col min="6437" max="6438" width="3.33203125" style="40" customWidth="1"/>
    <col min="6439" max="6463" width="2.33203125" style="40" customWidth="1"/>
    <col min="6464" max="6465" width="3.33203125" style="40" customWidth="1"/>
    <col min="6466" max="6466" width="14.33203125" style="40" customWidth="1"/>
    <col min="6467" max="6691" width="8.58203125" style="40"/>
    <col min="6692" max="6692" width="14.33203125" style="40" customWidth="1"/>
    <col min="6693" max="6694" width="3.33203125" style="40" customWidth="1"/>
    <col min="6695" max="6719" width="2.33203125" style="40" customWidth="1"/>
    <col min="6720" max="6721" width="3.33203125" style="40" customWidth="1"/>
    <col min="6722" max="6722" width="14.33203125" style="40" customWidth="1"/>
    <col min="6723" max="6947" width="8.58203125" style="40"/>
    <col min="6948" max="6948" width="14.33203125" style="40" customWidth="1"/>
    <col min="6949" max="6950" width="3.33203125" style="40" customWidth="1"/>
    <col min="6951" max="6975" width="2.33203125" style="40" customWidth="1"/>
    <col min="6976" max="6977" width="3.33203125" style="40" customWidth="1"/>
    <col min="6978" max="6978" width="14.33203125" style="40" customWidth="1"/>
    <col min="6979" max="7203" width="8.58203125" style="40"/>
    <col min="7204" max="7204" width="14.33203125" style="40" customWidth="1"/>
    <col min="7205" max="7206" width="3.33203125" style="40" customWidth="1"/>
    <col min="7207" max="7231" width="2.33203125" style="40" customWidth="1"/>
    <col min="7232" max="7233" width="3.33203125" style="40" customWidth="1"/>
    <col min="7234" max="7234" width="14.33203125" style="40" customWidth="1"/>
    <col min="7235" max="7459" width="8.58203125" style="40"/>
    <col min="7460" max="7460" width="14.33203125" style="40" customWidth="1"/>
    <col min="7461" max="7462" width="3.33203125" style="40" customWidth="1"/>
    <col min="7463" max="7487" width="2.33203125" style="40" customWidth="1"/>
    <col min="7488" max="7489" width="3.33203125" style="40" customWidth="1"/>
    <col min="7490" max="7490" width="14.33203125" style="40" customWidth="1"/>
    <col min="7491" max="7715" width="8.58203125" style="40"/>
    <col min="7716" max="7716" width="14.33203125" style="40" customWidth="1"/>
    <col min="7717" max="7718" width="3.33203125" style="40" customWidth="1"/>
    <col min="7719" max="7743" width="2.33203125" style="40" customWidth="1"/>
    <col min="7744" max="7745" width="3.33203125" style="40" customWidth="1"/>
    <col min="7746" max="7746" width="14.33203125" style="40" customWidth="1"/>
    <col min="7747" max="7971" width="8.58203125" style="40"/>
    <col min="7972" max="7972" width="14.33203125" style="40" customWidth="1"/>
    <col min="7973" max="7974" width="3.33203125" style="40" customWidth="1"/>
    <col min="7975" max="7999" width="2.33203125" style="40" customWidth="1"/>
    <col min="8000" max="8001" width="3.33203125" style="40" customWidth="1"/>
    <col min="8002" max="8002" width="14.33203125" style="40" customWidth="1"/>
    <col min="8003" max="8227" width="8.58203125" style="40"/>
    <col min="8228" max="8228" width="14.33203125" style="40" customWidth="1"/>
    <col min="8229" max="8230" width="3.33203125" style="40" customWidth="1"/>
    <col min="8231" max="8255" width="2.33203125" style="40" customWidth="1"/>
    <col min="8256" max="8257" width="3.33203125" style="40" customWidth="1"/>
    <col min="8258" max="8258" width="14.33203125" style="40" customWidth="1"/>
    <col min="8259" max="8483" width="8.58203125" style="40"/>
    <col min="8484" max="8484" width="14.33203125" style="40" customWidth="1"/>
    <col min="8485" max="8486" width="3.33203125" style="40" customWidth="1"/>
    <col min="8487" max="8511" width="2.33203125" style="40" customWidth="1"/>
    <col min="8512" max="8513" width="3.33203125" style="40" customWidth="1"/>
    <col min="8514" max="8514" width="14.33203125" style="40" customWidth="1"/>
    <col min="8515" max="8739" width="8.58203125" style="40"/>
    <col min="8740" max="8740" width="14.33203125" style="40" customWidth="1"/>
    <col min="8741" max="8742" width="3.33203125" style="40" customWidth="1"/>
    <col min="8743" max="8767" width="2.33203125" style="40" customWidth="1"/>
    <col min="8768" max="8769" width="3.33203125" style="40" customWidth="1"/>
    <col min="8770" max="8770" width="14.33203125" style="40" customWidth="1"/>
    <col min="8771" max="8995" width="8.58203125" style="40"/>
    <col min="8996" max="8996" width="14.33203125" style="40" customWidth="1"/>
    <col min="8997" max="8998" width="3.33203125" style="40" customWidth="1"/>
    <col min="8999" max="9023" width="2.33203125" style="40" customWidth="1"/>
    <col min="9024" max="9025" width="3.33203125" style="40" customWidth="1"/>
    <col min="9026" max="9026" width="14.33203125" style="40" customWidth="1"/>
    <col min="9027" max="9251" width="8.58203125" style="40"/>
    <col min="9252" max="9252" width="14.33203125" style="40" customWidth="1"/>
    <col min="9253" max="9254" width="3.33203125" style="40" customWidth="1"/>
    <col min="9255" max="9279" width="2.33203125" style="40" customWidth="1"/>
    <col min="9280" max="9281" width="3.33203125" style="40" customWidth="1"/>
    <col min="9282" max="9282" width="14.33203125" style="40" customWidth="1"/>
    <col min="9283" max="9507" width="8.58203125" style="40"/>
    <col min="9508" max="9508" width="14.33203125" style="40" customWidth="1"/>
    <col min="9509" max="9510" width="3.33203125" style="40" customWidth="1"/>
    <col min="9511" max="9535" width="2.33203125" style="40" customWidth="1"/>
    <col min="9536" max="9537" width="3.33203125" style="40" customWidth="1"/>
    <col min="9538" max="9538" width="14.33203125" style="40" customWidth="1"/>
    <col min="9539" max="9763" width="8.58203125" style="40"/>
    <col min="9764" max="9764" width="14.33203125" style="40" customWidth="1"/>
    <col min="9765" max="9766" width="3.33203125" style="40" customWidth="1"/>
    <col min="9767" max="9791" width="2.33203125" style="40" customWidth="1"/>
    <col min="9792" max="9793" width="3.33203125" style="40" customWidth="1"/>
    <col min="9794" max="9794" width="14.33203125" style="40" customWidth="1"/>
    <col min="9795" max="10019" width="8.58203125" style="40"/>
    <col min="10020" max="10020" width="14.33203125" style="40" customWidth="1"/>
    <col min="10021" max="10022" width="3.33203125" style="40" customWidth="1"/>
    <col min="10023" max="10047" width="2.33203125" style="40" customWidth="1"/>
    <col min="10048" max="10049" width="3.33203125" style="40" customWidth="1"/>
    <col min="10050" max="10050" width="14.33203125" style="40" customWidth="1"/>
    <col min="10051" max="10275" width="8.58203125" style="40"/>
    <col min="10276" max="10276" width="14.33203125" style="40" customWidth="1"/>
    <col min="10277" max="10278" width="3.33203125" style="40" customWidth="1"/>
    <col min="10279" max="10303" width="2.33203125" style="40" customWidth="1"/>
    <col min="10304" max="10305" width="3.33203125" style="40" customWidth="1"/>
    <col min="10306" max="10306" width="14.33203125" style="40" customWidth="1"/>
    <col min="10307" max="10531" width="8.58203125" style="40"/>
    <col min="10532" max="10532" width="14.33203125" style="40" customWidth="1"/>
    <col min="10533" max="10534" width="3.33203125" style="40" customWidth="1"/>
    <col min="10535" max="10559" width="2.33203125" style="40" customWidth="1"/>
    <col min="10560" max="10561" width="3.33203125" style="40" customWidth="1"/>
    <col min="10562" max="10562" width="14.33203125" style="40" customWidth="1"/>
    <col min="10563" max="10787" width="8.58203125" style="40"/>
    <col min="10788" max="10788" width="14.33203125" style="40" customWidth="1"/>
    <col min="10789" max="10790" width="3.33203125" style="40" customWidth="1"/>
    <col min="10791" max="10815" width="2.33203125" style="40" customWidth="1"/>
    <col min="10816" max="10817" width="3.33203125" style="40" customWidth="1"/>
    <col min="10818" max="10818" width="14.33203125" style="40" customWidth="1"/>
    <col min="10819" max="11043" width="8.58203125" style="40"/>
    <col min="11044" max="11044" width="14.33203125" style="40" customWidth="1"/>
    <col min="11045" max="11046" width="3.33203125" style="40" customWidth="1"/>
    <col min="11047" max="11071" width="2.33203125" style="40" customWidth="1"/>
    <col min="11072" max="11073" width="3.33203125" style="40" customWidth="1"/>
    <col min="11074" max="11074" width="14.33203125" style="40" customWidth="1"/>
    <col min="11075" max="11299" width="8.58203125" style="40"/>
    <col min="11300" max="11300" width="14.33203125" style="40" customWidth="1"/>
    <col min="11301" max="11302" width="3.33203125" style="40" customWidth="1"/>
    <col min="11303" max="11327" width="2.33203125" style="40" customWidth="1"/>
    <col min="11328" max="11329" width="3.33203125" style="40" customWidth="1"/>
    <col min="11330" max="11330" width="14.33203125" style="40" customWidth="1"/>
    <col min="11331" max="11555" width="8.58203125" style="40"/>
    <col min="11556" max="11556" width="14.33203125" style="40" customWidth="1"/>
    <col min="11557" max="11558" width="3.33203125" style="40" customWidth="1"/>
    <col min="11559" max="11583" width="2.33203125" style="40" customWidth="1"/>
    <col min="11584" max="11585" width="3.33203125" style="40" customWidth="1"/>
    <col min="11586" max="11586" width="14.33203125" style="40" customWidth="1"/>
    <col min="11587" max="11811" width="8.58203125" style="40"/>
    <col min="11812" max="11812" width="14.33203125" style="40" customWidth="1"/>
    <col min="11813" max="11814" width="3.33203125" style="40" customWidth="1"/>
    <col min="11815" max="11839" width="2.33203125" style="40" customWidth="1"/>
    <col min="11840" max="11841" width="3.33203125" style="40" customWidth="1"/>
    <col min="11842" max="11842" width="14.33203125" style="40" customWidth="1"/>
    <col min="11843" max="12067" width="8.58203125" style="40"/>
    <col min="12068" max="12068" width="14.33203125" style="40" customWidth="1"/>
    <col min="12069" max="12070" width="3.33203125" style="40" customWidth="1"/>
    <col min="12071" max="12095" width="2.33203125" style="40" customWidth="1"/>
    <col min="12096" max="12097" width="3.33203125" style="40" customWidth="1"/>
    <col min="12098" max="12098" width="14.33203125" style="40" customWidth="1"/>
    <col min="12099" max="12323" width="8.58203125" style="40"/>
    <col min="12324" max="12324" width="14.33203125" style="40" customWidth="1"/>
    <col min="12325" max="12326" width="3.33203125" style="40" customWidth="1"/>
    <col min="12327" max="12351" width="2.33203125" style="40" customWidth="1"/>
    <col min="12352" max="12353" width="3.33203125" style="40" customWidth="1"/>
    <col min="12354" max="12354" width="14.33203125" style="40" customWidth="1"/>
    <col min="12355" max="12579" width="8.58203125" style="40"/>
    <col min="12580" max="12580" width="14.33203125" style="40" customWidth="1"/>
    <col min="12581" max="12582" width="3.33203125" style="40" customWidth="1"/>
    <col min="12583" max="12607" width="2.33203125" style="40" customWidth="1"/>
    <col min="12608" max="12609" width="3.33203125" style="40" customWidth="1"/>
    <col min="12610" max="12610" width="14.33203125" style="40" customWidth="1"/>
    <col min="12611" max="12835" width="8.58203125" style="40"/>
    <col min="12836" max="12836" width="14.33203125" style="40" customWidth="1"/>
    <col min="12837" max="12838" width="3.33203125" style="40" customWidth="1"/>
    <col min="12839" max="12863" width="2.33203125" style="40" customWidth="1"/>
    <col min="12864" max="12865" width="3.33203125" style="40" customWidth="1"/>
    <col min="12866" max="12866" width="14.33203125" style="40" customWidth="1"/>
    <col min="12867" max="13091" width="8.58203125" style="40"/>
    <col min="13092" max="13092" width="14.33203125" style="40" customWidth="1"/>
    <col min="13093" max="13094" width="3.33203125" style="40" customWidth="1"/>
    <col min="13095" max="13119" width="2.33203125" style="40" customWidth="1"/>
    <col min="13120" max="13121" width="3.33203125" style="40" customWidth="1"/>
    <col min="13122" max="13122" width="14.33203125" style="40" customWidth="1"/>
    <col min="13123" max="13347" width="8.58203125" style="40"/>
    <col min="13348" max="13348" width="14.33203125" style="40" customWidth="1"/>
    <col min="13349" max="13350" width="3.33203125" style="40" customWidth="1"/>
    <col min="13351" max="13375" width="2.33203125" style="40" customWidth="1"/>
    <col min="13376" max="13377" width="3.33203125" style="40" customWidth="1"/>
    <col min="13378" max="13378" width="14.33203125" style="40" customWidth="1"/>
    <col min="13379" max="13603" width="8.58203125" style="40"/>
    <col min="13604" max="13604" width="14.33203125" style="40" customWidth="1"/>
    <col min="13605" max="13606" width="3.33203125" style="40" customWidth="1"/>
    <col min="13607" max="13631" width="2.33203125" style="40" customWidth="1"/>
    <col min="13632" max="13633" width="3.33203125" style="40" customWidth="1"/>
    <col min="13634" max="13634" width="14.33203125" style="40" customWidth="1"/>
    <col min="13635" max="13859" width="8.58203125" style="40"/>
    <col min="13860" max="13860" width="14.33203125" style="40" customWidth="1"/>
    <col min="13861" max="13862" width="3.33203125" style="40" customWidth="1"/>
    <col min="13863" max="13887" width="2.33203125" style="40" customWidth="1"/>
    <col min="13888" max="13889" width="3.33203125" style="40" customWidth="1"/>
    <col min="13890" max="13890" width="14.33203125" style="40" customWidth="1"/>
    <col min="13891" max="14115" width="8.58203125" style="40"/>
    <col min="14116" max="14116" width="14.33203125" style="40" customWidth="1"/>
    <col min="14117" max="14118" width="3.33203125" style="40" customWidth="1"/>
    <col min="14119" max="14143" width="2.33203125" style="40" customWidth="1"/>
    <col min="14144" max="14145" width="3.33203125" style="40" customWidth="1"/>
    <col min="14146" max="14146" width="14.33203125" style="40" customWidth="1"/>
    <col min="14147" max="14371" width="8.58203125" style="40"/>
    <col min="14372" max="14372" width="14.33203125" style="40" customWidth="1"/>
    <col min="14373" max="14374" width="3.33203125" style="40" customWidth="1"/>
    <col min="14375" max="14399" width="2.33203125" style="40" customWidth="1"/>
    <col min="14400" max="14401" width="3.33203125" style="40" customWidth="1"/>
    <col min="14402" max="14402" width="14.33203125" style="40" customWidth="1"/>
    <col min="14403" max="14627" width="8.58203125" style="40"/>
    <col min="14628" max="14628" width="14.33203125" style="40" customWidth="1"/>
    <col min="14629" max="14630" width="3.33203125" style="40" customWidth="1"/>
    <col min="14631" max="14655" width="2.33203125" style="40" customWidth="1"/>
    <col min="14656" max="14657" width="3.33203125" style="40" customWidth="1"/>
    <col min="14658" max="14658" width="14.33203125" style="40" customWidth="1"/>
    <col min="14659" max="14883" width="8.58203125" style="40"/>
    <col min="14884" max="14884" width="14.33203125" style="40" customWidth="1"/>
    <col min="14885" max="14886" width="3.33203125" style="40" customWidth="1"/>
    <col min="14887" max="14911" width="2.33203125" style="40" customWidth="1"/>
    <col min="14912" max="14913" width="3.33203125" style="40" customWidth="1"/>
    <col min="14914" max="14914" width="14.33203125" style="40" customWidth="1"/>
    <col min="14915" max="15139" width="8.58203125" style="40"/>
    <col min="15140" max="15140" width="14.33203125" style="40" customWidth="1"/>
    <col min="15141" max="15142" width="3.33203125" style="40" customWidth="1"/>
    <col min="15143" max="15167" width="2.33203125" style="40" customWidth="1"/>
    <col min="15168" max="15169" width="3.33203125" style="40" customWidth="1"/>
    <col min="15170" max="15170" width="14.33203125" style="40" customWidth="1"/>
    <col min="15171" max="15395" width="8.58203125" style="40"/>
    <col min="15396" max="15396" width="14.33203125" style="40" customWidth="1"/>
    <col min="15397" max="15398" width="3.33203125" style="40" customWidth="1"/>
    <col min="15399" max="15423" width="2.33203125" style="40" customWidth="1"/>
    <col min="15424" max="15425" width="3.33203125" style="40" customWidth="1"/>
    <col min="15426" max="15426" width="14.33203125" style="40" customWidth="1"/>
    <col min="15427" max="15651" width="8.58203125" style="40"/>
    <col min="15652" max="15652" width="14.33203125" style="40" customWidth="1"/>
    <col min="15653" max="15654" width="3.33203125" style="40" customWidth="1"/>
    <col min="15655" max="15679" width="2.33203125" style="40" customWidth="1"/>
    <col min="15680" max="15681" width="3.33203125" style="40" customWidth="1"/>
    <col min="15682" max="15682" width="14.33203125" style="40" customWidth="1"/>
    <col min="15683" max="15907" width="8.58203125" style="40"/>
    <col min="15908" max="15908" width="14.33203125" style="40" customWidth="1"/>
    <col min="15909" max="15910" width="3.33203125" style="40" customWidth="1"/>
    <col min="15911" max="15935" width="2.33203125" style="40" customWidth="1"/>
    <col min="15936" max="15937" width="3.33203125" style="40" customWidth="1"/>
    <col min="15938" max="15938" width="14.33203125" style="40" customWidth="1"/>
    <col min="15939" max="16163" width="8.58203125" style="40"/>
    <col min="16164" max="16164" width="14.33203125" style="40" customWidth="1"/>
    <col min="16165" max="16166" width="3.33203125" style="40" customWidth="1"/>
    <col min="16167" max="16191" width="2.33203125" style="40" customWidth="1"/>
    <col min="16192" max="16193" width="3.33203125" style="40" customWidth="1"/>
    <col min="16194" max="16194" width="14.33203125" style="40" customWidth="1"/>
    <col min="16195" max="16384" width="8.58203125" style="40"/>
  </cols>
  <sheetData>
    <row r="1" spans="1:69" ht="25" customHeight="1" x14ac:dyDescent="0.55000000000000004">
      <c r="A1" s="39" t="s">
        <v>788</v>
      </c>
      <c r="BO1" s="36"/>
      <c r="BP1" s="36"/>
      <c r="BQ1" s="36"/>
    </row>
    <row r="2" spans="1:69" ht="25" customHeight="1" x14ac:dyDescent="0.55000000000000004">
      <c r="A2" s="39"/>
      <c r="BO2" s="36"/>
      <c r="BP2" s="36"/>
      <c r="BQ2" s="36"/>
    </row>
    <row r="3" spans="1:69" ht="25" customHeight="1" x14ac:dyDescent="0.55000000000000004">
      <c r="A3" s="39"/>
      <c r="BO3" s="36"/>
      <c r="BP3" s="36"/>
      <c r="BQ3" s="36"/>
    </row>
    <row r="4" spans="1:69" ht="25" customHeight="1" x14ac:dyDescent="0.55000000000000004">
      <c r="A4" s="39"/>
      <c r="BO4" s="36"/>
      <c r="BP4" s="36"/>
      <c r="BQ4" s="36"/>
    </row>
    <row r="5" spans="1:69" ht="25" customHeight="1" x14ac:dyDescent="0.55000000000000004">
      <c r="A5" s="39"/>
      <c r="BN5" s="41"/>
      <c r="BO5" s="36"/>
      <c r="BP5" s="36"/>
      <c r="BQ5" s="37" t="s">
        <v>814</v>
      </c>
    </row>
    <row r="7" spans="1:69" x14ac:dyDescent="0.55000000000000004">
      <c r="B7" s="141" t="s">
        <v>385</v>
      </c>
      <c r="C7" s="142"/>
      <c r="D7" s="42" t="s">
        <v>411</v>
      </c>
      <c r="E7" s="42" t="s">
        <v>409</v>
      </c>
      <c r="F7" s="42" t="s">
        <v>412</v>
      </c>
    </row>
    <row r="8" spans="1:69" x14ac:dyDescent="0.55000000000000004">
      <c r="B8" s="143" t="s">
        <v>407</v>
      </c>
      <c r="C8" s="43" t="s">
        <v>396</v>
      </c>
      <c r="D8" s="43">
        <f>COUNTIF('PF64'!U10:U73,"CAN0_0_RX")</f>
        <v>0</v>
      </c>
      <c r="E8" s="43">
        <f>COUNTIF('PF64'!U10:U73,"CAN0_1_RX")</f>
        <v>0</v>
      </c>
      <c r="F8" s="43">
        <f>COUNTIF('PF64'!U10:U73,"CAN0_2_RX")</f>
        <v>0</v>
      </c>
    </row>
    <row r="9" spans="1:69" x14ac:dyDescent="0.55000000000000004">
      <c r="B9" s="144"/>
      <c r="C9" s="43" t="s">
        <v>395</v>
      </c>
      <c r="D9" s="43">
        <f>COUNTIF('PF64'!U10:U73,"CAN0_0_TX")</f>
        <v>0</v>
      </c>
      <c r="E9" s="43">
        <f>COUNTIF('PF64'!U10:U73,"CAN0_1_TX")</f>
        <v>0</v>
      </c>
      <c r="F9" s="43">
        <f>COUNTIF('PF64'!U10:U73,"CAN0_2_TX")</f>
        <v>0</v>
      </c>
    </row>
    <row r="11" spans="1:69" x14ac:dyDescent="0.55000000000000004">
      <c r="B11" s="141" t="s">
        <v>381</v>
      </c>
      <c r="C11" s="142"/>
      <c r="D11" s="42" t="s">
        <v>413</v>
      </c>
      <c r="E11" s="42" t="s">
        <v>415</v>
      </c>
      <c r="F11" s="42" t="s">
        <v>414</v>
      </c>
    </row>
    <row r="12" spans="1:69" x14ac:dyDescent="0.55000000000000004">
      <c r="B12" s="145" t="s">
        <v>407</v>
      </c>
      <c r="C12" s="43" t="s">
        <v>396</v>
      </c>
      <c r="D12" s="43">
        <f>COUNTIF('PF64'!U10:U73,"CAN1_0_RX")</f>
        <v>0</v>
      </c>
      <c r="E12" s="43">
        <f>COUNTIF('PF64'!U10:U73,"CAN1_1_RX")</f>
        <v>0</v>
      </c>
      <c r="F12" s="43">
        <f>COUNTIF('PF64'!U10:U73,"CAN1_2_RX")</f>
        <v>0</v>
      </c>
    </row>
    <row r="13" spans="1:69" x14ac:dyDescent="0.55000000000000004">
      <c r="B13" s="145"/>
      <c r="C13" s="43" t="s">
        <v>395</v>
      </c>
      <c r="D13" s="43">
        <f>COUNTIF('PF64'!U10:U73,"CAN1_0_TX")</f>
        <v>0</v>
      </c>
      <c r="E13" s="43">
        <f>COUNTIF('PF64'!U10:U73,"CAN1_1_TX")</f>
        <v>0</v>
      </c>
      <c r="F13" s="43">
        <f>COUNTIF('PF64'!U10:U73,"CAN1_2_TX")</f>
        <v>0</v>
      </c>
    </row>
    <row r="14" spans="1:69" x14ac:dyDescent="0.55000000000000004">
      <c r="B14" s="44"/>
      <c r="C14" s="45"/>
      <c r="D14" s="45"/>
      <c r="E14" s="45"/>
      <c r="F14" s="45"/>
    </row>
    <row r="16" spans="1:69" x14ac:dyDescent="0.55000000000000004">
      <c r="B16" s="141" t="s">
        <v>384</v>
      </c>
      <c r="C16" s="142"/>
      <c r="D16" s="42" t="s">
        <v>398</v>
      </c>
      <c r="E16" s="42" t="s">
        <v>399</v>
      </c>
      <c r="F16" s="42" t="s">
        <v>400</v>
      </c>
      <c r="G16" s="42" t="s">
        <v>401</v>
      </c>
      <c r="H16" s="42" t="s">
        <v>402</v>
      </c>
      <c r="I16" s="42" t="s">
        <v>403</v>
      </c>
      <c r="J16" s="42" t="s">
        <v>404</v>
      </c>
      <c r="K16" s="42" t="s">
        <v>405</v>
      </c>
    </row>
    <row r="17" spans="2:59" x14ac:dyDescent="0.55000000000000004">
      <c r="B17" s="143" t="s">
        <v>407</v>
      </c>
      <c r="C17" s="43" t="s">
        <v>396</v>
      </c>
      <c r="D17" s="43">
        <f>COUNTIF('PF64'!U10:U73,"LIN0_RX")</f>
        <v>0</v>
      </c>
      <c r="E17" s="43">
        <f>COUNTIF('PF64'!U10:U73,"LIN1_RX")</f>
        <v>0</v>
      </c>
      <c r="F17" s="43">
        <f>COUNTIF('PF64'!U10:U73,"LIN2_RX")</f>
        <v>0</v>
      </c>
      <c r="G17" s="43">
        <f>COUNTIF('PF64'!U10:U73,"LIN3_RX")</f>
        <v>0</v>
      </c>
      <c r="H17" s="43">
        <f>COUNTIF('PF64'!U10:U73,"LIN4_RX")</f>
        <v>0</v>
      </c>
      <c r="I17" s="43">
        <f>COUNTIF('PF64'!U10:U73,"LIN5_RX")</f>
        <v>0</v>
      </c>
      <c r="J17" s="43">
        <f>COUNTIF('PF64'!U10:U73,"LIN6_RX")</f>
        <v>0</v>
      </c>
      <c r="K17" s="43">
        <f>COUNTIF('PF64'!U10:U73,"LIN7_RX")</f>
        <v>0</v>
      </c>
    </row>
    <row r="18" spans="2:59" x14ac:dyDescent="0.55000000000000004">
      <c r="B18" s="146"/>
      <c r="C18" s="43" t="s">
        <v>395</v>
      </c>
      <c r="D18" s="43">
        <f>COUNTIF('PF64'!U10:U73,"LIN0_TX")</f>
        <v>0</v>
      </c>
      <c r="E18" s="43">
        <f>COUNTIF('PF64'!U10:U73,"LIN1_TX")</f>
        <v>0</v>
      </c>
      <c r="F18" s="43">
        <f>COUNTIF('PF64'!U10:U73,"LIN2_TX")</f>
        <v>0</v>
      </c>
      <c r="G18" s="43">
        <f>COUNTIF('PF64'!U10:U73,"LIN3_TX")</f>
        <v>0</v>
      </c>
      <c r="H18" s="43">
        <f>COUNTIF('PF64'!U10:U73,"LIN4_TX")</f>
        <v>0</v>
      </c>
      <c r="I18" s="43">
        <f>COUNTIF('PF64'!U10:U73,"LIN5_TX")</f>
        <v>0</v>
      </c>
      <c r="J18" s="43">
        <f>COUNTIF('PF64'!U10:U73,"LIN6_TX")</f>
        <v>0</v>
      </c>
      <c r="K18" s="43">
        <f>COUNTIF('PF64'!U10:U73,"LIN7_TX")</f>
        <v>0</v>
      </c>
    </row>
    <row r="19" spans="2:59" x14ac:dyDescent="0.55000000000000004">
      <c r="B19" s="144"/>
      <c r="C19" s="43" t="s">
        <v>406</v>
      </c>
      <c r="D19" s="43">
        <f>COUNTIF('PF64'!U10:U73,"LIN0_EN")</f>
        <v>0</v>
      </c>
      <c r="E19" s="43">
        <f>COUNTIF('PF64'!U10:U73,"LIN1_EN")</f>
        <v>0</v>
      </c>
      <c r="F19" s="43">
        <f>COUNTIF('PF64'!U10:U73,"LIN2_EN")</f>
        <v>0</v>
      </c>
      <c r="G19" s="43">
        <f>COUNTIF('PF64'!U10:U73,"LIN3_EN")</f>
        <v>0</v>
      </c>
      <c r="H19" s="43">
        <f>COUNTIF('PF64'!U10:U73,"LIN4_EN")</f>
        <v>0</v>
      </c>
      <c r="I19" s="43">
        <f>COUNTIF('PF64'!U10:U73,"LIN5_EN")</f>
        <v>0</v>
      </c>
      <c r="J19" s="43">
        <f>COUNTIF('PF64'!U10:U73,"LIN6_EN")</f>
        <v>0</v>
      </c>
      <c r="K19" s="43">
        <f>COUNTIF('PF64'!U10:U73,"LIN7_EN")</f>
        <v>0</v>
      </c>
    </row>
    <row r="20" spans="2:59" x14ac:dyDescent="0.55000000000000004">
      <c r="B20" s="44"/>
      <c r="C20" s="45"/>
      <c r="D20" s="45"/>
      <c r="E20" s="45"/>
      <c r="F20" s="45"/>
      <c r="G20" s="45"/>
      <c r="H20" s="45"/>
      <c r="I20" s="45"/>
      <c r="J20" s="45"/>
      <c r="K20" s="45"/>
    </row>
    <row r="22" spans="2:59" x14ac:dyDescent="0.55000000000000004">
      <c r="B22" s="141" t="s">
        <v>386</v>
      </c>
      <c r="C22" s="142"/>
      <c r="D22" s="42" t="s">
        <v>387</v>
      </c>
      <c r="E22" s="42" t="s">
        <v>388</v>
      </c>
      <c r="F22" s="42" t="s">
        <v>389</v>
      </c>
      <c r="G22" s="42" t="s">
        <v>390</v>
      </c>
      <c r="H22" s="42" t="s">
        <v>394</v>
      </c>
      <c r="I22" s="42" t="s">
        <v>393</v>
      </c>
      <c r="J22" s="42" t="s">
        <v>392</v>
      </c>
      <c r="K22" s="42" t="s">
        <v>391</v>
      </c>
    </row>
    <row r="23" spans="2:59" ht="10" customHeight="1" x14ac:dyDescent="0.55000000000000004">
      <c r="B23" s="148" t="s">
        <v>426</v>
      </c>
      <c r="C23" s="49" t="s">
        <v>797</v>
      </c>
      <c r="D23" s="50">
        <f>COUNTIF('PF64'!U10:U73,"SCB0_CLK (0)")</f>
        <v>0</v>
      </c>
      <c r="E23" s="51">
        <f>COUNTIF('PF64'!U10:U73,"SCB1_CLK (0)")</f>
        <v>0</v>
      </c>
      <c r="F23" s="51">
        <f>COUNTIF('PF64'!U10:U73,"SCB2_CLK (0)")</f>
        <v>0</v>
      </c>
      <c r="G23" s="51">
        <f>COUNTIF('PF64'!U10:U73,"SCB3_CLK (0)")</f>
        <v>0</v>
      </c>
      <c r="H23" s="51">
        <f>COUNTIF('PF64'!U10:U73,"SCB4_CLK (0)")</f>
        <v>0</v>
      </c>
      <c r="I23" s="51">
        <f>COUNTIF('PF64'!U10:U73,"SCB5_CLK (0)")</f>
        <v>0</v>
      </c>
      <c r="J23" s="51">
        <f>COUNTIF('PF64'!U10:U73,"SCB6_CLK (0)")</f>
        <v>0</v>
      </c>
      <c r="K23" s="51">
        <f>COUNTIF('PF64'!U10:U73,"SCB7_CLK (0)")</f>
        <v>0</v>
      </c>
      <c r="BG23" s="52"/>
    </row>
    <row r="24" spans="2:59" ht="10" customHeight="1" x14ac:dyDescent="0.55000000000000004">
      <c r="B24" s="149"/>
      <c r="C24" s="49" t="s">
        <v>804</v>
      </c>
      <c r="D24" s="50">
        <f>COUNTIF('PF64'!U10:U73,"SCB0_CLK (1)")</f>
        <v>0</v>
      </c>
      <c r="E24" s="51">
        <f>COUNTIF('PF64'!U10:U73,"SCB1_CLK (1)")</f>
        <v>0</v>
      </c>
      <c r="F24" s="51">
        <f>COUNTIF('PF64'!U10:U73,"SCB2_CLK (1)")</f>
        <v>0</v>
      </c>
      <c r="G24" s="51">
        <f>COUNTIF('PF64'!U10:U73,"SCB3_CLK (1)")</f>
        <v>0</v>
      </c>
      <c r="H24" s="51">
        <f>COUNTIF('PF64'!U10:U73,"SCB4_CLK (1)")</f>
        <v>0</v>
      </c>
      <c r="I24" s="51">
        <f>COUNTIF('PF64'!U10:U73,"SCB5_CLK (1)")</f>
        <v>0</v>
      </c>
      <c r="J24" s="51">
        <f>COUNTIF('PF64'!U10:U73,"SCB6_CLK (1)")</f>
        <v>0</v>
      </c>
      <c r="K24" s="51">
        <f>COUNTIF('PF64'!U10:U73,"SCB7_CLK (1)")</f>
        <v>0</v>
      </c>
      <c r="BG24" s="52"/>
    </row>
    <row r="25" spans="2:59" x14ac:dyDescent="0.55000000000000004">
      <c r="B25" s="149"/>
      <c r="C25" s="49" t="s">
        <v>798</v>
      </c>
      <c r="D25" s="50">
        <f>COUNTIF('PF64'!U10:U73,"SCB0_MOSI (0)")</f>
        <v>0</v>
      </c>
      <c r="E25" s="51">
        <f>COUNTIF('PF64'!U10:U73,"SCB1_MOSI (0)")</f>
        <v>0</v>
      </c>
      <c r="F25" s="51">
        <f>COUNTIF('PF64'!U10:U73,"SCB2_MOSI (0)")</f>
        <v>0</v>
      </c>
      <c r="G25" s="51">
        <f>COUNTIF('PF64'!U10:U73,"SCB3_MOSI (0)")</f>
        <v>0</v>
      </c>
      <c r="H25" s="51">
        <f>COUNTIF('PF64'!U10:U73,"SCB4_MOSI (0)")</f>
        <v>0</v>
      </c>
      <c r="I25" s="51">
        <f>COUNTIF('PF64'!U10:U73,"SCB5_MOSI (0)")</f>
        <v>0</v>
      </c>
      <c r="J25" s="51">
        <f>COUNTIF('PF64'!U10:U73,"SCB6_MOSI (0)")</f>
        <v>0</v>
      </c>
      <c r="K25" s="51">
        <f>COUNTIF('PF64'!U10:U73,"SCB7_MOSI (0)")</f>
        <v>0</v>
      </c>
    </row>
    <row r="26" spans="2:59" x14ac:dyDescent="0.55000000000000004">
      <c r="B26" s="149"/>
      <c r="C26" s="49" t="s">
        <v>805</v>
      </c>
      <c r="D26" s="50">
        <f>COUNTIF('PF64'!U10:U73,"SCB0_MOSI (1)")</f>
        <v>0</v>
      </c>
      <c r="E26" s="51">
        <f>COUNTIF('PF64'!U10:U73,"SCB1_MOSI (1)")</f>
        <v>0</v>
      </c>
      <c r="F26" s="51">
        <f>COUNTIF('PF64'!U10:U73,"SCB2_MOSI (1)")</f>
        <v>0</v>
      </c>
      <c r="G26" s="51">
        <f>COUNTIF('PF64'!U10:U73,"SCB3_MOSI (1)")</f>
        <v>0</v>
      </c>
      <c r="H26" s="51">
        <f>COUNTIF('PF64'!U10:U73,"SCB4_MOSI (1)")</f>
        <v>0</v>
      </c>
      <c r="I26" s="51">
        <f>COUNTIF('PF64'!U10:U73,"SCB5_MOSI (1)")</f>
        <v>0</v>
      </c>
      <c r="J26" s="51">
        <f>COUNTIF('PF64'!U10:U73,"SCB6_MOSI (1)")</f>
        <v>0</v>
      </c>
      <c r="K26" s="51">
        <f>COUNTIF('PF64'!U10:U73,"SCB7_MOSI (1)")</f>
        <v>0</v>
      </c>
    </row>
    <row r="27" spans="2:59" x14ac:dyDescent="0.55000000000000004">
      <c r="B27" s="149"/>
      <c r="C27" s="49" t="s">
        <v>799</v>
      </c>
      <c r="D27" s="50">
        <f>COUNTIF('PF64'!U10:U73,"SCB0_MISO (0)")</f>
        <v>0</v>
      </c>
      <c r="E27" s="51">
        <f>COUNTIF('PF64'!U10:U73,"SCB1_MISO (0)")</f>
        <v>0</v>
      </c>
      <c r="F27" s="51">
        <f>COUNTIF('PF64'!U10:U73,"SCB2_MISO (0)")</f>
        <v>0</v>
      </c>
      <c r="G27" s="51">
        <f>COUNTIF('PF64'!U10:U73,"SCB3_MISO (0)")</f>
        <v>0</v>
      </c>
      <c r="H27" s="51">
        <f>COUNTIF('PF64'!U10:U73,"SCB4_MISO (0)")</f>
        <v>0</v>
      </c>
      <c r="I27" s="51">
        <f>COUNTIF('PF64'!U10:U73,"SCB5_MISO (0)")</f>
        <v>0</v>
      </c>
      <c r="J27" s="51">
        <f>COUNTIF('PF64'!U10:U73,"SCB6_MISO (0)")</f>
        <v>0</v>
      </c>
      <c r="K27" s="51">
        <f>COUNTIF('PF64'!U10:U73,"SCB7_MISO (0)")</f>
        <v>0</v>
      </c>
    </row>
    <row r="28" spans="2:59" x14ac:dyDescent="0.55000000000000004">
      <c r="B28" s="149"/>
      <c r="C28" s="49" t="s">
        <v>806</v>
      </c>
      <c r="D28" s="50">
        <f>COUNTIF('PF64'!U10:U73,"SCB0_MISO (1)")</f>
        <v>0</v>
      </c>
      <c r="E28" s="51">
        <f>COUNTIF('PF64'!U10:U73,"SCB1_MISO (1)")</f>
        <v>0</v>
      </c>
      <c r="F28" s="51">
        <f>COUNTIF('PF64'!U10:U73,"SCB2_MISO (1)")</f>
        <v>0</v>
      </c>
      <c r="G28" s="51">
        <f>COUNTIF('PF64'!U10:U73,"SCB3_MISO (1)")</f>
        <v>0</v>
      </c>
      <c r="H28" s="51">
        <f>COUNTIF('PF64'!U10:U73,"SCB4_MISO (1)")</f>
        <v>0</v>
      </c>
      <c r="I28" s="51">
        <f>COUNTIF('PF64'!U10:U73,"SCB5_MISO (1)")</f>
        <v>0</v>
      </c>
      <c r="J28" s="51">
        <f>COUNTIF('PF64'!U10:U73,"SCB6_MISO (1)")</f>
        <v>0</v>
      </c>
      <c r="K28" s="51">
        <f>COUNTIF('PF64'!U10:U73,"SCB7_MISO (1)")</f>
        <v>0</v>
      </c>
    </row>
    <row r="29" spans="2:59" x14ac:dyDescent="0.55000000000000004">
      <c r="B29" s="149"/>
      <c r="C29" s="49" t="s">
        <v>800</v>
      </c>
      <c r="D29" s="50">
        <f>COUNTIF('PF64'!U10:U73,"SCB0_SEL0 (0)")</f>
        <v>0</v>
      </c>
      <c r="E29" s="51">
        <f>COUNTIF('PF64'!U10:U73,"SCB1_SEL0 (0)")</f>
        <v>0</v>
      </c>
      <c r="F29" s="51">
        <f>COUNTIF('PF64'!U10:U73,"SCB2_SEL0 (0)")</f>
        <v>0</v>
      </c>
      <c r="G29" s="51">
        <f>COUNTIF('PF64'!U10:U73,"SCB3_SEL0 (0)")</f>
        <v>0</v>
      </c>
      <c r="H29" s="51">
        <f>COUNTIF('PF64'!U10:U73,"SCB4_SEL0 (0)")</f>
        <v>0</v>
      </c>
      <c r="I29" s="50">
        <f>COUNTIF('PF64'!U10:U73,"SCB5_SEL0 (0)")</f>
        <v>0</v>
      </c>
      <c r="J29" s="50">
        <f>COUNTIF('PF64'!U10:U73,"SCB6_SEL0 (0)")</f>
        <v>0</v>
      </c>
      <c r="K29" s="51">
        <f>COUNTIF('PF64'!U10:U73,"SCB7_SEL0 (0)")</f>
        <v>0</v>
      </c>
    </row>
    <row r="30" spans="2:59" x14ac:dyDescent="0.55000000000000004">
      <c r="B30" s="149"/>
      <c r="C30" s="49" t="s">
        <v>807</v>
      </c>
      <c r="D30" s="50">
        <f>COUNTIF('PF64'!U10:U73,"SCB0_SEL0 (1)")</f>
        <v>0</v>
      </c>
      <c r="E30" s="51">
        <f>COUNTIF('PF64'!U10:U73,"SCB1_SEL0 (1)")</f>
        <v>0</v>
      </c>
      <c r="F30" s="51">
        <f>COUNTIF('PF64'!U10:U73,"SCB2_SEL0 (1)")</f>
        <v>0</v>
      </c>
      <c r="G30" s="51">
        <f>COUNTIF('PF64'!U10:U73,"SCB3_SEL0 (1)")</f>
        <v>0</v>
      </c>
      <c r="H30" s="51">
        <f>COUNTIF('PF64'!U10:U73,"SCB4_SEL0 (1)")</f>
        <v>0</v>
      </c>
      <c r="I30" s="50">
        <f>COUNTIF('PF64'!U10:U73,"SCB5_SEL0 (1)")</f>
        <v>0</v>
      </c>
      <c r="J30" s="50">
        <f>COUNTIF('PF64'!U10:U73,"SCB6_SEL0 (1)")</f>
        <v>0</v>
      </c>
      <c r="K30" s="51">
        <f>COUNTIF('PF64'!U10:U73,"SCB7_SEL0 (1)")</f>
        <v>0</v>
      </c>
    </row>
    <row r="31" spans="2:59" x14ac:dyDescent="0.55000000000000004">
      <c r="B31" s="149"/>
      <c r="C31" s="49" t="s">
        <v>801</v>
      </c>
      <c r="D31" s="50">
        <f>COUNTIF('PF64'!U10:U73,"SCB0_SEL1 (0)")</f>
        <v>0</v>
      </c>
      <c r="E31" s="51">
        <f>COUNTIF('PF64'!U10:U73,"SCB1_SEL1 (0)")</f>
        <v>0</v>
      </c>
      <c r="F31" s="51">
        <f>COUNTIF('PF64'!U10:U73,"SCB2_SEL1 (0)")</f>
        <v>0</v>
      </c>
      <c r="G31" s="51">
        <f>COUNTIF('PF64'!U10:U73,"SCB3_SEL1 (0)")</f>
        <v>0</v>
      </c>
      <c r="H31" s="51">
        <f>COUNTIF('PF64'!U10:U73,"SCB4_SEL1 (0)")</f>
        <v>0</v>
      </c>
      <c r="I31" s="50">
        <f>COUNTIF('PF64'!U10:U73,"SCB5_SEL1 (0)")</f>
        <v>0</v>
      </c>
      <c r="J31" s="50">
        <f>COUNTIF('PF64'!U10:U73,"SCB6_SEL1 (0)")</f>
        <v>0</v>
      </c>
      <c r="K31" s="51">
        <f>COUNTIF('PF64'!U10:U73,"SCB7_SEL1 (0)")</f>
        <v>0</v>
      </c>
    </row>
    <row r="32" spans="2:59" x14ac:dyDescent="0.55000000000000004">
      <c r="B32" s="149"/>
      <c r="C32" s="49" t="s">
        <v>808</v>
      </c>
      <c r="D32" s="50">
        <f>COUNTIF('PF64'!U10:U73,"SCB0_SEL1 (1)")</f>
        <v>0</v>
      </c>
      <c r="E32" s="51">
        <f>COUNTIF('PF64'!U10:U73,"SCB1_SEL1 (1)")</f>
        <v>0</v>
      </c>
      <c r="F32" s="51">
        <f>COUNTIF('PF64'!U10:U73,"SCB2_SEL1 (1)")</f>
        <v>0</v>
      </c>
      <c r="G32" s="51">
        <f>COUNTIF('PF64'!U10:U73,"SCB3_SEL1 (1)")</f>
        <v>0</v>
      </c>
      <c r="H32" s="51">
        <f>COUNTIF('PF64'!U10:U73,"SCB4_SEL1 (1)")</f>
        <v>0</v>
      </c>
      <c r="I32" s="50">
        <f>COUNTIF('PF64'!U10:U73,"SCB5_SEL1 (1)")</f>
        <v>0</v>
      </c>
      <c r="J32" s="50">
        <f>COUNTIF('PF64'!U10:U73,"SCB6_SEL1 (1)")</f>
        <v>0</v>
      </c>
      <c r="K32" s="51">
        <f>COUNTIF('PF64'!U10:U73,"SCB7_SEL1 (1)")</f>
        <v>0</v>
      </c>
    </row>
    <row r="33" spans="2:11" x14ac:dyDescent="0.55000000000000004">
      <c r="B33" s="149"/>
      <c r="C33" s="49" t="s">
        <v>802</v>
      </c>
      <c r="D33" s="50">
        <f>COUNTIF('PF64'!U10:U73,"SCB0_SEL2 (0)")</f>
        <v>0</v>
      </c>
      <c r="E33" s="51">
        <f>COUNTIF('PF64'!U10:U73,"SCB1_SEL2 (0)")</f>
        <v>0</v>
      </c>
      <c r="F33" s="51">
        <f>COUNTIF('PF64'!U10:U73,"SCB2_SEL2 (0)")</f>
        <v>0</v>
      </c>
      <c r="G33" s="51">
        <f>COUNTIF('PF64'!U10:U73,"SCB3_SEL2 (0)")</f>
        <v>0</v>
      </c>
      <c r="H33" s="51">
        <f>COUNTIF('PF64'!U10:U73,"SCB4_SEL2 (0)")</f>
        <v>0</v>
      </c>
      <c r="I33" s="50">
        <f>COUNTIF('PF64'!U10:U73,"SCB5_SEL2 (0)")</f>
        <v>0</v>
      </c>
      <c r="J33" s="50">
        <f>COUNTIF('PF64'!U10:U73,"SCB6_SEL2 (0)")</f>
        <v>0</v>
      </c>
      <c r="K33" s="51">
        <f>COUNTIF('PF64'!U10:U73,"SCB7_SEL2 (0)")</f>
        <v>0</v>
      </c>
    </row>
    <row r="34" spans="2:11" x14ac:dyDescent="0.55000000000000004">
      <c r="B34" s="149"/>
      <c r="C34" s="49" t="s">
        <v>809</v>
      </c>
      <c r="D34" s="50">
        <f>COUNTIF('PF64'!U10:U73,"SCB0_SEL2 (1)")</f>
        <v>0</v>
      </c>
      <c r="E34" s="51">
        <f>COUNTIF('PF64'!U10:U73,"SCB1_SEL2 (1)")</f>
        <v>0</v>
      </c>
      <c r="F34" s="51">
        <f>COUNTIF('PF64'!U10:U73,"SCB2_SEL2 (1)")</f>
        <v>0</v>
      </c>
      <c r="G34" s="51">
        <f>COUNTIF('PF64'!U10:U73,"SCB3_SEL2 (1)")</f>
        <v>0</v>
      </c>
      <c r="H34" s="51">
        <f>COUNTIF('PF64'!U10:U73,"SCB4_SEL2 (1)")</f>
        <v>0</v>
      </c>
      <c r="I34" s="50">
        <f>COUNTIF('PF64'!U10:U73,"SCB5_SEL2 (1)")</f>
        <v>0</v>
      </c>
      <c r="J34" s="50">
        <f>COUNTIF('PF64'!U10:U73,"SCB6_SEL2 (1)")</f>
        <v>0</v>
      </c>
      <c r="K34" s="51">
        <f>COUNTIF('PF64'!U10:U73,"SCB7_SEL2 (1)")</f>
        <v>0</v>
      </c>
    </row>
    <row r="35" spans="2:11" x14ac:dyDescent="0.55000000000000004">
      <c r="B35" s="149"/>
      <c r="C35" s="49" t="s">
        <v>803</v>
      </c>
      <c r="D35" s="50">
        <f>COUNTIF('PF64'!U10:U73,"SCB0_SEL3 (0)")</f>
        <v>0</v>
      </c>
      <c r="E35" s="51">
        <f>COUNTIF('PF64'!U10:U73,"SCB1_SEL3 (0)")</f>
        <v>0</v>
      </c>
      <c r="F35" s="51">
        <f>COUNTIF('PF64'!U10:U73,"SCB2_SEL3 (0)")</f>
        <v>0</v>
      </c>
      <c r="G35" s="51">
        <f>COUNTIF('PF64'!U10:U73,"SCB3_SEL3 (0)")</f>
        <v>0</v>
      </c>
      <c r="H35" s="51">
        <f>COUNTIF('PF64'!U10:U73,"SCB4_SEL3 (0)")</f>
        <v>0</v>
      </c>
      <c r="I35" s="50">
        <f>COUNTIF('PF64'!U10:U73,"SCB5_SEL3 (0)")</f>
        <v>0</v>
      </c>
      <c r="J35" s="50">
        <f>COUNTIF('PF64'!U10:U73,"SCB6_SEL3 (0)")</f>
        <v>0</v>
      </c>
      <c r="K35" s="51">
        <f>COUNTIF('PF64'!U10:U73,"SCB7_SEL3 (0)")</f>
        <v>0</v>
      </c>
    </row>
    <row r="36" spans="2:11" x14ac:dyDescent="0.55000000000000004">
      <c r="B36" s="150"/>
      <c r="C36" s="49" t="s">
        <v>810</v>
      </c>
      <c r="D36" s="50">
        <f>COUNTIF('PF64'!U10:U73,"SCB0_SEL3 (1)")</f>
        <v>0</v>
      </c>
      <c r="E36" s="51">
        <f>COUNTIF('PF64'!U10:U73,"SCB1_SEL3 (1)")</f>
        <v>0</v>
      </c>
      <c r="F36" s="51">
        <f>COUNTIF('PF64'!U10:U73,"SCB2_SEL3 (1)")</f>
        <v>0</v>
      </c>
      <c r="G36" s="51">
        <f>COUNTIF('PF64'!U10:U73,"SCB3_SEL3 (1)")</f>
        <v>0</v>
      </c>
      <c r="H36" s="51">
        <f>COUNTIF('PF64'!U10:U73,"SCB4_SEL3 (1)")</f>
        <v>0</v>
      </c>
      <c r="I36" s="50">
        <f>COUNTIF('PF64'!U10:U73,"SCB5_SEL3 (1)")</f>
        <v>0</v>
      </c>
      <c r="J36" s="50">
        <f>COUNTIF('PF64'!U10:U73,"SCB6_SEL3 (1)")</f>
        <v>0</v>
      </c>
      <c r="K36" s="51">
        <f>COUNTIF('PF64'!U10:U73,"SCB7_SEL3 (1)")</f>
        <v>0</v>
      </c>
    </row>
    <row r="37" spans="2:11" ht="10" customHeight="1" x14ac:dyDescent="0.55000000000000004">
      <c r="B37" s="147" t="s">
        <v>425</v>
      </c>
      <c r="C37" s="49" t="s">
        <v>780</v>
      </c>
      <c r="D37" s="50">
        <f>COUNTIF('PF64'!U10:U73,"SCB0_TX (0)")</f>
        <v>0</v>
      </c>
      <c r="E37" s="51">
        <f>COUNTIF('PF64'!U10:U73,"SCB1_TX (0)")</f>
        <v>0</v>
      </c>
      <c r="F37" s="51">
        <f>COUNTIF('PF64'!U10:U73,"SCB2_TX (0)")</f>
        <v>0</v>
      </c>
      <c r="G37" s="51">
        <f>COUNTIF('PF64'!U10:U73,"SCB3_TX (0)")</f>
        <v>0</v>
      </c>
      <c r="H37" s="51">
        <f>COUNTIF('PF64'!U10:U73,"SCB4_TX (0)")</f>
        <v>0</v>
      </c>
      <c r="I37" s="55">
        <f>COUNTIF('PF64'!U10:U73,"SCB5_TX (0)")</f>
        <v>0</v>
      </c>
      <c r="J37" s="55">
        <f>COUNTIF('PF64'!U10:U73,"SCB6_TX (0)")</f>
        <v>0</v>
      </c>
      <c r="K37" s="51">
        <f>COUNTIF('PF64'!U10:U73,"SCB7_TX (0)")</f>
        <v>0</v>
      </c>
    </row>
    <row r="38" spans="2:11" ht="10" customHeight="1" x14ac:dyDescent="0.55000000000000004">
      <c r="B38" s="147"/>
      <c r="C38" s="49" t="s">
        <v>781</v>
      </c>
      <c r="D38" s="56">
        <f>COUNTIF('PF64'!U10:U73,"SCB0_TX (1)")</f>
        <v>0</v>
      </c>
      <c r="E38" s="51">
        <f>COUNTIF('PF64'!U10:U73,"SCB1_TX (1)")</f>
        <v>0</v>
      </c>
      <c r="F38" s="51">
        <f>COUNTIF('PF64'!U10:U73,"SCB2_TX (1)")</f>
        <v>0</v>
      </c>
      <c r="G38" s="51">
        <f>COUNTIF('PF64'!U10:U73,"SCB3_TX (1)")</f>
        <v>0</v>
      </c>
      <c r="H38" s="51">
        <f>COUNTIF('PF64'!U10:U73,"SCB4_TX (1)")</f>
        <v>0</v>
      </c>
      <c r="I38" s="55">
        <f>COUNTIF('PF64'!U10:U73,"SCB5_TX (1)")</f>
        <v>0</v>
      </c>
      <c r="J38" s="55">
        <f>COUNTIF('PF64'!U10:U73,"SCB6_TX (1)")</f>
        <v>0</v>
      </c>
      <c r="K38" s="51">
        <f>COUNTIF('PF64'!U10:U73,"SCB7_TX (1)")</f>
        <v>0</v>
      </c>
    </row>
    <row r="39" spans="2:11" x14ac:dyDescent="0.55000000000000004">
      <c r="B39" s="147"/>
      <c r="C39" s="49" t="s">
        <v>782</v>
      </c>
      <c r="D39" s="50">
        <f>COUNTIF('PF64'!U10:U73,"SCB0_RX (0)")</f>
        <v>0</v>
      </c>
      <c r="E39" s="51">
        <f>COUNTIF('PF64'!U10:U73,"SCB1_RX (0)")</f>
        <v>0</v>
      </c>
      <c r="F39" s="51">
        <f>COUNTIF('PF64'!U10:U73,"SCB2_RX (0)")</f>
        <v>0</v>
      </c>
      <c r="G39" s="51">
        <f>COUNTIF('PF64'!U10:U73,"SCB3_RX (0)")</f>
        <v>0</v>
      </c>
      <c r="H39" s="51">
        <f>COUNTIF('PF64'!U10:U73,"SCB4_RX (0)")</f>
        <v>0</v>
      </c>
      <c r="I39" s="51">
        <f>COUNTIF('PF64'!U10:U73,"SCB5_RX (0)")</f>
        <v>0</v>
      </c>
      <c r="J39" s="51">
        <f>COUNTIF('PF64'!U10:U73,"SCB6_RX (0)")</f>
        <v>0</v>
      </c>
      <c r="K39" s="51">
        <f>COUNTIF('PF64'!U10:U73,"SCB7_RX (0)")</f>
        <v>0</v>
      </c>
    </row>
    <row r="40" spans="2:11" x14ac:dyDescent="0.55000000000000004">
      <c r="B40" s="147"/>
      <c r="C40" s="49" t="s">
        <v>785</v>
      </c>
      <c r="D40" s="56">
        <f>COUNTIF('PF64'!U10:U73,"SCB0_RX (1)")</f>
        <v>0</v>
      </c>
      <c r="E40" s="51">
        <f>COUNTIF('PF64'!U10:U73,"SCB1_RX (1)")</f>
        <v>0</v>
      </c>
      <c r="F40" s="51">
        <f>COUNTIF('PF64'!U10:U73,"SCB2_RX (1)")</f>
        <v>0</v>
      </c>
      <c r="G40" s="51">
        <f>COUNTIF('PF64'!U10:U73,"SCB3_RX (1)")</f>
        <v>0</v>
      </c>
      <c r="H40" s="51">
        <f>COUNTIF('PF64'!U10:U73,"SCB4_RX (1)")</f>
        <v>0</v>
      </c>
      <c r="I40" s="51">
        <f>COUNTIF('PF64'!U10:U73,"SCB5_RX (1)")</f>
        <v>0</v>
      </c>
      <c r="J40" s="51">
        <f>COUNTIF('PF64'!U10:U73,"SCB6_RX (1)")</f>
        <v>0</v>
      </c>
      <c r="K40" s="51">
        <f>COUNTIF('PF64'!U10:U73,"SCB7_RX (1)")</f>
        <v>0</v>
      </c>
    </row>
    <row r="41" spans="2:11" x14ac:dyDescent="0.55000000000000004">
      <c r="B41" s="147"/>
      <c r="C41" s="49" t="s">
        <v>783</v>
      </c>
      <c r="D41" s="50">
        <f>COUNTIF('PF64'!U10:U73,"SCB0_CTS (0)")</f>
        <v>0</v>
      </c>
      <c r="E41" s="51">
        <f>COUNTIF('PF64'!U10:U73,"SCB1_CTS (0)")</f>
        <v>0</v>
      </c>
      <c r="F41" s="51">
        <f>COUNTIF('PF64'!U10:U73,"SCB2_CTS (0)")</f>
        <v>0</v>
      </c>
      <c r="G41" s="51">
        <f>COUNTIF('PF64'!U10:U73,"SCB3_CTS (0)")</f>
        <v>0</v>
      </c>
      <c r="H41" s="51">
        <f>COUNTIF('PF64'!U10:U73,"SCB4_CTS (0)")</f>
        <v>0</v>
      </c>
      <c r="I41" s="51">
        <f>COUNTIF('PF64'!U10:U73,"SCB5_CTS (0)")</f>
        <v>0</v>
      </c>
      <c r="J41" s="51">
        <f>COUNTIF('PF64'!U10:U73,"SCB6_CTS (0)")</f>
        <v>0</v>
      </c>
      <c r="K41" s="51">
        <f>COUNTIF('PF64'!U10:U73,"SCB7_CTS (0)")</f>
        <v>0</v>
      </c>
    </row>
    <row r="42" spans="2:11" x14ac:dyDescent="0.55000000000000004">
      <c r="B42" s="147"/>
      <c r="C42" s="49" t="s">
        <v>786</v>
      </c>
      <c r="D42" s="56">
        <f>COUNTIF('PF64'!U10:U73,"SCB0_CTS (1)")</f>
        <v>0</v>
      </c>
      <c r="E42" s="51">
        <f>COUNTIF('PF64'!U10:U73,"SCB1_CTS (1)")</f>
        <v>0</v>
      </c>
      <c r="F42" s="51">
        <f>COUNTIF('PF64'!U10:U73,"SCB2_CTS (1)")</f>
        <v>0</v>
      </c>
      <c r="G42" s="51">
        <f>COUNTIF('PF64'!U10:U73,"SCB3_CTS (1)")</f>
        <v>0</v>
      </c>
      <c r="H42" s="51">
        <f>COUNTIF('PF64'!U10:U73,"SCB4_CTS (1)")</f>
        <v>0</v>
      </c>
      <c r="I42" s="51">
        <f>COUNTIF('PF64'!U10:U73,"SCB5_CTS (1)")</f>
        <v>0</v>
      </c>
      <c r="J42" s="51">
        <f>COUNTIF('PF64'!U10:U73,"SCB6_CTS (1)")</f>
        <v>0</v>
      </c>
      <c r="K42" s="51">
        <f>COUNTIF('PF64'!U10:U73,"SCB7_CTS (1)")</f>
        <v>0</v>
      </c>
    </row>
    <row r="43" spans="2:11" x14ac:dyDescent="0.55000000000000004">
      <c r="B43" s="147"/>
      <c r="C43" s="49" t="s">
        <v>784</v>
      </c>
      <c r="D43" s="50">
        <f>COUNTIF('PF64'!U10:U73,"SCB0_RTS (0)")</f>
        <v>0</v>
      </c>
      <c r="E43" s="51">
        <f>COUNTIF('PF64'!U10:U73,"SCB1_RTS (0)")</f>
        <v>0</v>
      </c>
      <c r="F43" s="51">
        <f>COUNTIF('PF64'!U10:U73,"SCB2_RTS (0)")</f>
        <v>0</v>
      </c>
      <c r="G43" s="51">
        <f>COUNTIF('PF64'!U10:U73,"SCB3_RTS (0)")</f>
        <v>0</v>
      </c>
      <c r="H43" s="51">
        <f>COUNTIF('PF64'!U10:U73,"SCB4_RTS (0)")</f>
        <v>0</v>
      </c>
      <c r="I43" s="51">
        <f>COUNTIF('PF64'!U10:U73,"SCB5_RTS (0)")</f>
        <v>0</v>
      </c>
      <c r="J43" s="51">
        <f>COUNTIF('PF64'!U10:U73,"SCB6_RTS (0)")</f>
        <v>0</v>
      </c>
      <c r="K43" s="51">
        <f>COUNTIF('PF64'!U10:U73,"SCB7_RTS (0)")</f>
        <v>0</v>
      </c>
    </row>
    <row r="44" spans="2:11" x14ac:dyDescent="0.55000000000000004">
      <c r="B44" s="147"/>
      <c r="C44" s="49" t="s">
        <v>787</v>
      </c>
      <c r="D44" s="56">
        <f>COUNTIF('PF64'!U10:U73,"SCB0_RTS (1)")</f>
        <v>0</v>
      </c>
      <c r="E44" s="51">
        <f>COUNTIF('PF64'!U10:U73,"SCB1_RTS (1)")</f>
        <v>0</v>
      </c>
      <c r="F44" s="51">
        <f>COUNTIF('PF64'!U10:U73,"SCB2_RTS (1)")</f>
        <v>0</v>
      </c>
      <c r="G44" s="51">
        <f>COUNTIF('PF64'!U10:U73,"SCB3_RTS (1)")</f>
        <v>0</v>
      </c>
      <c r="H44" s="51">
        <f>COUNTIF('PF64'!U10:U73,"SCB4_RTS (1)")</f>
        <v>0</v>
      </c>
      <c r="I44" s="51">
        <f>COUNTIF('PF64'!U10:U73,"SCB5_RTS (1)")</f>
        <v>0</v>
      </c>
      <c r="J44" s="51">
        <f>COUNTIF('PF64'!U10:U73,"SCB6_RTS (1)")</f>
        <v>0</v>
      </c>
      <c r="K44" s="51">
        <f>COUNTIF('PF64'!U10:U73,"SCB7_RTS (1)")</f>
        <v>0</v>
      </c>
    </row>
    <row r="45" spans="2:11" ht="10" customHeight="1" x14ac:dyDescent="0.55000000000000004">
      <c r="B45" s="147" t="s">
        <v>427</v>
      </c>
      <c r="C45" s="57" t="s">
        <v>790</v>
      </c>
      <c r="D45" s="50">
        <f>COUNTIF('PF64'!U10:U73,"SCB0_SDA (0)")</f>
        <v>0</v>
      </c>
      <c r="E45" s="51">
        <f>COUNTIF('PF64'!U10:U73,"SCB1_SDA (0)")</f>
        <v>0</v>
      </c>
      <c r="F45" s="51">
        <f>COUNTIF('PF64'!U10:U73,"SCB2_SDA (0)")</f>
        <v>0</v>
      </c>
      <c r="G45" s="51">
        <f>COUNTIF('PF64'!U10:U73,"SCB3_SDA (0)")</f>
        <v>0</v>
      </c>
      <c r="H45" s="51">
        <f>COUNTIF('PF64'!U10:U73,"SCB4_SDA (0)")</f>
        <v>0</v>
      </c>
      <c r="I45" s="55">
        <f>COUNTIF('PF64'!U10:U73,"SCB5_SDA (0)")</f>
        <v>0</v>
      </c>
      <c r="J45" s="55">
        <f>COUNTIF('PF64'!U10:U73,"SCB6_SDA (0)")</f>
        <v>0</v>
      </c>
      <c r="K45" s="55">
        <f>COUNTIF('PF64'!U10:U73,"SCB7_SDA (0)")</f>
        <v>0</v>
      </c>
    </row>
    <row r="46" spans="2:11" x14ac:dyDescent="0.55000000000000004">
      <c r="B46" s="147"/>
      <c r="C46" s="57" t="s">
        <v>791</v>
      </c>
      <c r="D46" s="50">
        <f>COUNTIF('PF64'!U10:U73,"SCB0_SDA (1)")</f>
        <v>0</v>
      </c>
      <c r="E46" s="51">
        <f>COUNTIF('PF64'!U10:U73,"SCB1_SDA (1)")</f>
        <v>0</v>
      </c>
      <c r="F46" s="51">
        <f>COUNTIF('PF64'!U10:U73,"SCB2_SDA (1)")</f>
        <v>0</v>
      </c>
      <c r="G46" s="51">
        <f>COUNTIF('PF64'!U10:U73,"SCB3_SDA (1)")</f>
        <v>0</v>
      </c>
      <c r="H46" s="51">
        <f>COUNTIF('PF64'!U10:U73,"SCB4_SDA (1)")</f>
        <v>0</v>
      </c>
      <c r="I46" s="55">
        <f>COUNTIF('PF64'!U10:U73,"SCB5_SDA (1)")</f>
        <v>0</v>
      </c>
      <c r="J46" s="55">
        <f>COUNTIF('PF64'!U10:U73,"SCB6_SDA (1)")</f>
        <v>0</v>
      </c>
      <c r="K46" s="55">
        <f>COUNTIF('PF64'!U10:U73,"SCB7_SDA (1)")</f>
        <v>0</v>
      </c>
    </row>
    <row r="47" spans="2:11" x14ac:dyDescent="0.55000000000000004">
      <c r="B47" s="147"/>
      <c r="C47" s="57" t="s">
        <v>792</v>
      </c>
      <c r="D47" s="50">
        <f>COUNTIF('PF64'!U10:U73,"SCB0_SDA (2)")</f>
        <v>0</v>
      </c>
      <c r="E47" s="51">
        <f>COUNTIF('PF64'!U10:U73,"SCB1_SDA (2)")</f>
        <v>0</v>
      </c>
      <c r="F47" s="51">
        <f>COUNTIF('PF64'!U10:U73,"SCB2_SDA (2)")</f>
        <v>0</v>
      </c>
      <c r="G47" s="51">
        <f>COUNTIF('PF64'!U10:U73,"SCB3_SDA (2)")</f>
        <v>0</v>
      </c>
      <c r="H47" s="51">
        <f>COUNTIF('PF64'!U10:U73,"SCB4_SDA (2)")</f>
        <v>0</v>
      </c>
      <c r="I47" s="55">
        <f>COUNTIF('PF64'!U10:U73,"SCB5_SDA (2)")</f>
        <v>0</v>
      </c>
      <c r="J47" s="55">
        <f>COUNTIF('PF64'!U10:U73,"SCB6_SDA (2)")</f>
        <v>0</v>
      </c>
      <c r="K47" s="55">
        <f>COUNTIF('PF64'!U10:U73,"SCB7_SDA (2)")</f>
        <v>0</v>
      </c>
    </row>
    <row r="48" spans="2:11" x14ac:dyDescent="0.55000000000000004">
      <c r="B48" s="147"/>
      <c r="C48" s="57" t="s">
        <v>793</v>
      </c>
      <c r="D48" s="50">
        <f>COUNTIF('PF64'!U10:U73,"SCB0_SCL (0)")</f>
        <v>0</v>
      </c>
      <c r="E48" s="51">
        <f>COUNTIF('PF64'!U10:U73,"SCB1_SCL (0)")</f>
        <v>0</v>
      </c>
      <c r="F48" s="51">
        <f>COUNTIF('PF64'!U10:U73,"SCB2_SCL (0)")</f>
        <v>0</v>
      </c>
      <c r="G48" s="51">
        <f>COUNTIF('PF64'!U10:U73,"SCB3_SCL (0)")</f>
        <v>0</v>
      </c>
      <c r="H48" s="51">
        <f>COUNTIF('PF64'!U10:U73,"SCB4_SCL (0)")</f>
        <v>0</v>
      </c>
      <c r="I48" s="55">
        <f>COUNTIF('PF64'!U10:U73,"SCB5_SCL (0)")</f>
        <v>0</v>
      </c>
      <c r="J48" s="55">
        <f>COUNTIF('PF64'!U10:U73,"SCB6_SCL (0)")</f>
        <v>0</v>
      </c>
      <c r="K48" s="55">
        <f>COUNTIF('PF64'!U10:U73,"SCB7_SCL (0)")</f>
        <v>0</v>
      </c>
    </row>
    <row r="49" spans="2:66" x14ac:dyDescent="0.55000000000000004">
      <c r="B49" s="147"/>
      <c r="C49" s="57" t="s">
        <v>794</v>
      </c>
      <c r="D49" s="50">
        <f>COUNTIF('PF64'!U10:U73,"SCB0_SCL (1)")</f>
        <v>0</v>
      </c>
      <c r="E49" s="51">
        <f>COUNTIF('PF64'!U10:U73,"SCB1_SCL (1)")</f>
        <v>0</v>
      </c>
      <c r="F49" s="51">
        <f>COUNTIF('PF64'!U10:U73,"SCB2_SCL (1)")</f>
        <v>0</v>
      </c>
      <c r="G49" s="51">
        <f>COUNTIF('PF64'!U10:U73,"SCB3_SCL (1)")</f>
        <v>0</v>
      </c>
      <c r="H49" s="51">
        <f>COUNTIF('PF64'!U10:U73,"SCB4_SCL (1)")</f>
        <v>0</v>
      </c>
      <c r="I49" s="55">
        <f>COUNTIF('PF64'!U10:U73,"SCB5_SCL (1)")</f>
        <v>0</v>
      </c>
      <c r="J49" s="55">
        <f>COUNTIF('PF64'!U10:U73,"SCB6_SCL (1)")</f>
        <v>0</v>
      </c>
      <c r="K49" s="55">
        <f>COUNTIF('PF64'!U10:U73,"SCB7_SCL (1)")</f>
        <v>0</v>
      </c>
    </row>
    <row r="50" spans="2:66" x14ac:dyDescent="0.55000000000000004">
      <c r="B50" s="147"/>
      <c r="C50" s="57" t="s">
        <v>795</v>
      </c>
      <c r="D50" s="50">
        <f>COUNTIF('PF64'!U10:U73,"SCB0_SCL (2)")</f>
        <v>0</v>
      </c>
      <c r="E50" s="51">
        <f>COUNTIF('PF64'!U10:U73,"SCB1_SCL (2)")</f>
        <v>0</v>
      </c>
      <c r="F50" s="51">
        <f>COUNTIF('PF64'!U10:U73,"SCB2_SCL (2)")</f>
        <v>0</v>
      </c>
      <c r="G50" s="51">
        <f>COUNTIF('PF64'!U10:U73,"SCB3_SCL (2)")</f>
        <v>0</v>
      </c>
      <c r="H50" s="51">
        <f>COUNTIF('PF64'!U10:U73,"SCB4_SCL (2)")</f>
        <v>0</v>
      </c>
      <c r="I50" s="55">
        <f>COUNTIF('PF64'!U10:U73,"SCB5_SCL (2)")</f>
        <v>0</v>
      </c>
      <c r="J50" s="55">
        <f>COUNTIF('PF64'!U10:U73,"SCB6_SCL (2)")</f>
        <v>0</v>
      </c>
      <c r="K50" s="55">
        <f>COUNTIF('PF64'!U10:U73,"SCB7_SCL (2)")</f>
        <v>0</v>
      </c>
    </row>
    <row r="52" spans="2:66" hidden="1" x14ac:dyDescent="0.55000000000000004">
      <c r="B52" s="58" t="s">
        <v>386</v>
      </c>
      <c r="C52" s="58" t="s">
        <v>831</v>
      </c>
      <c r="D52" s="59" t="s">
        <v>387</v>
      </c>
      <c r="E52" s="59" t="s">
        <v>388</v>
      </c>
      <c r="F52" s="59" t="s">
        <v>389</v>
      </c>
      <c r="G52" s="59" t="s">
        <v>390</v>
      </c>
      <c r="H52" s="59" t="s">
        <v>394</v>
      </c>
      <c r="I52" s="59" t="s">
        <v>393</v>
      </c>
      <c r="J52" s="59" t="s">
        <v>392</v>
      </c>
      <c r="K52" s="59" t="s">
        <v>391</v>
      </c>
    </row>
    <row r="53" spans="2:66" hidden="1" x14ac:dyDescent="0.55000000000000004">
      <c r="B53" s="60" t="s">
        <v>830</v>
      </c>
      <c r="C53" s="61">
        <v>0</v>
      </c>
      <c r="D53" s="61">
        <f>D23+D25+D27+D29+D31+D33+D35</f>
        <v>0</v>
      </c>
      <c r="E53" s="61">
        <f t="shared" ref="E53:K54" si="0">E23+E25+E27+E29+E31+E33+E35</f>
        <v>0</v>
      </c>
      <c r="F53" s="61">
        <f t="shared" si="0"/>
        <v>0</v>
      </c>
      <c r="G53" s="61">
        <f t="shared" si="0"/>
        <v>0</v>
      </c>
      <c r="H53" s="61">
        <f t="shared" si="0"/>
        <v>0</v>
      </c>
      <c r="I53" s="61">
        <f t="shared" si="0"/>
        <v>0</v>
      </c>
      <c r="J53" s="61">
        <f t="shared" si="0"/>
        <v>0</v>
      </c>
      <c r="K53" s="61">
        <f t="shared" si="0"/>
        <v>0</v>
      </c>
    </row>
    <row r="54" spans="2:66" hidden="1" x14ac:dyDescent="0.55000000000000004">
      <c r="B54" s="62"/>
      <c r="C54" s="61">
        <v>1</v>
      </c>
      <c r="D54" s="61">
        <f>D24+D26+D28+D30+D32+D34+D36</f>
        <v>0</v>
      </c>
      <c r="E54" s="61">
        <f t="shared" si="0"/>
        <v>0</v>
      </c>
      <c r="F54" s="61">
        <f t="shared" si="0"/>
        <v>0</v>
      </c>
      <c r="G54" s="61">
        <f t="shared" si="0"/>
        <v>0</v>
      </c>
      <c r="H54" s="61">
        <f t="shared" si="0"/>
        <v>0</v>
      </c>
      <c r="I54" s="61">
        <f t="shared" si="0"/>
        <v>0</v>
      </c>
      <c r="J54" s="61">
        <f t="shared" si="0"/>
        <v>0</v>
      </c>
      <c r="K54" s="61">
        <f t="shared" si="0"/>
        <v>0</v>
      </c>
    </row>
    <row r="55" spans="2:66" hidden="1" x14ac:dyDescent="0.55000000000000004">
      <c r="B55" s="60" t="s">
        <v>832</v>
      </c>
      <c r="C55" s="61">
        <v>0</v>
      </c>
      <c r="D55" s="61">
        <f>D37+D39+D41+D43</f>
        <v>0</v>
      </c>
      <c r="E55" s="61">
        <f t="shared" ref="E55:K56" si="1">E37+E39+E41+E43</f>
        <v>0</v>
      </c>
      <c r="F55" s="61">
        <f t="shared" si="1"/>
        <v>0</v>
      </c>
      <c r="G55" s="61">
        <f t="shared" si="1"/>
        <v>0</v>
      </c>
      <c r="H55" s="61">
        <f t="shared" si="1"/>
        <v>0</v>
      </c>
      <c r="I55" s="61">
        <f t="shared" si="1"/>
        <v>0</v>
      </c>
      <c r="J55" s="61">
        <f t="shared" si="1"/>
        <v>0</v>
      </c>
      <c r="K55" s="61">
        <f t="shared" si="1"/>
        <v>0</v>
      </c>
    </row>
    <row r="56" spans="2:66" hidden="1" x14ac:dyDescent="0.55000000000000004">
      <c r="B56" s="62"/>
      <c r="C56" s="61">
        <v>1</v>
      </c>
      <c r="D56" s="61">
        <f>D38+D40+D42+D44</f>
        <v>0</v>
      </c>
      <c r="E56" s="61">
        <f t="shared" si="1"/>
        <v>0</v>
      </c>
      <c r="F56" s="61">
        <f t="shared" si="1"/>
        <v>0</v>
      </c>
      <c r="G56" s="61">
        <f t="shared" si="1"/>
        <v>0</v>
      </c>
      <c r="H56" s="61">
        <f t="shared" si="1"/>
        <v>0</v>
      </c>
      <c r="I56" s="61">
        <f t="shared" si="1"/>
        <v>0</v>
      </c>
      <c r="J56" s="61">
        <f t="shared" si="1"/>
        <v>0</v>
      </c>
      <c r="K56" s="61">
        <f t="shared" si="1"/>
        <v>0</v>
      </c>
    </row>
    <row r="57" spans="2:66" hidden="1" x14ac:dyDescent="0.55000000000000004">
      <c r="B57" s="60" t="s">
        <v>833</v>
      </c>
      <c r="C57" s="61">
        <v>0</v>
      </c>
      <c r="D57" s="61">
        <f>D45+D48</f>
        <v>0</v>
      </c>
      <c r="E57" s="61">
        <f>E45+E48</f>
        <v>0</v>
      </c>
      <c r="F57" s="61">
        <f>F45+F48</f>
        <v>0</v>
      </c>
      <c r="G57" s="61">
        <f t="shared" ref="G57:K57" si="2">G45+G48</f>
        <v>0</v>
      </c>
      <c r="H57" s="61">
        <f t="shared" si="2"/>
        <v>0</v>
      </c>
      <c r="I57" s="61">
        <f t="shared" si="2"/>
        <v>0</v>
      </c>
      <c r="J57" s="61">
        <f t="shared" si="2"/>
        <v>0</v>
      </c>
      <c r="K57" s="61">
        <f t="shared" si="2"/>
        <v>0</v>
      </c>
    </row>
    <row r="58" spans="2:66" hidden="1" x14ac:dyDescent="0.55000000000000004">
      <c r="B58" s="63"/>
      <c r="C58" s="61">
        <v>1</v>
      </c>
      <c r="D58" s="61">
        <f>D46+D49</f>
        <v>0</v>
      </c>
      <c r="E58" s="61">
        <f t="shared" ref="E58:K59" si="3">E46+E49</f>
        <v>0</v>
      </c>
      <c r="F58" s="61">
        <f t="shared" si="3"/>
        <v>0</v>
      </c>
      <c r="G58" s="61">
        <f t="shared" si="3"/>
        <v>0</v>
      </c>
      <c r="H58" s="61">
        <f t="shared" si="3"/>
        <v>0</v>
      </c>
      <c r="I58" s="61">
        <f t="shared" si="3"/>
        <v>0</v>
      </c>
      <c r="J58" s="61">
        <f t="shared" si="3"/>
        <v>0</v>
      </c>
      <c r="K58" s="61">
        <f t="shared" si="3"/>
        <v>0</v>
      </c>
    </row>
    <row r="59" spans="2:66" hidden="1" x14ac:dyDescent="0.55000000000000004">
      <c r="B59" s="62"/>
      <c r="C59" s="61">
        <v>2</v>
      </c>
      <c r="D59" s="61">
        <f>D47+D50</f>
        <v>0</v>
      </c>
      <c r="E59" s="61">
        <f t="shared" si="3"/>
        <v>0</v>
      </c>
      <c r="F59" s="61">
        <f t="shared" si="3"/>
        <v>0</v>
      </c>
      <c r="G59" s="61">
        <f t="shared" si="3"/>
        <v>0</v>
      </c>
      <c r="H59" s="61">
        <f t="shared" si="3"/>
        <v>0</v>
      </c>
      <c r="I59" s="61">
        <f t="shared" si="3"/>
        <v>0</v>
      </c>
      <c r="J59" s="61">
        <f t="shared" si="3"/>
        <v>0</v>
      </c>
      <c r="K59" s="61">
        <f t="shared" si="3"/>
        <v>0</v>
      </c>
    </row>
    <row r="60" spans="2:66" hidden="1" x14ac:dyDescent="0.55000000000000004">
      <c r="B60" s="64" t="s">
        <v>834</v>
      </c>
      <c r="C60" s="65"/>
      <c r="D60" s="58">
        <f t="shared" ref="D60:K60" si="4">COUNTIF(D53:D59, "&lt;&gt;0")</f>
        <v>0</v>
      </c>
      <c r="E60" s="58">
        <f t="shared" si="4"/>
        <v>0</v>
      </c>
      <c r="F60" s="58">
        <f t="shared" si="4"/>
        <v>0</v>
      </c>
      <c r="G60" s="58">
        <f t="shared" si="4"/>
        <v>0</v>
      </c>
      <c r="H60" s="58">
        <f t="shared" si="4"/>
        <v>0</v>
      </c>
      <c r="I60" s="58">
        <f t="shared" si="4"/>
        <v>0</v>
      </c>
      <c r="J60" s="58">
        <f t="shared" si="4"/>
        <v>0</v>
      </c>
      <c r="K60" s="58">
        <f t="shared" si="4"/>
        <v>0</v>
      </c>
    </row>
    <row r="61" spans="2:66" hidden="1" x14ac:dyDescent="0.55000000000000004"/>
    <row r="63" spans="2:66" x14ac:dyDescent="0.55000000000000004">
      <c r="B63" s="141" t="s">
        <v>442</v>
      </c>
      <c r="C63" s="142"/>
      <c r="D63" s="42" t="s">
        <v>431</v>
      </c>
      <c r="E63" s="42" t="s">
        <v>432</v>
      </c>
      <c r="F63" s="42" t="s">
        <v>433</v>
      </c>
      <c r="G63" s="42" t="s">
        <v>434</v>
      </c>
      <c r="H63" s="42" t="s">
        <v>436</v>
      </c>
      <c r="I63" s="42" t="s">
        <v>437</v>
      </c>
      <c r="J63" s="42" t="s">
        <v>438</v>
      </c>
      <c r="K63" s="42" t="s">
        <v>439</v>
      </c>
      <c r="L63" s="42" t="s">
        <v>440</v>
      </c>
      <c r="M63" s="42" t="s">
        <v>441</v>
      </c>
      <c r="N63" s="42" t="s">
        <v>443</v>
      </c>
      <c r="O63" s="42" t="s">
        <v>444</v>
      </c>
      <c r="P63" s="42" t="s">
        <v>447</v>
      </c>
      <c r="Q63" s="42" t="s">
        <v>448</v>
      </c>
      <c r="R63" s="42" t="s">
        <v>449</v>
      </c>
      <c r="S63" s="42" t="s">
        <v>450</v>
      </c>
      <c r="T63" s="42" t="s">
        <v>451</v>
      </c>
      <c r="U63" s="42" t="s">
        <v>452</v>
      </c>
      <c r="V63" s="42" t="s">
        <v>453</v>
      </c>
      <c r="W63" s="42" t="s">
        <v>454</v>
      </c>
      <c r="X63" s="42" t="s">
        <v>455</v>
      </c>
      <c r="Y63" s="42" t="s">
        <v>456</v>
      </c>
      <c r="Z63" s="42" t="s">
        <v>457</v>
      </c>
      <c r="AA63" s="42" t="s">
        <v>458</v>
      </c>
      <c r="AB63" s="42" t="s">
        <v>459</v>
      </c>
      <c r="AC63" s="42" t="s">
        <v>460</v>
      </c>
      <c r="AD63" s="42" t="s">
        <v>461</v>
      </c>
      <c r="AE63" s="42" t="s">
        <v>462</v>
      </c>
      <c r="AF63" s="42" t="s">
        <v>463</v>
      </c>
      <c r="AG63" s="42" t="s">
        <v>464</v>
      </c>
      <c r="AH63" s="42" t="s">
        <v>465</v>
      </c>
      <c r="AI63" s="42" t="s">
        <v>466</v>
      </c>
      <c r="AJ63" s="42" t="s">
        <v>467</v>
      </c>
      <c r="AK63" s="42" t="s">
        <v>468</v>
      </c>
      <c r="AL63" s="42" t="s">
        <v>469</v>
      </c>
      <c r="AM63" s="42" t="s">
        <v>470</v>
      </c>
      <c r="AN63" s="42" t="s">
        <v>471</v>
      </c>
      <c r="AO63" s="42" t="s">
        <v>472</v>
      </c>
      <c r="AP63" s="42" t="s">
        <v>473</v>
      </c>
      <c r="AQ63" s="42" t="s">
        <v>474</v>
      </c>
      <c r="AR63" s="42" t="s">
        <v>475</v>
      </c>
      <c r="AS63" s="42" t="s">
        <v>476</v>
      </c>
      <c r="AT63" s="42" t="s">
        <v>477</v>
      </c>
      <c r="AU63" s="42" t="s">
        <v>478</v>
      </c>
      <c r="AV63" s="42" t="s">
        <v>479</v>
      </c>
      <c r="AW63" s="42" t="s">
        <v>480</v>
      </c>
      <c r="AX63" s="42" t="s">
        <v>481</v>
      </c>
      <c r="AY63" s="42" t="s">
        <v>482</v>
      </c>
      <c r="AZ63" s="42" t="s">
        <v>483</v>
      </c>
      <c r="BA63" s="42" t="s">
        <v>484</v>
      </c>
      <c r="BB63" s="42" t="s">
        <v>485</v>
      </c>
      <c r="BC63" s="42" t="s">
        <v>486</v>
      </c>
      <c r="BD63" s="42" t="s">
        <v>487</v>
      </c>
      <c r="BE63" s="42" t="s">
        <v>488</v>
      </c>
      <c r="BF63" s="42" t="s">
        <v>489</v>
      </c>
      <c r="BG63" s="42" t="s">
        <v>490</v>
      </c>
      <c r="BH63" s="42" t="s">
        <v>491</v>
      </c>
      <c r="BI63" s="42" t="s">
        <v>492</v>
      </c>
      <c r="BJ63" s="42" t="s">
        <v>493</v>
      </c>
      <c r="BK63" s="42" t="s">
        <v>494</v>
      </c>
      <c r="BL63" s="42" t="s">
        <v>495</v>
      </c>
      <c r="BM63" s="42" t="s">
        <v>496</v>
      </c>
      <c r="BN63" s="42" t="s">
        <v>497</v>
      </c>
    </row>
    <row r="64" spans="2:66" x14ac:dyDescent="0.55000000000000004">
      <c r="B64" s="139" t="s">
        <v>428</v>
      </c>
      <c r="C64" s="43" t="s">
        <v>421</v>
      </c>
      <c r="D64" s="43">
        <f>COUNTIF('PF64'!U10:U73,"PWM0_0")</f>
        <v>0</v>
      </c>
      <c r="E64" s="43">
        <f>COUNTIF('PF64'!U10:U73,"PWM0_1")</f>
        <v>0</v>
      </c>
      <c r="F64" s="43">
        <f>COUNTIF('PF64'!U10:U73,"PWM0_2")</f>
        <v>0</v>
      </c>
      <c r="G64" s="43">
        <f>COUNTIF('PF64'!U10:U73,"PWM0_3")</f>
        <v>0</v>
      </c>
      <c r="H64" s="43">
        <f>COUNTIF('PF64'!U10:U73,"PWM0_4")</f>
        <v>0</v>
      </c>
      <c r="I64" s="43">
        <f>COUNTIF('PF64'!U10:U73,"PWM0_5")</f>
        <v>0</v>
      </c>
      <c r="J64" s="43">
        <f>COUNTIF('PF64'!U10:U73,"PWM0_6")</f>
        <v>0</v>
      </c>
      <c r="K64" s="43">
        <f>COUNTIF('PF64'!U10:U73,"PWM0_7")</f>
        <v>0</v>
      </c>
      <c r="L64" s="43">
        <f>COUNTIF('PF64'!U10:U73,"PWM0_8")</f>
        <v>0</v>
      </c>
      <c r="M64" s="43">
        <f>COUNTIF('PF64'!U10:U73,"PWM0_9")</f>
        <v>0</v>
      </c>
      <c r="N64" s="43">
        <f>COUNTIF('PF64'!U10:U73,"PWM0_10")</f>
        <v>0</v>
      </c>
      <c r="O64" s="43">
        <f>COUNTIF('PF64'!U10:U73,"PWM0_11")</f>
        <v>0</v>
      </c>
      <c r="P64" s="43">
        <f>COUNTIF('PF64'!U10:U73,"PWM0_12")</f>
        <v>0</v>
      </c>
      <c r="Q64" s="43">
        <f>COUNTIF('PF64'!U10:U73,"PWM0_13")</f>
        <v>0</v>
      </c>
      <c r="R64" s="43">
        <f>COUNTIF('PF64'!U10:U73,"PWM0_14")</f>
        <v>0</v>
      </c>
      <c r="S64" s="43">
        <f>COUNTIF('PF64'!U10:U73,"PWM0_15")</f>
        <v>0</v>
      </c>
      <c r="T64" s="43">
        <f>COUNTIF('PF64'!U10:U73,"PWM0_16")</f>
        <v>0</v>
      </c>
      <c r="U64" s="43">
        <f>COUNTIF('PF64'!U10:U73,"PWM0_17")</f>
        <v>0</v>
      </c>
      <c r="V64" s="43">
        <f>COUNTIF('PF64'!U10:U73,"PWM0_18")</f>
        <v>0</v>
      </c>
      <c r="W64" s="43">
        <f>COUNTIF('PF64'!U10:U73,"PWM0_19")</f>
        <v>0</v>
      </c>
      <c r="X64" s="43">
        <f>COUNTIF('PF64'!U10:U73,"PWM0_20")</f>
        <v>0</v>
      </c>
      <c r="Y64" s="43">
        <f>COUNTIF('PF64'!U10:U73,"PWM0_21")</f>
        <v>0</v>
      </c>
      <c r="Z64" s="43">
        <f>COUNTIF('PF64'!U10:U73,"PWM0_22")</f>
        <v>0</v>
      </c>
      <c r="AA64" s="43">
        <f>COUNTIF('PF64'!U10:U73,"PWM0_23")</f>
        <v>0</v>
      </c>
      <c r="AB64" s="43">
        <f>COUNTIF('PF64'!U10:U73,"PWM0_24")</f>
        <v>0</v>
      </c>
      <c r="AC64" s="43">
        <f>COUNTIF('PF64'!U10:U73,"PWM0_25")</f>
        <v>0</v>
      </c>
      <c r="AD64" s="43">
        <f>COUNTIF('PF64'!U10:U73,"PWM0_26")</f>
        <v>0</v>
      </c>
      <c r="AE64" s="43">
        <f>COUNTIF('PF64'!U10:U73,"PWM0_27")</f>
        <v>0</v>
      </c>
      <c r="AF64" s="43">
        <f>COUNTIF('PF64'!U10:U73,"PWM0_28")</f>
        <v>0</v>
      </c>
      <c r="AG64" s="43">
        <f>COUNTIF('PF64'!U10:U73,"PWM0_29")</f>
        <v>0</v>
      </c>
      <c r="AH64" s="43">
        <f>COUNTIF('PF64'!U10:U73,"PWM0_30")</f>
        <v>0</v>
      </c>
      <c r="AI64" s="43">
        <f>COUNTIF('PF64'!U10:U73,"PWM0_31")</f>
        <v>0</v>
      </c>
      <c r="AJ64" s="43">
        <f>COUNTIF('PF64'!U10:U73,"PWM0_32")</f>
        <v>0</v>
      </c>
      <c r="AK64" s="43">
        <f>COUNTIF('PF64'!U10:U73,"PWM0_33")</f>
        <v>0</v>
      </c>
      <c r="AL64" s="43">
        <f>COUNTIF('PF64'!U10:U73,"PWM0_34")</f>
        <v>0</v>
      </c>
      <c r="AM64" s="43">
        <f>COUNTIF('PF64'!U10:U73,"PWM0_35")</f>
        <v>0</v>
      </c>
      <c r="AN64" s="43">
        <f>COUNTIF('PF64'!U10:U73,"PWM0_36")</f>
        <v>0</v>
      </c>
      <c r="AO64" s="43">
        <f>COUNTIF('PF64'!U10:U73,"PWM0_37")</f>
        <v>0</v>
      </c>
      <c r="AP64" s="43">
        <f>COUNTIF('PF64'!U10:U73,"PWM0_38")</f>
        <v>0</v>
      </c>
      <c r="AQ64" s="43">
        <f>COUNTIF('PF64'!U10:U73,"PWM0_39")</f>
        <v>0</v>
      </c>
      <c r="AR64" s="43">
        <f>COUNTIF('PF64'!U10:U73,"PWM0_40")</f>
        <v>0</v>
      </c>
      <c r="AS64" s="43">
        <f>COUNTIF('PF64'!U10:U73,"PWM0_41")</f>
        <v>0</v>
      </c>
      <c r="AT64" s="43">
        <f>COUNTIF('PF64'!U10:U73,"PWM0_42")</f>
        <v>0</v>
      </c>
      <c r="AU64" s="43">
        <f>COUNTIF('PF64'!U10:U73,"PWM0_43")</f>
        <v>0</v>
      </c>
      <c r="AV64" s="43">
        <f>COUNTIF('PF64'!U10:U73,"PWM0_44")</f>
        <v>0</v>
      </c>
      <c r="AW64" s="43">
        <f>COUNTIF('PF64'!U10:U73,"PWM0_45")</f>
        <v>0</v>
      </c>
      <c r="AX64" s="43">
        <f>COUNTIF('PF64'!U10:U73,"PWM0_46")</f>
        <v>0</v>
      </c>
      <c r="AY64" s="43">
        <f>COUNTIF('PF64'!U10:U73,"PWM0_47")</f>
        <v>0</v>
      </c>
      <c r="AZ64" s="43">
        <f>COUNTIF('PF64'!U10:U73,"PWM0_48")</f>
        <v>0</v>
      </c>
      <c r="BA64" s="43">
        <f>COUNTIF('PF64'!U10:U73,"PWM0_49")</f>
        <v>0</v>
      </c>
      <c r="BB64" s="43">
        <f>COUNTIF('PF64'!U10:U73,"PWM0_50")</f>
        <v>0</v>
      </c>
      <c r="BC64" s="43">
        <f>COUNTIF('PF64'!U10:U73,"PWM0_51")</f>
        <v>0</v>
      </c>
      <c r="BD64" s="43">
        <f>COUNTIF('PF64'!U10:U73,"PWM0_52")</f>
        <v>0</v>
      </c>
      <c r="BE64" s="43">
        <f>COUNTIF('PF64'!U10:U73,"PWM0_53")</f>
        <v>0</v>
      </c>
      <c r="BF64" s="43">
        <f>COUNTIF('PF64'!U10:U73,"PWM0_54")</f>
        <v>0</v>
      </c>
      <c r="BG64" s="43">
        <f>COUNTIF('PF64'!U10:U73,"PWM0_55")</f>
        <v>0</v>
      </c>
      <c r="BH64" s="43">
        <f>COUNTIF('PF64'!U10:U73,"PWM0_56")</f>
        <v>0</v>
      </c>
      <c r="BI64" s="43">
        <f>COUNTIF('PF64'!U10:U73,"PWM0_57")</f>
        <v>0</v>
      </c>
      <c r="BJ64" s="43">
        <f>COUNTIF('PF64'!U10:U73,"PWM0_58")</f>
        <v>0</v>
      </c>
      <c r="BK64" s="43">
        <f>COUNTIF('PF64'!U10:U73,"PWM0_59")</f>
        <v>0</v>
      </c>
      <c r="BL64" s="43">
        <f>COUNTIF('PF64'!U10:U73,"PWM0_60")</f>
        <v>0</v>
      </c>
      <c r="BM64" s="43">
        <f>COUNTIF('PF64'!U10:U73,"PWM0_61")</f>
        <v>0</v>
      </c>
      <c r="BN64" s="43">
        <f>COUNTIF('PF64'!U10:U73,"PWM0_62")</f>
        <v>0</v>
      </c>
    </row>
    <row r="65" spans="2:66" x14ac:dyDescent="0.55000000000000004">
      <c r="B65" s="140"/>
      <c r="C65" s="43" t="s">
        <v>424</v>
      </c>
      <c r="D65" s="43">
        <f>COUNTIF('PF64'!U10:U73,"PWM0_0_N")</f>
        <v>0</v>
      </c>
      <c r="E65" s="43">
        <f>COUNTIF('PF64'!U10:U73,"PWM0_1_N")</f>
        <v>0</v>
      </c>
      <c r="F65" s="43">
        <f>COUNTIF('PF64'!U10:U73,"PWM0_2_N")</f>
        <v>0</v>
      </c>
      <c r="G65" s="43">
        <f>COUNTIF('PF64'!U10:U73,"PWM0_3_N")</f>
        <v>0</v>
      </c>
      <c r="H65" s="43">
        <f>COUNTIF('PF64'!U10:U73,"PWM0_4_N")</f>
        <v>0</v>
      </c>
      <c r="I65" s="43">
        <f>COUNTIF('PF64'!U10:U73,"PWM0_5_N")</f>
        <v>0</v>
      </c>
      <c r="J65" s="43">
        <f>COUNTIF('PF64'!U10:U73,"PWM0_6_N")</f>
        <v>0</v>
      </c>
      <c r="K65" s="43">
        <f>COUNTIF('PF64'!U10:U73,"PWM0_7_N")</f>
        <v>0</v>
      </c>
      <c r="L65" s="43">
        <f>COUNTIF('PF64'!U10:U73,"PWM0_8_N")</f>
        <v>0</v>
      </c>
      <c r="M65" s="43">
        <f>COUNTIF('PF64'!U10:U73,"PWM0_9_N")</f>
        <v>0</v>
      </c>
      <c r="N65" s="43">
        <f>COUNTIF('PF64'!U10:U73,"PWM0_10_N")</f>
        <v>0</v>
      </c>
      <c r="O65" s="43">
        <f>COUNTIF('PF64'!U10:U73,"PWM0_11_N")</f>
        <v>0</v>
      </c>
      <c r="P65" s="43">
        <f>COUNTIF('PF64'!U10:U73,"PWM0_12_N")</f>
        <v>0</v>
      </c>
      <c r="Q65" s="43">
        <f>COUNTIF('PF64'!U10:U73,"PWM0_13_N")</f>
        <v>0</v>
      </c>
      <c r="R65" s="43">
        <f>COUNTIF('PF64'!U10:U73,"PWM0_14_N")</f>
        <v>0</v>
      </c>
      <c r="S65" s="43">
        <f>COUNTIF('PF64'!U10:U73,"PWM0_15_N")</f>
        <v>0</v>
      </c>
      <c r="T65" s="43">
        <f>COUNTIF('PF64'!U10:U73,"PWM0_16_N")</f>
        <v>0</v>
      </c>
      <c r="U65" s="43">
        <f>COUNTIF('PF64'!U10:U73,"PWM0_17_N")</f>
        <v>0</v>
      </c>
      <c r="V65" s="43">
        <f>COUNTIF('PF64'!U10:U73,"PWM0_18_N")</f>
        <v>0</v>
      </c>
      <c r="W65" s="43">
        <f>COUNTIF('PF64'!U10:U73,"PWM0_19_N")</f>
        <v>0</v>
      </c>
      <c r="X65" s="43">
        <f>COUNTIF('PF64'!U10:U73,"PWM0_20_N")</f>
        <v>0</v>
      </c>
      <c r="Y65" s="43">
        <f>COUNTIF('PF64'!U10:U73,"PWM0_21_N")</f>
        <v>0</v>
      </c>
      <c r="Z65" s="43">
        <f>COUNTIF('PF64'!U10:U73,"PWM0_22_N")</f>
        <v>0</v>
      </c>
      <c r="AA65" s="43">
        <f>COUNTIF('PF64'!U10:U73,"PWM0_23_N")</f>
        <v>0</v>
      </c>
      <c r="AB65" s="43">
        <f>COUNTIF('PF64'!U10:U73,"PWM0_24_N")</f>
        <v>0</v>
      </c>
      <c r="AC65" s="43">
        <f>COUNTIF('PF64'!U10:U73,"PWM0_25_N")</f>
        <v>0</v>
      </c>
      <c r="AD65" s="43">
        <f>COUNTIF('PF64'!U10:U73,"PWM0_26_N")</f>
        <v>0</v>
      </c>
      <c r="AE65" s="43">
        <f>COUNTIF('PF64'!U10:U73,"PWM0_27_N")</f>
        <v>0</v>
      </c>
      <c r="AF65" s="43">
        <f>COUNTIF('PF64'!U10:U73,"PWM0_28_N")</f>
        <v>0</v>
      </c>
      <c r="AG65" s="43">
        <f>COUNTIF('PF64'!U10:U73,"PWM0_29_N")</f>
        <v>0</v>
      </c>
      <c r="AH65" s="43">
        <f>COUNTIF('PF64'!U10:U73,"PWM0_30_N")</f>
        <v>0</v>
      </c>
      <c r="AI65" s="43">
        <f>COUNTIF('PF64'!U10:U73,"PWM0_31_N")</f>
        <v>0</v>
      </c>
      <c r="AJ65" s="43">
        <f>COUNTIF('PF64'!U10:U73,"PWM0_32_N")</f>
        <v>0</v>
      </c>
      <c r="AK65" s="43">
        <f>COUNTIF('PF64'!U10:U73,"PWM0_33_N")</f>
        <v>0</v>
      </c>
      <c r="AL65" s="43">
        <f>COUNTIF('PF64'!U10:U73,"PWM0_34_N")</f>
        <v>0</v>
      </c>
      <c r="AM65" s="43">
        <f>COUNTIF('PF64'!U10:U73,"PWM0_35_N")</f>
        <v>0</v>
      </c>
      <c r="AN65" s="43">
        <f>COUNTIF('PF64'!U10:U73,"PWM0_36_N")</f>
        <v>0</v>
      </c>
      <c r="AO65" s="43">
        <f>COUNTIF('PF64'!U10:U73,"PWM0_37_N")</f>
        <v>0</v>
      </c>
      <c r="AP65" s="43">
        <f>COUNTIF('PF64'!U10:U73,"PWM0_38_N")</f>
        <v>0</v>
      </c>
      <c r="AQ65" s="43">
        <f>COUNTIF('PF64'!U10:U73,"PWM0_39_N")</f>
        <v>0</v>
      </c>
      <c r="AR65" s="43">
        <f>COUNTIF('PF64'!U10:U73,"PWM0_40_N")</f>
        <v>0</v>
      </c>
      <c r="AS65" s="43">
        <f>COUNTIF('PF64'!U10:U73,"PWM0_41_N")</f>
        <v>0</v>
      </c>
      <c r="AT65" s="43">
        <f>COUNTIF('PF64'!U10:U73,"PWM0_42_N")</f>
        <v>0</v>
      </c>
      <c r="AU65" s="43">
        <f>COUNTIF('PF64'!U10:U73,"PWM0_43_N")</f>
        <v>0</v>
      </c>
      <c r="AV65" s="43">
        <f>COUNTIF('PF64'!U10:U73,"PWM0_44_N")</f>
        <v>0</v>
      </c>
      <c r="AW65" s="43">
        <f>COUNTIF('PF64'!U10:U73,"PWM0_45_N")</f>
        <v>0</v>
      </c>
      <c r="AX65" s="43">
        <f>COUNTIF('PF64'!U10:U73,"PWM0_46_N")</f>
        <v>0</v>
      </c>
      <c r="AY65" s="43">
        <f>COUNTIF('PF64'!U10:U73,"PWM0_47_N")</f>
        <v>0</v>
      </c>
      <c r="AZ65" s="43">
        <f>COUNTIF('PF64'!U10:U73,"PWM0_48_N")</f>
        <v>0</v>
      </c>
      <c r="BA65" s="43">
        <f>COUNTIF('PF64'!U10:U73,"PWM0_49_N")</f>
        <v>0</v>
      </c>
      <c r="BB65" s="43">
        <f>COUNTIF('PF64'!U10:U73,"PWM0_50_N")</f>
        <v>0</v>
      </c>
      <c r="BC65" s="43">
        <f>COUNTIF('PF64'!U10:U73,"PWM0_51_N")</f>
        <v>0</v>
      </c>
      <c r="BD65" s="43">
        <f>COUNTIF('PF64'!U10:U73,"PWM0_52_N")</f>
        <v>0</v>
      </c>
      <c r="BE65" s="43">
        <f>COUNTIF('PF64'!U10:U73,"PWM0_53_N")</f>
        <v>0</v>
      </c>
      <c r="BF65" s="43">
        <f>COUNTIF('PF64'!U10:U73,"PWM0_54_N")</f>
        <v>0</v>
      </c>
      <c r="BG65" s="43">
        <f>COUNTIF('PF64'!U10:U73,"PWM0_55_N")</f>
        <v>0</v>
      </c>
      <c r="BH65" s="43">
        <f>COUNTIF('PF64'!U10:U73,"PWM0_56_N")</f>
        <v>0</v>
      </c>
      <c r="BI65" s="43">
        <f>COUNTIF('PF64'!U10:U73,"PWM0_57_N")</f>
        <v>0</v>
      </c>
      <c r="BJ65" s="43">
        <f>COUNTIF('PF64'!U10:U73,"PWM0_58_N")</f>
        <v>0</v>
      </c>
      <c r="BK65" s="43">
        <f>COUNTIF('PF64'!U10:U73,"PWM0_59_N")</f>
        <v>0</v>
      </c>
      <c r="BL65" s="43">
        <f>COUNTIF('PF64'!U10:U73,"PWM0_60_N")</f>
        <v>0</v>
      </c>
      <c r="BM65" s="43">
        <f>COUNTIF('PF64'!U10:U73,"PWM0_61_N")</f>
        <v>0</v>
      </c>
      <c r="BN65" s="43">
        <f>COUNTIF('PF64'!U10:U73,"PWM0_62_N")</f>
        <v>0</v>
      </c>
    </row>
    <row r="66" spans="2:66" x14ac:dyDescent="0.55000000000000004">
      <c r="B66" s="139" t="s">
        <v>429</v>
      </c>
      <c r="C66" s="43" t="s">
        <v>422</v>
      </c>
      <c r="D66" s="43">
        <f>COUNTIF('PF64'!U10:U73,"TC0_0_TR0")</f>
        <v>0</v>
      </c>
      <c r="E66" s="43">
        <f>COUNTIF('PF64'!U10:U73,"TC0_1_TR0")</f>
        <v>0</v>
      </c>
      <c r="F66" s="43">
        <f>COUNTIF('PF64'!U10:U73,"TC0_2_TR0")</f>
        <v>0</v>
      </c>
      <c r="G66" s="43">
        <f>COUNTIF('PF64'!U10:U73,"TC0_3_TR0")</f>
        <v>0</v>
      </c>
      <c r="H66" s="43">
        <f>COUNTIF('PF64'!U10:U73,"TC0_4_TR0")</f>
        <v>0</v>
      </c>
      <c r="I66" s="43">
        <f>COUNTIF('PF64'!U10:U73,"TC0_5_TR0")</f>
        <v>0</v>
      </c>
      <c r="J66" s="43">
        <f>COUNTIF('PF64'!U10:U73,"TC0_6_TR0")</f>
        <v>0</v>
      </c>
      <c r="K66" s="43">
        <f>COUNTIF('PF64'!U10:U73,"TC0_7_TR0")</f>
        <v>0</v>
      </c>
      <c r="L66" s="43">
        <f>COUNTIF('PF64'!U10:U73,"TC0_8_TR0")</f>
        <v>0</v>
      </c>
      <c r="M66" s="43">
        <f>COUNTIF('PF64'!U10:U73,"TC0_9_TR0")</f>
        <v>0</v>
      </c>
      <c r="N66" s="43">
        <f>COUNTIF('PF64'!U10:U73,"TC0_10_TR0")</f>
        <v>0</v>
      </c>
      <c r="O66" s="43">
        <f>COUNTIF('PF64'!U10:U73,"TC0_11_TR0")</f>
        <v>0</v>
      </c>
      <c r="P66" s="43">
        <f>COUNTIF('PF64'!U10:U73,"TC0_12_TR0")</f>
        <v>0</v>
      </c>
      <c r="Q66" s="43">
        <f>COUNTIF('PF64'!U10:U73,"TC0_13_TR0")</f>
        <v>0</v>
      </c>
      <c r="R66" s="43">
        <f>COUNTIF('PF64'!U10:U73,"TC0_14_TR0")</f>
        <v>0</v>
      </c>
      <c r="S66" s="43">
        <f>COUNTIF('PF64'!U10:U73,"TC0_15_TR0")</f>
        <v>0</v>
      </c>
      <c r="T66" s="43">
        <f>COUNTIF('PF64'!U10:U73,"TC0_16_TR0")</f>
        <v>0</v>
      </c>
      <c r="U66" s="43">
        <f>COUNTIF('PF64'!U10:U73,"TC0_17_TR0")</f>
        <v>0</v>
      </c>
      <c r="V66" s="43">
        <f>COUNTIF('PF64'!U10:U73,"TC0_18_TR0")</f>
        <v>0</v>
      </c>
      <c r="W66" s="43">
        <f>COUNTIF('PF64'!U10:U73,"TC0_19_TR0")</f>
        <v>0</v>
      </c>
      <c r="X66" s="43">
        <f>COUNTIF('PF64'!U10:U73,"TC0_20_TR0")</f>
        <v>0</v>
      </c>
      <c r="Y66" s="43">
        <f>COUNTIF('PF64'!U10:U73,"TC0_21_TR0")</f>
        <v>0</v>
      </c>
      <c r="Z66" s="43">
        <f>COUNTIF('PF64'!U10:U73,"TC0_22_TR0")</f>
        <v>0</v>
      </c>
      <c r="AA66" s="43">
        <f>COUNTIF('PF64'!U10:U73,"TC0_23_TR0")</f>
        <v>0</v>
      </c>
      <c r="AB66" s="43">
        <f>COUNTIF('PF64'!U10:U73,"TC0_24_TR0")</f>
        <v>0</v>
      </c>
      <c r="AC66" s="43">
        <f>COUNTIF('PF64'!U10:U73,"TC0_25_TR0")</f>
        <v>0</v>
      </c>
      <c r="AD66" s="43">
        <f>COUNTIF('PF64'!U10:U73,"TC0_26_TR0")</f>
        <v>0</v>
      </c>
      <c r="AE66" s="43">
        <f>COUNTIF('PF64'!U10:U73,"TC0_27_TR0")</f>
        <v>0</v>
      </c>
      <c r="AF66" s="43">
        <f>COUNTIF('PF64'!U10:U73,"TC0_28_TR0")</f>
        <v>0</v>
      </c>
      <c r="AG66" s="43">
        <f>COUNTIF('PF64'!U10:U73,"TC0_29_TR0")</f>
        <v>0</v>
      </c>
      <c r="AH66" s="43">
        <f>COUNTIF('PF64'!U10:U73,"TC0_30_TR0")</f>
        <v>0</v>
      </c>
      <c r="AI66" s="43">
        <f>COUNTIF('PF64'!U10:U73,"TC0_31_TR0")</f>
        <v>0</v>
      </c>
      <c r="AJ66" s="43">
        <f>COUNTIF('PF64'!U10:U73,"TC0_32_TR0")</f>
        <v>0</v>
      </c>
      <c r="AK66" s="43">
        <f>COUNTIF('PF64'!U10:U73,"TC0_33_TR0")</f>
        <v>0</v>
      </c>
      <c r="AL66" s="43">
        <f>COUNTIF('PF64'!U10:U73,"TC0_34_TR0")</f>
        <v>0</v>
      </c>
      <c r="AM66" s="43">
        <f>COUNTIF('PF64'!U10:U73,"TC0_35_TR0")</f>
        <v>0</v>
      </c>
      <c r="AN66" s="43">
        <f>COUNTIF('PF64'!U10:U73,"TC0_36_TR0")</f>
        <v>0</v>
      </c>
      <c r="AO66" s="43">
        <f>COUNTIF('PF64'!U10:U73,"TC0_37_TR0")</f>
        <v>0</v>
      </c>
      <c r="AP66" s="43">
        <f>COUNTIF('PF64'!U10:U73,"TC0_38_TR0")</f>
        <v>0</v>
      </c>
      <c r="AQ66" s="43">
        <f>COUNTIF('PF64'!U10:U73,"TC0_39_TR0")</f>
        <v>0</v>
      </c>
      <c r="AR66" s="43">
        <f>COUNTIF('PF64'!U10:U73,"TC0_40_TR0")</f>
        <v>0</v>
      </c>
      <c r="AS66" s="43">
        <f>COUNTIF('PF64'!U10:U73,"TC0_41_TR0")</f>
        <v>0</v>
      </c>
      <c r="AT66" s="43">
        <f>COUNTIF('PF64'!U10:U73,"TC0_42_TR0")</f>
        <v>0</v>
      </c>
      <c r="AU66" s="43">
        <f>COUNTIF('PF64'!U10:U73,"TC0_43_TR0")</f>
        <v>0</v>
      </c>
      <c r="AV66" s="43">
        <f>COUNTIF('PF64'!U10:U73,"TC0_44_TR0")</f>
        <v>0</v>
      </c>
      <c r="AW66" s="43">
        <f>COUNTIF('PF64'!U10:U73,"TC0_45_TR0")</f>
        <v>0</v>
      </c>
      <c r="AX66" s="43">
        <f>COUNTIF('PF64'!U10:U73,"TC0_46_TR0")</f>
        <v>0</v>
      </c>
      <c r="AY66" s="43">
        <f>COUNTIF('PF64'!U10:U73,"TC0_47_TR0")</f>
        <v>0</v>
      </c>
      <c r="AZ66" s="43">
        <f>COUNTIF('PF64'!U10:U73,"TC0_48_TR0")</f>
        <v>0</v>
      </c>
      <c r="BA66" s="43">
        <f>COUNTIF('PF64'!U10:U73,"TC0_49_TR0")</f>
        <v>0</v>
      </c>
      <c r="BB66" s="43">
        <f>COUNTIF('PF64'!U10:U73,"TC0_50_TR0")</f>
        <v>0</v>
      </c>
      <c r="BC66" s="43">
        <f>COUNTIF('PF64'!U10:U73,"TC0_51_TR0")</f>
        <v>0</v>
      </c>
      <c r="BD66" s="43">
        <f>COUNTIF('PF64'!U10:U73,"TC0_52_TR0")</f>
        <v>0</v>
      </c>
      <c r="BE66" s="43">
        <f>COUNTIF('PF64'!U10:U73,"TC0_53_TR0")</f>
        <v>0</v>
      </c>
      <c r="BF66" s="43">
        <f>COUNTIF('PF64'!U10:U73,"TC0_54_TR0")</f>
        <v>0</v>
      </c>
      <c r="BG66" s="43">
        <f>COUNTIF('PF64'!U10:U73,"TC0_55_TR0")</f>
        <v>0</v>
      </c>
      <c r="BH66" s="43">
        <f>COUNTIF('PF64'!U10:U73,"TC0_56_TR0")</f>
        <v>0</v>
      </c>
      <c r="BI66" s="43">
        <f>COUNTIF('PF64'!U10:U73,"TC0_57_TR0")</f>
        <v>0</v>
      </c>
      <c r="BJ66" s="43">
        <f>COUNTIF('PF64'!U10:U73,"TC0_58_TR0")</f>
        <v>0</v>
      </c>
      <c r="BK66" s="43">
        <f>COUNTIF('PF64'!U10:U73,"TC0_59_TR0")</f>
        <v>0</v>
      </c>
      <c r="BL66" s="43">
        <f>COUNTIF('PF64'!U10:U73,"TC0_60_TR0")</f>
        <v>0</v>
      </c>
      <c r="BM66" s="43">
        <f>COUNTIF('PF64'!U10:U73,"TC0_61_TR0")</f>
        <v>0</v>
      </c>
      <c r="BN66" s="43">
        <f>COUNTIF('PF64'!U10:U73,"TC0_62_TR0")</f>
        <v>0</v>
      </c>
    </row>
    <row r="67" spans="2:66" x14ac:dyDescent="0.55000000000000004">
      <c r="B67" s="140"/>
      <c r="C67" s="43" t="s">
        <v>423</v>
      </c>
      <c r="D67" s="43">
        <f>COUNTIF('PF64'!U10:U73,"TC0_0_TR1")</f>
        <v>0</v>
      </c>
      <c r="E67" s="43">
        <f>COUNTIF('PF64'!U10:U73,"TC0_1_TR1")</f>
        <v>0</v>
      </c>
      <c r="F67" s="43">
        <f>COUNTIF('PF64'!U10:U73,"TC0_2_TR1")</f>
        <v>0</v>
      </c>
      <c r="G67" s="43">
        <f>COUNTIF('PF64'!U10:U73,"TC0_3_TR1")</f>
        <v>0</v>
      </c>
      <c r="H67" s="43">
        <f>COUNTIF('PF64'!U10:U73,"TC0_4_TR1")</f>
        <v>0</v>
      </c>
      <c r="I67" s="43">
        <f>COUNTIF('PF64'!U10:U73,"TC0_5_TR1")</f>
        <v>0</v>
      </c>
      <c r="J67" s="43">
        <f>COUNTIF('PF64'!U10:U73,"TC0_6_TR1")</f>
        <v>0</v>
      </c>
      <c r="K67" s="43">
        <f>COUNTIF('PF64'!U10:U73,"TC0_7_TR1")</f>
        <v>0</v>
      </c>
      <c r="L67" s="43">
        <f>COUNTIF('PF64'!U10:U73,"TC0_8_TR1")</f>
        <v>0</v>
      </c>
      <c r="M67" s="43">
        <f>COUNTIF('PF64'!U10:U73,"TC0_9_TR1")</f>
        <v>0</v>
      </c>
      <c r="N67" s="43">
        <f>COUNTIF('PF64'!U10:U73,"TC0_10_TR1")</f>
        <v>0</v>
      </c>
      <c r="O67" s="43">
        <f>COUNTIF('PF64'!U10:U73,"TC0_11_TR1")</f>
        <v>0</v>
      </c>
      <c r="P67" s="43">
        <f>COUNTIF('PF64'!U10:U73,"TC0_12_TR1")</f>
        <v>0</v>
      </c>
      <c r="Q67" s="43">
        <f>COUNTIF('PF64'!U10:U73,"TC0_13_TR1")</f>
        <v>0</v>
      </c>
      <c r="R67" s="43">
        <f>COUNTIF('PF64'!U10:U73,"TC0_14_TR1")</f>
        <v>0</v>
      </c>
      <c r="S67" s="43">
        <f>COUNTIF('PF64'!U10:U73,"TC0_15_TR1")</f>
        <v>0</v>
      </c>
      <c r="T67" s="43">
        <f>COUNTIF('PF64'!U10:U73,"TC0_16_TR1")</f>
        <v>0</v>
      </c>
      <c r="U67" s="43">
        <f>COUNTIF('PF64'!U10:U73,"TC0_17_TR1")</f>
        <v>0</v>
      </c>
      <c r="V67" s="43">
        <f>COUNTIF('PF64'!U10:U73,"TC0_18_TR1")</f>
        <v>0</v>
      </c>
      <c r="W67" s="43">
        <f>COUNTIF('PF64'!U10:U73,"TC0_19_TR1")</f>
        <v>0</v>
      </c>
      <c r="X67" s="43">
        <f>COUNTIF('PF64'!U10:U73,"TC0_20_TR1")</f>
        <v>0</v>
      </c>
      <c r="Y67" s="43">
        <f>COUNTIF('PF64'!U10:U73,"TC0_21_TR1")</f>
        <v>0</v>
      </c>
      <c r="Z67" s="43">
        <f>COUNTIF('PF64'!U10:U73,"TC0_22_TR1")</f>
        <v>0</v>
      </c>
      <c r="AA67" s="43">
        <f>COUNTIF('PF64'!U10:U73,"TC0_23_TR1")</f>
        <v>0</v>
      </c>
      <c r="AB67" s="43">
        <f>COUNTIF('PF64'!U10:U73,"TC0_24_TR1")</f>
        <v>0</v>
      </c>
      <c r="AC67" s="43">
        <f>COUNTIF('PF64'!U10:U73,"TC0_25_TR1")</f>
        <v>0</v>
      </c>
      <c r="AD67" s="43">
        <f>COUNTIF('PF64'!U10:U73,"TC0_26_TR1")</f>
        <v>0</v>
      </c>
      <c r="AE67" s="43">
        <f>COUNTIF('PF64'!U10:U73,"TC0_27_TR1")</f>
        <v>0</v>
      </c>
      <c r="AF67" s="43">
        <f>COUNTIF('PF64'!U10:U73,"TC0_28_TR1")</f>
        <v>0</v>
      </c>
      <c r="AG67" s="43">
        <f>COUNTIF('PF64'!U10:U73,"TC0_29_TR1")</f>
        <v>0</v>
      </c>
      <c r="AH67" s="43">
        <f>COUNTIF('PF64'!U10:U73,"TC0_30_TR1")</f>
        <v>0</v>
      </c>
      <c r="AI67" s="43">
        <f>COUNTIF('PF64'!U10:U73,"TC0_31_TR1")</f>
        <v>0</v>
      </c>
      <c r="AJ67" s="43">
        <f>COUNTIF('PF64'!U10:U73,"TC0_32_TR1")</f>
        <v>0</v>
      </c>
      <c r="AK67" s="43">
        <f>COUNTIF('PF64'!U10:U73,"TC0_33_TR1")</f>
        <v>0</v>
      </c>
      <c r="AL67" s="43">
        <f>COUNTIF('PF64'!U10:U73,"TC0_34_TR1")</f>
        <v>0</v>
      </c>
      <c r="AM67" s="43">
        <f>COUNTIF('PF64'!U10:U73,"TC0_35_TR1")</f>
        <v>0</v>
      </c>
      <c r="AN67" s="43">
        <f>COUNTIF('PF64'!U10:U73,"TC0_36_TR1")</f>
        <v>0</v>
      </c>
      <c r="AO67" s="43">
        <f>COUNTIF('PF64'!U10:U73,"TC0_37_TR1")</f>
        <v>0</v>
      </c>
      <c r="AP67" s="43">
        <f>COUNTIF('PF64'!U10:U73,"TC0_38_TR1")</f>
        <v>0</v>
      </c>
      <c r="AQ67" s="43">
        <f>COUNTIF('PF64'!U10:U73,"TC0_39_TR1")</f>
        <v>0</v>
      </c>
      <c r="AR67" s="43">
        <f>COUNTIF('PF64'!U10:U73,"TC0_40_TR1")</f>
        <v>0</v>
      </c>
      <c r="AS67" s="43">
        <f>COUNTIF('PF64'!U10:U73,"TC0_41_TR1")</f>
        <v>0</v>
      </c>
      <c r="AT67" s="43">
        <f>COUNTIF('PF64'!U10:U73,"TC0_42_TR1")</f>
        <v>0</v>
      </c>
      <c r="AU67" s="43">
        <f>COUNTIF('PF64'!U10:U73,"TC0_43_TR1")</f>
        <v>0</v>
      </c>
      <c r="AV67" s="43">
        <f>COUNTIF('PF64'!U10:U73,"TC0_44_TR1")</f>
        <v>0</v>
      </c>
      <c r="AW67" s="43">
        <f>COUNTIF('PF64'!U10:U73,"TC0_45_TR1")</f>
        <v>0</v>
      </c>
      <c r="AX67" s="43">
        <f>COUNTIF('PF64'!U10:U73,"TC0_46_TR1")</f>
        <v>0</v>
      </c>
      <c r="AY67" s="43">
        <f>COUNTIF('PF64'!U10:U73,"TC0_47_TR1")</f>
        <v>0</v>
      </c>
      <c r="AZ67" s="43">
        <f>COUNTIF('PF64'!U10:U73,"TC0_48_TR1")</f>
        <v>0</v>
      </c>
      <c r="BA67" s="43">
        <f>COUNTIF('PF64'!U10:U73,"TC0_49_TR1")</f>
        <v>0</v>
      </c>
      <c r="BB67" s="43">
        <f>COUNTIF('PF64'!U10:U73,"TC0_50_TR1")</f>
        <v>0</v>
      </c>
      <c r="BC67" s="43">
        <f>COUNTIF('PF64'!U10:U73,"TC0_51_TR1")</f>
        <v>0</v>
      </c>
      <c r="BD67" s="43">
        <f>COUNTIF('PF64'!U10:U73,"TC0_52_TR1")</f>
        <v>0</v>
      </c>
      <c r="BE67" s="43">
        <f>COUNTIF('PF64'!U10:U73,"TC0_53_TR1")</f>
        <v>0</v>
      </c>
      <c r="BF67" s="43">
        <f>COUNTIF('PF64'!U10:U73,"TC0_54_TR1")</f>
        <v>0</v>
      </c>
      <c r="BG67" s="43">
        <f>COUNTIF('PF64'!U10:U73,"TC0_55_TR1")</f>
        <v>0</v>
      </c>
      <c r="BH67" s="43">
        <f>COUNTIF('PF64'!U10:U73,"TC0_56_TR1")</f>
        <v>0</v>
      </c>
      <c r="BI67" s="43">
        <f>COUNTIF('PF64'!U10:U73,"TC0_57_TR1")</f>
        <v>0</v>
      </c>
      <c r="BJ67" s="43">
        <f>COUNTIF('PF64'!U10:U73,"TC0_58_TR1")</f>
        <v>0</v>
      </c>
      <c r="BK67" s="43">
        <f>COUNTIF('PF64'!U10:U73,"TC0_59_TR1")</f>
        <v>0</v>
      </c>
      <c r="BL67" s="43">
        <f>COUNTIF('PF64'!U10:U73,"TC0_60_TR1")</f>
        <v>0</v>
      </c>
      <c r="BM67" s="43">
        <f>COUNTIF('PF64'!U10:U73,"TC0_61_TR1")</f>
        <v>0</v>
      </c>
      <c r="BN67" s="43">
        <f>COUNTIF('PF64'!U10:U73,"TC0_62_TR1")</f>
        <v>0</v>
      </c>
    </row>
    <row r="69" spans="2:66" x14ac:dyDescent="0.55000000000000004">
      <c r="B69" s="141" t="s">
        <v>445</v>
      </c>
      <c r="C69" s="142"/>
      <c r="D69" s="42" t="s">
        <v>431</v>
      </c>
      <c r="E69" s="42" t="s">
        <v>432</v>
      </c>
      <c r="F69" s="42" t="s">
        <v>433</v>
      </c>
      <c r="G69" s="42" t="s">
        <v>434</v>
      </c>
      <c r="H69" s="42" t="s">
        <v>436</v>
      </c>
      <c r="I69" s="42" t="s">
        <v>437</v>
      </c>
      <c r="J69" s="42" t="s">
        <v>438</v>
      </c>
      <c r="K69" s="42" t="s">
        <v>439</v>
      </c>
      <c r="L69" s="42" t="s">
        <v>440</v>
      </c>
      <c r="M69" s="42" t="s">
        <v>441</v>
      </c>
      <c r="N69" s="42" t="s">
        <v>443</v>
      </c>
      <c r="O69" s="42" t="s">
        <v>444</v>
      </c>
      <c r="P69" s="66"/>
      <c r="Q69" s="44"/>
      <c r="R69" s="44"/>
      <c r="S69" s="44"/>
      <c r="T69" s="44"/>
      <c r="U69" s="44"/>
      <c r="V69" s="44"/>
      <c r="W69" s="44"/>
      <c r="X69" s="44"/>
      <c r="Y69" s="44"/>
      <c r="Z69" s="44"/>
      <c r="AA69" s="44"/>
      <c r="AB69" s="44"/>
      <c r="AC69" s="44"/>
      <c r="AD69" s="44"/>
      <c r="AE69" s="44"/>
      <c r="AF69" s="44"/>
      <c r="AG69" s="44"/>
      <c r="AH69" s="44"/>
      <c r="AI69" s="44"/>
      <c r="AJ69" s="44"/>
      <c r="AK69" s="44"/>
      <c r="AL69" s="44"/>
      <c r="AM69" s="44"/>
      <c r="AN69" s="44"/>
      <c r="AO69" s="44"/>
      <c r="AP69" s="44"/>
      <c r="AQ69" s="44"/>
      <c r="AR69" s="44"/>
      <c r="AS69" s="44"/>
      <c r="AT69" s="44"/>
      <c r="AU69" s="44"/>
      <c r="AV69" s="44"/>
      <c r="AW69" s="44"/>
      <c r="AX69" s="44"/>
      <c r="AY69" s="44"/>
      <c r="AZ69" s="44"/>
      <c r="BA69" s="44"/>
      <c r="BB69" s="44"/>
      <c r="BC69" s="44"/>
      <c r="BD69" s="44"/>
      <c r="BE69" s="44"/>
      <c r="BF69" s="44"/>
    </row>
    <row r="70" spans="2:66" x14ac:dyDescent="0.55000000000000004">
      <c r="B70" s="139" t="s">
        <v>428</v>
      </c>
      <c r="C70" s="43" t="s">
        <v>421</v>
      </c>
      <c r="D70" s="43">
        <f>COUNTIF('PF64'!U10:U73,"PWM0_M_0")</f>
        <v>0</v>
      </c>
      <c r="E70" s="43">
        <f>COUNTIF('PF64'!U10:U73,"PWM0_M_1")</f>
        <v>0</v>
      </c>
      <c r="F70" s="43">
        <f>COUNTIF('PF64'!U10:U73,"PWM0_M_2")</f>
        <v>0</v>
      </c>
      <c r="G70" s="43">
        <f>COUNTIF('PF64'!U10:U73,"PWM0_M_3")</f>
        <v>0</v>
      </c>
      <c r="H70" s="43">
        <f>COUNTIF('PF64'!U10:U73,"PWM0_M_4")</f>
        <v>0</v>
      </c>
      <c r="I70" s="43">
        <f>COUNTIF('PF64'!U10:U73,"PWM0_M_5")</f>
        <v>0</v>
      </c>
      <c r="J70" s="43">
        <f>COUNTIF('PF64'!U10:U73,"PWM0_M_6")</f>
        <v>0</v>
      </c>
      <c r="K70" s="43">
        <f>COUNTIF('PF64'!U10:U73,"PWM0_M_7")</f>
        <v>0</v>
      </c>
      <c r="L70" s="43">
        <f>COUNTIF('PF64'!U10:U73,"PWM0_M_8")</f>
        <v>0</v>
      </c>
      <c r="M70" s="43">
        <f>COUNTIF('PF64'!U10:U73,"PWM0_M_9")</f>
        <v>0</v>
      </c>
      <c r="N70" s="43">
        <f>COUNTIF('PF64'!U10:U73,"PWM0_M_10")</f>
        <v>0</v>
      </c>
      <c r="O70" s="43">
        <f>COUNTIF('PF64'!U10:U73,"PWM0_M_11")</f>
        <v>0</v>
      </c>
      <c r="P70" s="67"/>
      <c r="Q70" s="45"/>
      <c r="R70" s="45"/>
      <c r="S70" s="45"/>
      <c r="T70" s="45"/>
      <c r="U70" s="45"/>
      <c r="V70" s="45"/>
      <c r="W70" s="45"/>
      <c r="X70" s="45"/>
      <c r="Y70" s="45"/>
      <c r="Z70" s="45"/>
      <c r="AA70" s="45"/>
      <c r="AB70" s="45"/>
      <c r="AC70" s="45"/>
      <c r="AD70" s="45"/>
      <c r="AE70" s="45"/>
      <c r="AF70" s="45"/>
      <c r="AG70" s="45"/>
      <c r="AH70" s="45"/>
      <c r="AI70" s="45"/>
      <c r="AJ70" s="45"/>
      <c r="AK70" s="45"/>
      <c r="AL70" s="45"/>
      <c r="AM70" s="45"/>
      <c r="AN70" s="45"/>
      <c r="AO70" s="45"/>
      <c r="AP70" s="45"/>
      <c r="AQ70" s="45"/>
      <c r="AR70" s="45"/>
      <c r="AS70" s="45"/>
      <c r="AT70" s="45"/>
      <c r="AU70" s="45"/>
      <c r="AV70" s="45"/>
      <c r="AW70" s="45"/>
      <c r="AX70" s="45"/>
      <c r="AY70" s="45"/>
      <c r="AZ70" s="45"/>
      <c r="BA70" s="45"/>
      <c r="BB70" s="45"/>
      <c r="BC70" s="45"/>
      <c r="BD70" s="45"/>
      <c r="BE70" s="45"/>
      <c r="BF70" s="45"/>
    </row>
    <row r="71" spans="2:66" x14ac:dyDescent="0.55000000000000004">
      <c r="B71" s="140"/>
      <c r="C71" s="43" t="s">
        <v>424</v>
      </c>
      <c r="D71" s="43">
        <f>COUNTIF('PF64'!U10:U73,"PWM0_M_0_N")</f>
        <v>0</v>
      </c>
      <c r="E71" s="43">
        <f>COUNTIF('PF64'!U10:U73,"PWM0_M_1_N")</f>
        <v>0</v>
      </c>
      <c r="F71" s="43">
        <f>COUNTIF('PF64'!U10:U73,"PWM0_M_2_N")</f>
        <v>0</v>
      </c>
      <c r="G71" s="43">
        <f>COUNTIF('PF64'!U10:U73,"PWM0_M_3_N")</f>
        <v>0</v>
      </c>
      <c r="H71" s="43">
        <f>COUNTIF('PF64'!U10:U73,"PWM0_M_4_N")</f>
        <v>0</v>
      </c>
      <c r="I71" s="43">
        <f>COUNTIF('PF64'!U10:U73,"PWM0_M_5_N")</f>
        <v>0</v>
      </c>
      <c r="J71" s="43">
        <f>COUNTIF('PF64'!U10:U73,"PWM0_M_6_N")</f>
        <v>0</v>
      </c>
      <c r="K71" s="43">
        <f>COUNTIF('PF64'!U10:U73,"PWM0_M_7_N")</f>
        <v>0</v>
      </c>
      <c r="L71" s="43">
        <f>COUNTIF('PF64'!U10:U73,"PWM0_M_8_N")</f>
        <v>0</v>
      </c>
      <c r="M71" s="43">
        <f>COUNTIF('PF64'!U10:U73,"PWM0_M_9_N")</f>
        <v>0</v>
      </c>
      <c r="N71" s="43">
        <f>COUNTIF('PF64'!U10:U73,"PWM0_M_10_N")</f>
        <v>0</v>
      </c>
      <c r="O71" s="43">
        <f>COUNTIF('PF64'!U10:U73,"PWM0_M_11_N")</f>
        <v>0</v>
      </c>
      <c r="P71" s="67"/>
      <c r="Q71" s="45"/>
      <c r="R71" s="45"/>
      <c r="S71" s="45"/>
      <c r="T71" s="45"/>
      <c r="U71" s="45"/>
      <c r="V71" s="45"/>
      <c r="W71" s="45"/>
      <c r="X71" s="45"/>
      <c r="Y71" s="45"/>
      <c r="Z71" s="45"/>
      <c r="AA71" s="45"/>
      <c r="AB71" s="45"/>
      <c r="AC71" s="45"/>
      <c r="AD71" s="45"/>
      <c r="AE71" s="45"/>
      <c r="AF71" s="45"/>
      <c r="AG71" s="45"/>
      <c r="AH71" s="45"/>
      <c r="AI71" s="45"/>
      <c r="AJ71" s="45"/>
      <c r="AK71" s="45"/>
      <c r="AL71" s="45"/>
      <c r="AM71" s="45"/>
      <c r="AN71" s="45"/>
      <c r="AO71" s="45"/>
      <c r="AP71" s="45"/>
      <c r="AQ71" s="45"/>
      <c r="AR71" s="45"/>
      <c r="AS71" s="45"/>
      <c r="AT71" s="45"/>
      <c r="AU71" s="45"/>
      <c r="AV71" s="45"/>
      <c r="AW71" s="45"/>
      <c r="AX71" s="45"/>
      <c r="AY71" s="45"/>
      <c r="AZ71" s="45"/>
      <c r="BA71" s="45"/>
      <c r="BB71" s="45"/>
      <c r="BC71" s="45"/>
      <c r="BD71" s="45"/>
      <c r="BE71" s="45"/>
      <c r="BF71" s="45"/>
    </row>
    <row r="72" spans="2:66" x14ac:dyDescent="0.55000000000000004">
      <c r="B72" s="139" t="s">
        <v>429</v>
      </c>
      <c r="C72" s="43" t="s">
        <v>422</v>
      </c>
      <c r="D72" s="43">
        <f>COUNTIF('PF64'!U10:U73,"TC0_M_0_TR0")</f>
        <v>0</v>
      </c>
      <c r="E72" s="43">
        <f>COUNTIF('PF64'!U10:U73,"TC0_M_1_TR0")</f>
        <v>0</v>
      </c>
      <c r="F72" s="43">
        <f>COUNTIF('PF64'!U10:U73,"TC0_M_2_TR0")</f>
        <v>0</v>
      </c>
      <c r="G72" s="43">
        <f>COUNTIF('PF64'!U10:U73,"TC0_M_3_TR0")</f>
        <v>0</v>
      </c>
      <c r="H72" s="43">
        <f>COUNTIF('PF64'!U10:U73,"TC0_M_4_TR0")</f>
        <v>0</v>
      </c>
      <c r="I72" s="43">
        <f>COUNTIF('PF64'!U10:U73,"TC0_M_5_TR0")</f>
        <v>0</v>
      </c>
      <c r="J72" s="43">
        <f>COUNTIF('PF64'!U10:U73,"TC0_M_6_TR0")</f>
        <v>0</v>
      </c>
      <c r="K72" s="43">
        <f>COUNTIF('PF64'!U10:U73,"TC0_M_7_TR0")</f>
        <v>0</v>
      </c>
      <c r="L72" s="43">
        <f>COUNTIF('PF64'!U10:U73,"TC0_M_8_TR0")</f>
        <v>0</v>
      </c>
      <c r="M72" s="43">
        <f>COUNTIF('PF64'!U10:U73,"TC0_M_9_TR0")</f>
        <v>0</v>
      </c>
      <c r="N72" s="43">
        <f>COUNTIF('PF64'!U10:U73,"TC0_M_10_TR0")</f>
        <v>0</v>
      </c>
      <c r="O72" s="43">
        <f>COUNTIF('PF64'!U10:U73,"TC0_M_11_TR0")</f>
        <v>0</v>
      </c>
      <c r="P72" s="67"/>
      <c r="Q72" s="45"/>
      <c r="R72" s="45"/>
      <c r="S72" s="45"/>
      <c r="T72" s="45"/>
      <c r="U72" s="45"/>
      <c r="V72" s="45"/>
      <c r="W72" s="45"/>
      <c r="X72" s="45"/>
      <c r="Y72" s="45"/>
      <c r="Z72" s="45"/>
      <c r="AA72" s="45"/>
      <c r="AB72" s="45"/>
      <c r="AC72" s="45"/>
      <c r="AD72" s="45"/>
      <c r="AE72" s="45"/>
      <c r="AF72" s="45"/>
      <c r="AG72" s="45"/>
      <c r="AH72" s="45"/>
      <c r="AI72" s="45"/>
      <c r="AJ72" s="45"/>
      <c r="AK72" s="45"/>
      <c r="AL72" s="45"/>
      <c r="AM72" s="45"/>
      <c r="AN72" s="45"/>
      <c r="AO72" s="45"/>
      <c r="AP72" s="45"/>
      <c r="AQ72" s="45"/>
      <c r="AR72" s="45"/>
      <c r="AS72" s="45"/>
      <c r="AT72" s="45"/>
      <c r="AU72" s="45"/>
      <c r="AV72" s="45"/>
      <c r="AW72" s="45"/>
      <c r="AX72" s="45"/>
      <c r="AY72" s="45"/>
      <c r="AZ72" s="45"/>
      <c r="BA72" s="45"/>
      <c r="BB72" s="45"/>
      <c r="BC72" s="45"/>
      <c r="BD72" s="45"/>
      <c r="BE72" s="45"/>
      <c r="BF72" s="45"/>
    </row>
    <row r="73" spans="2:66" x14ac:dyDescent="0.55000000000000004">
      <c r="B73" s="140"/>
      <c r="C73" s="43" t="s">
        <v>423</v>
      </c>
      <c r="D73" s="43">
        <f>COUNTIF('PF64'!U10:U73,"TC0_M_0_TR1")</f>
        <v>0</v>
      </c>
      <c r="E73" s="43">
        <f>COUNTIF('PF64'!U10:U73,"TC0_M_1_TR1")</f>
        <v>0</v>
      </c>
      <c r="F73" s="43">
        <f>COUNTIF('PF64'!U10:U73,"TC0_M_2_TR1")</f>
        <v>0</v>
      </c>
      <c r="G73" s="43">
        <f>COUNTIF('PF64'!U10:U73,"TC0_M_3_TR1")</f>
        <v>0</v>
      </c>
      <c r="H73" s="43">
        <f>COUNTIF('PF64'!U10:U73,"TC0_M_4_TR1")</f>
        <v>0</v>
      </c>
      <c r="I73" s="43">
        <f>COUNTIF('PF64'!U10:U73,"TC0_M_5_TR1")</f>
        <v>0</v>
      </c>
      <c r="J73" s="43">
        <f>COUNTIF('PF64'!U10:U73,"TC0_M_6_TR1")</f>
        <v>0</v>
      </c>
      <c r="K73" s="43">
        <f>COUNTIF('PF64'!U10:U73,"TC0_M_7_TR1")</f>
        <v>0</v>
      </c>
      <c r="L73" s="43">
        <f>COUNTIF('PF64'!U10:U73,"TC0_M_8_TR1")</f>
        <v>0</v>
      </c>
      <c r="M73" s="43">
        <f>COUNTIF('PF64'!U10:U73,"TC0_M_9_TR1")</f>
        <v>0</v>
      </c>
      <c r="N73" s="43">
        <f>COUNTIF('PF64'!U10:U73,"TC0_M_10_TR1")</f>
        <v>0</v>
      </c>
      <c r="O73" s="43">
        <f>COUNTIF('PF64'!U10:U73,"TC0_M_11_TR1")</f>
        <v>0</v>
      </c>
      <c r="P73" s="67"/>
      <c r="Q73" s="45"/>
      <c r="R73" s="45"/>
      <c r="S73" s="45"/>
      <c r="T73" s="45"/>
      <c r="U73" s="45"/>
      <c r="V73" s="45"/>
      <c r="W73" s="45"/>
      <c r="X73" s="45"/>
      <c r="Y73" s="45"/>
      <c r="Z73" s="45"/>
      <c r="AA73" s="45"/>
      <c r="AB73" s="45"/>
      <c r="AC73" s="45"/>
      <c r="AD73" s="45"/>
      <c r="AE73" s="45"/>
      <c r="AF73" s="45"/>
      <c r="AG73" s="45"/>
      <c r="AH73" s="45"/>
      <c r="AI73" s="45"/>
      <c r="AJ73" s="45"/>
      <c r="AK73" s="45"/>
      <c r="AL73" s="45"/>
      <c r="AM73" s="45"/>
      <c r="AN73" s="45"/>
      <c r="AO73" s="45"/>
      <c r="AP73" s="45"/>
      <c r="AQ73" s="45"/>
      <c r="AR73" s="45"/>
      <c r="AS73" s="45"/>
      <c r="AT73" s="45"/>
      <c r="AU73" s="45"/>
      <c r="AV73" s="45"/>
      <c r="AW73" s="45"/>
      <c r="AX73" s="45"/>
      <c r="AY73" s="45"/>
      <c r="AZ73" s="45"/>
      <c r="BA73" s="45"/>
      <c r="BB73" s="45"/>
      <c r="BC73" s="45"/>
      <c r="BD73" s="45"/>
      <c r="BE73" s="45"/>
      <c r="BF73" s="45"/>
    </row>
    <row r="74" spans="2:66" x14ac:dyDescent="0.55000000000000004">
      <c r="Q74" s="45"/>
      <c r="R74" s="45"/>
      <c r="S74" s="45"/>
      <c r="T74" s="45"/>
      <c r="U74" s="45"/>
      <c r="V74" s="45"/>
      <c r="W74" s="45"/>
      <c r="X74" s="45"/>
      <c r="Y74" s="45"/>
      <c r="Z74" s="45"/>
      <c r="AA74" s="45"/>
      <c r="AB74" s="45"/>
      <c r="AC74" s="45"/>
      <c r="AD74" s="45"/>
      <c r="AE74" s="45"/>
      <c r="AF74" s="45"/>
      <c r="AG74" s="45"/>
      <c r="AH74" s="45"/>
      <c r="AI74" s="45"/>
      <c r="AJ74" s="45"/>
      <c r="AK74" s="45"/>
      <c r="AL74" s="45"/>
      <c r="AM74" s="45"/>
      <c r="AN74" s="45"/>
      <c r="AO74" s="45"/>
      <c r="AP74" s="45"/>
      <c r="AQ74" s="45"/>
      <c r="AR74" s="45"/>
      <c r="AS74" s="45"/>
      <c r="AT74" s="45"/>
      <c r="AU74" s="45"/>
      <c r="AV74" s="45"/>
      <c r="AW74" s="45"/>
      <c r="AX74" s="45"/>
      <c r="AY74" s="45"/>
      <c r="AZ74" s="45"/>
      <c r="BA74" s="45"/>
      <c r="BB74" s="45"/>
      <c r="BC74" s="45"/>
      <c r="BD74" s="45"/>
      <c r="BE74" s="45"/>
      <c r="BF74" s="45"/>
    </row>
    <row r="75" spans="2:66" x14ac:dyDescent="0.55000000000000004">
      <c r="B75" s="141" t="s">
        <v>446</v>
      </c>
      <c r="C75" s="142"/>
      <c r="D75" s="42" t="s">
        <v>431</v>
      </c>
      <c r="E75" s="42" t="s">
        <v>432</v>
      </c>
      <c r="F75" s="42" t="s">
        <v>433</v>
      </c>
      <c r="G75" s="42" t="s">
        <v>434</v>
      </c>
      <c r="Q75" s="45"/>
      <c r="R75" s="45"/>
      <c r="S75" s="45"/>
      <c r="T75" s="45"/>
      <c r="U75" s="45"/>
      <c r="V75" s="45"/>
      <c r="W75" s="45"/>
      <c r="X75" s="45"/>
      <c r="Y75" s="45"/>
      <c r="Z75" s="45"/>
      <c r="AA75" s="45"/>
      <c r="AB75" s="45"/>
      <c r="AC75" s="45"/>
      <c r="AD75" s="45"/>
      <c r="AE75" s="45"/>
      <c r="AF75" s="45"/>
      <c r="AG75" s="45"/>
      <c r="AH75" s="44"/>
      <c r="AI75" s="44"/>
      <c r="AJ75" s="44"/>
      <c r="AK75" s="44"/>
      <c r="AL75" s="44"/>
      <c r="AM75" s="44"/>
      <c r="AN75" s="44"/>
      <c r="AO75" s="44"/>
      <c r="AP75" s="44"/>
      <c r="AQ75" s="44"/>
      <c r="AR75" s="44"/>
      <c r="AS75" s="44"/>
      <c r="AT75" s="44"/>
      <c r="AU75" s="44"/>
      <c r="AV75" s="44"/>
      <c r="AW75" s="44"/>
      <c r="AX75" s="44"/>
      <c r="AY75" s="44"/>
      <c r="AZ75" s="44"/>
      <c r="BA75" s="44"/>
      <c r="BB75" s="44"/>
      <c r="BC75" s="44"/>
      <c r="BD75" s="44"/>
      <c r="BE75" s="44"/>
      <c r="BF75" s="44"/>
    </row>
    <row r="76" spans="2:66" x14ac:dyDescent="0.55000000000000004">
      <c r="B76" s="139" t="s">
        <v>428</v>
      </c>
      <c r="C76" s="43" t="s">
        <v>421</v>
      </c>
      <c r="D76" s="43">
        <f>COUNTIF('PF64'!U10:U73,"PWM0_H_0")</f>
        <v>0</v>
      </c>
      <c r="E76" s="43">
        <f>COUNTIF('PF64'!U10:U73,"PWM0_H_1")</f>
        <v>0</v>
      </c>
      <c r="F76" s="43">
        <f>COUNTIF('PF64'!U10:U73,"PWM0_H_2")</f>
        <v>0</v>
      </c>
      <c r="G76" s="43">
        <f>COUNTIF('PF64'!U10:U73,"PWM0_H_3")</f>
        <v>0</v>
      </c>
      <c r="Q76" s="45"/>
      <c r="R76" s="45"/>
      <c r="S76" s="45"/>
      <c r="T76" s="45"/>
      <c r="U76" s="45"/>
      <c r="V76" s="45"/>
      <c r="W76" s="45"/>
      <c r="X76" s="45"/>
      <c r="Y76" s="45"/>
      <c r="Z76" s="45"/>
      <c r="AA76" s="45"/>
      <c r="AB76" s="45"/>
      <c r="AC76" s="45"/>
      <c r="AD76" s="45"/>
      <c r="AE76" s="45"/>
      <c r="AF76" s="45"/>
      <c r="AG76" s="45"/>
      <c r="AH76" s="45"/>
      <c r="AI76" s="45"/>
      <c r="AJ76" s="45"/>
      <c r="AK76" s="45"/>
      <c r="AL76" s="45"/>
      <c r="AM76" s="45"/>
      <c r="AN76" s="45"/>
      <c r="AO76" s="45"/>
      <c r="AP76" s="45"/>
      <c r="AQ76" s="45"/>
      <c r="AR76" s="45"/>
      <c r="AS76" s="45"/>
      <c r="AT76" s="45"/>
      <c r="AU76" s="45"/>
      <c r="AV76" s="45"/>
      <c r="AW76" s="45"/>
      <c r="AX76" s="45"/>
      <c r="AY76" s="45"/>
      <c r="AZ76" s="45"/>
      <c r="BA76" s="45"/>
      <c r="BB76" s="45"/>
      <c r="BC76" s="45"/>
      <c r="BD76" s="45"/>
      <c r="BE76" s="45"/>
      <c r="BF76" s="45"/>
    </row>
    <row r="77" spans="2:66" x14ac:dyDescent="0.55000000000000004">
      <c r="B77" s="140"/>
      <c r="C77" s="43" t="s">
        <v>424</v>
      </c>
      <c r="D77" s="43">
        <f>COUNTIF('PF64'!U10:U73,"PWM0_H_0_N")</f>
        <v>0</v>
      </c>
      <c r="E77" s="43">
        <f>COUNTIF('PF64'!U10:U73,"PWM0_H_1_N")</f>
        <v>0</v>
      </c>
      <c r="F77" s="43">
        <f>COUNTIF('PF64'!U10:U73,"PWM0_H_2_N")</f>
        <v>0</v>
      </c>
      <c r="G77" s="43">
        <f>COUNTIF('PF64'!U10:U73,"PWM0_H_3_N")</f>
        <v>0</v>
      </c>
      <c r="Q77" s="45"/>
      <c r="R77" s="45"/>
      <c r="S77" s="45"/>
      <c r="T77" s="45"/>
      <c r="U77" s="45"/>
      <c r="V77" s="45"/>
      <c r="W77" s="45"/>
      <c r="X77" s="45"/>
      <c r="Y77" s="45"/>
      <c r="Z77" s="45"/>
      <c r="AA77" s="45"/>
      <c r="AB77" s="45"/>
      <c r="AC77" s="45"/>
      <c r="AD77" s="45"/>
      <c r="AE77" s="45"/>
      <c r="AF77" s="45"/>
      <c r="AG77" s="45"/>
      <c r="AH77" s="45"/>
      <c r="AI77" s="45"/>
      <c r="AJ77" s="45"/>
      <c r="AK77" s="45"/>
      <c r="AL77" s="45"/>
      <c r="AM77" s="45"/>
      <c r="AN77" s="45"/>
      <c r="AO77" s="45"/>
      <c r="AP77" s="45"/>
      <c r="AQ77" s="45"/>
      <c r="AR77" s="45"/>
      <c r="AS77" s="45"/>
      <c r="AT77" s="45"/>
      <c r="AU77" s="45"/>
      <c r="AV77" s="45"/>
      <c r="AW77" s="45"/>
      <c r="AX77" s="45"/>
      <c r="AY77" s="45"/>
      <c r="AZ77" s="45"/>
      <c r="BA77" s="45"/>
      <c r="BB77" s="45"/>
      <c r="BC77" s="45"/>
      <c r="BD77" s="45"/>
      <c r="BE77" s="45"/>
      <c r="BF77" s="45"/>
    </row>
    <row r="78" spans="2:66" x14ac:dyDescent="0.55000000000000004">
      <c r="B78" s="139" t="s">
        <v>429</v>
      </c>
      <c r="C78" s="43" t="s">
        <v>422</v>
      </c>
      <c r="D78" s="43">
        <f>COUNTIF('PF64'!U10:U73,"TC0_H_0_TR0")</f>
        <v>0</v>
      </c>
      <c r="E78" s="43">
        <f>COUNTIF('PF64'!U10:U73,"TC0_H_1_TR0")</f>
        <v>0</v>
      </c>
      <c r="F78" s="43">
        <f>COUNTIF('PF64'!U10:U73,"TC0_H_2_TR0")</f>
        <v>0</v>
      </c>
      <c r="G78" s="43">
        <f>COUNTIF('PF64'!U10:U73,"TC0_H_3_TR0")</f>
        <v>0</v>
      </c>
      <c r="Q78" s="45"/>
      <c r="R78" s="45"/>
      <c r="S78" s="45"/>
      <c r="T78" s="45"/>
      <c r="U78" s="45"/>
      <c r="V78" s="45"/>
      <c r="W78" s="45"/>
      <c r="X78" s="45"/>
      <c r="Y78" s="45"/>
      <c r="Z78" s="45"/>
      <c r="AA78" s="45"/>
      <c r="AB78" s="45"/>
      <c r="AC78" s="45"/>
      <c r="AD78" s="45"/>
      <c r="AE78" s="45"/>
      <c r="AF78" s="45"/>
      <c r="AG78" s="45"/>
      <c r="AH78" s="45"/>
      <c r="AI78" s="45"/>
      <c r="AJ78" s="45"/>
      <c r="AK78" s="45"/>
      <c r="AL78" s="45"/>
      <c r="AM78" s="45"/>
      <c r="AN78" s="45"/>
      <c r="AO78" s="45"/>
      <c r="AP78" s="45"/>
      <c r="AQ78" s="45"/>
      <c r="AR78" s="45"/>
      <c r="AS78" s="45"/>
      <c r="AT78" s="45"/>
      <c r="AU78" s="45"/>
      <c r="AV78" s="45"/>
      <c r="AW78" s="45"/>
      <c r="AX78" s="45"/>
      <c r="AY78" s="45"/>
      <c r="AZ78" s="45"/>
      <c r="BA78" s="45"/>
      <c r="BB78" s="45"/>
      <c r="BC78" s="45"/>
      <c r="BD78" s="45"/>
      <c r="BE78" s="45"/>
      <c r="BF78" s="45"/>
    </row>
    <row r="79" spans="2:66" x14ac:dyDescent="0.55000000000000004">
      <c r="B79" s="140"/>
      <c r="C79" s="43" t="s">
        <v>423</v>
      </c>
      <c r="D79" s="43">
        <f>COUNTIF('PF64'!U10:U73,"TC0_H_0_TR1")</f>
        <v>0</v>
      </c>
      <c r="E79" s="43">
        <f>COUNTIF('PF64'!U10:U73,"TC0_H_1_TR1")</f>
        <v>0</v>
      </c>
      <c r="F79" s="43">
        <f>COUNTIF('PF64'!U10:U73,"TC0_H_2_TR1")</f>
        <v>0</v>
      </c>
      <c r="G79" s="43">
        <f>COUNTIF('PF64'!U10:U73,"TC0_H_3_TR1")</f>
        <v>0</v>
      </c>
      <c r="H79" s="67"/>
      <c r="I79" s="45"/>
      <c r="J79" s="45"/>
      <c r="K79" s="45"/>
      <c r="L79" s="45"/>
      <c r="M79" s="45"/>
      <c r="N79" s="45"/>
      <c r="O79" s="45"/>
      <c r="P79" s="45"/>
      <c r="Q79" s="45"/>
      <c r="R79" s="45"/>
      <c r="S79" s="45"/>
      <c r="T79" s="45"/>
      <c r="U79" s="45"/>
      <c r="V79" s="45"/>
      <c r="W79" s="45"/>
      <c r="X79" s="45"/>
      <c r="Y79" s="45"/>
      <c r="Z79" s="45"/>
      <c r="AA79" s="45"/>
      <c r="AB79" s="45"/>
      <c r="AC79" s="45"/>
      <c r="AD79" s="45"/>
      <c r="AE79" s="45"/>
      <c r="AF79" s="45"/>
      <c r="AG79" s="45"/>
      <c r="AH79" s="45"/>
      <c r="AI79" s="45"/>
      <c r="AJ79" s="45"/>
      <c r="AK79" s="45"/>
      <c r="AL79" s="45"/>
      <c r="AM79" s="45"/>
      <c r="AN79" s="45"/>
      <c r="AO79" s="45"/>
      <c r="AP79" s="45"/>
      <c r="AQ79" s="45"/>
      <c r="AR79" s="45"/>
      <c r="AS79" s="45"/>
      <c r="AT79" s="45"/>
      <c r="AU79" s="45"/>
      <c r="AV79" s="45"/>
      <c r="AW79" s="45"/>
      <c r="AX79" s="45"/>
      <c r="AY79" s="45"/>
      <c r="AZ79" s="45"/>
      <c r="BA79" s="45"/>
      <c r="BB79" s="45"/>
      <c r="BC79" s="45"/>
      <c r="BD79" s="45"/>
      <c r="BE79" s="45"/>
      <c r="BF79" s="45"/>
    </row>
    <row r="80" spans="2:66" ht="10" customHeight="1" x14ac:dyDescent="0.55000000000000004"/>
    <row r="82" spans="2:6" x14ac:dyDescent="0.55000000000000004">
      <c r="B82" s="141" t="s">
        <v>416</v>
      </c>
      <c r="C82" s="142"/>
      <c r="D82" s="42" t="s">
        <v>418</v>
      </c>
      <c r="E82" s="42" t="s">
        <v>419</v>
      </c>
      <c r="F82" s="42" t="s">
        <v>420</v>
      </c>
    </row>
    <row r="83" spans="2:6" x14ac:dyDescent="0.55000000000000004">
      <c r="B83" s="143" t="s">
        <v>407</v>
      </c>
      <c r="C83" s="43" t="s">
        <v>499</v>
      </c>
      <c r="D83" s="43">
        <f>COUNTIF('PF64'!U10:U73,"ADC[0]_0")</f>
        <v>0</v>
      </c>
      <c r="E83" s="43">
        <f>COUNTIF('PF64'!U10:U73,"ADC[1]_0")</f>
        <v>0</v>
      </c>
      <c r="F83" s="43">
        <f>COUNTIF('PF64'!U10:U73,"ADC[2]_0")</f>
        <v>0</v>
      </c>
    </row>
    <row r="84" spans="2:6" x14ac:dyDescent="0.55000000000000004">
      <c r="B84" s="146"/>
      <c r="C84" s="43" t="s">
        <v>500</v>
      </c>
      <c r="D84" s="43">
        <f>COUNTIF('PF64'!U10:U73,"ADC[0]_1")</f>
        <v>0</v>
      </c>
      <c r="E84" s="43">
        <f>COUNTIF('PF64'!U10:U73,"ADC[1]_1")</f>
        <v>0</v>
      </c>
      <c r="F84" s="43">
        <f>COUNTIF('PF64'!U10:U73,"ADC[2]_1")</f>
        <v>0</v>
      </c>
    </row>
    <row r="85" spans="2:6" x14ac:dyDescent="0.55000000000000004">
      <c r="B85" s="146"/>
      <c r="C85" s="43" t="s">
        <v>501</v>
      </c>
      <c r="D85" s="43">
        <f>COUNTIF('PF64'!U10:U73,"ADC[0]_2")</f>
        <v>0</v>
      </c>
      <c r="E85" s="43">
        <f>COUNTIF('PF64'!U10:U73,"ADC[1]_2")</f>
        <v>0</v>
      </c>
      <c r="F85" s="43">
        <f>COUNTIF('PF64'!U10:U73,"ADC[2]_2")</f>
        <v>0</v>
      </c>
    </row>
    <row r="86" spans="2:6" x14ac:dyDescent="0.55000000000000004">
      <c r="B86" s="146"/>
      <c r="C86" s="43" t="s">
        <v>502</v>
      </c>
      <c r="D86" s="43">
        <f>COUNTIF('PF64'!U10:U73,"ADC[0]_3")</f>
        <v>0</v>
      </c>
      <c r="E86" s="43">
        <f>COUNTIF('PF64'!U10:U73,"ADC[1]_3")</f>
        <v>0</v>
      </c>
      <c r="F86" s="43">
        <f>COUNTIF('PF64'!U10:U73,"ADC[2]_3")</f>
        <v>0</v>
      </c>
    </row>
    <row r="87" spans="2:6" x14ac:dyDescent="0.55000000000000004">
      <c r="B87" s="146"/>
      <c r="C87" s="43" t="s">
        <v>503</v>
      </c>
      <c r="D87" s="43">
        <f>COUNTIF('PF64'!U10:U73,"ADC[0]_4")</f>
        <v>0</v>
      </c>
      <c r="E87" s="43">
        <f>COUNTIF('PF64'!U10:U73,"ADC[1]_4")</f>
        <v>0</v>
      </c>
      <c r="F87" s="43">
        <f>COUNTIF('PF64'!U10:U73,"ADC[2]_4")</f>
        <v>0</v>
      </c>
    </row>
    <row r="88" spans="2:6" x14ac:dyDescent="0.55000000000000004">
      <c r="B88" s="146"/>
      <c r="C88" s="43" t="s">
        <v>504</v>
      </c>
      <c r="D88" s="43">
        <f>COUNTIF('PF64'!U10:U73,"ADC[0]_5")</f>
        <v>0</v>
      </c>
      <c r="E88" s="43">
        <f>COUNTIF('PF64'!U10:U73,"ADC[1]_5")</f>
        <v>0</v>
      </c>
      <c r="F88" s="43">
        <f>COUNTIF('PF64'!U10:U73,"ADC[2]_5")</f>
        <v>0</v>
      </c>
    </row>
    <row r="89" spans="2:6" x14ac:dyDescent="0.55000000000000004">
      <c r="B89" s="146"/>
      <c r="C89" s="43" t="s">
        <v>505</v>
      </c>
      <c r="D89" s="43">
        <f>COUNTIF('PF64'!U10:U73,"ADC[0]_6")</f>
        <v>0</v>
      </c>
      <c r="E89" s="43">
        <f>COUNTIF('PF64'!U10:U73,"ADC[1]_6")</f>
        <v>0</v>
      </c>
      <c r="F89" s="43">
        <f>COUNTIF('PF64'!U10:U73,"ADC[2]_6")</f>
        <v>0</v>
      </c>
    </row>
    <row r="90" spans="2:6" x14ac:dyDescent="0.55000000000000004">
      <c r="B90" s="146"/>
      <c r="C90" s="43" t="s">
        <v>506</v>
      </c>
      <c r="D90" s="43">
        <f>COUNTIF('PF64'!U10:U73,"ADC[0]_7")</f>
        <v>0</v>
      </c>
      <c r="E90" s="43">
        <f>COUNTIF('PF64'!U10:U73,"ADC[1]_7")</f>
        <v>0</v>
      </c>
      <c r="F90" s="43">
        <f>COUNTIF('PF64'!U10:U73,"ADC[2]_7")</f>
        <v>0</v>
      </c>
    </row>
    <row r="91" spans="2:6" x14ac:dyDescent="0.55000000000000004">
      <c r="B91" s="146"/>
      <c r="C91" s="43" t="s">
        <v>507</v>
      </c>
      <c r="D91" s="43">
        <f>COUNTIF('PF64'!U10:U73,"ADC[0]_8")</f>
        <v>0</v>
      </c>
      <c r="E91" s="43">
        <f>COUNTIF('PF64'!U10:U73,"ADC[1]_8")</f>
        <v>0</v>
      </c>
      <c r="F91" s="43">
        <f>COUNTIF('PF64'!U10:U73,"ADC[2]_8")</f>
        <v>0</v>
      </c>
    </row>
    <row r="92" spans="2:6" x14ac:dyDescent="0.55000000000000004">
      <c r="B92" s="146"/>
      <c r="C92" s="43" t="s">
        <v>508</v>
      </c>
      <c r="D92" s="43">
        <f>COUNTIF('PF64'!U10:U73,"ADC[0]_9")</f>
        <v>0</v>
      </c>
      <c r="E92" s="43">
        <f>COUNTIF('PF64'!U10:U73,"ADC[1]_9")</f>
        <v>0</v>
      </c>
      <c r="F92" s="43">
        <f>COUNTIF('PF64'!U10:U73,"ADC[2]_9")</f>
        <v>0</v>
      </c>
    </row>
    <row r="93" spans="2:6" x14ac:dyDescent="0.55000000000000004">
      <c r="B93" s="146"/>
      <c r="C93" s="43" t="s">
        <v>509</v>
      </c>
      <c r="D93" s="43">
        <f>COUNTIF('PF64'!U10:U73,"ADC[0]_10")</f>
        <v>0</v>
      </c>
      <c r="E93" s="43">
        <f>COUNTIF('PF64'!U10:U73,"ADC[1]_10")</f>
        <v>0</v>
      </c>
      <c r="F93" s="43">
        <f>COUNTIF('PF64'!U10:U73,"ADC[2]_10")</f>
        <v>0</v>
      </c>
    </row>
    <row r="94" spans="2:6" x14ac:dyDescent="0.55000000000000004">
      <c r="B94" s="146"/>
      <c r="C94" s="43" t="s">
        <v>510</v>
      </c>
      <c r="D94" s="43">
        <f>COUNTIF('PF64'!U10:U73,"ADC[0]_11")</f>
        <v>0</v>
      </c>
      <c r="E94" s="43">
        <f>COUNTIF('PF64'!U10:U73,"ADC[1]_11")</f>
        <v>0</v>
      </c>
      <c r="F94" s="43">
        <f>COUNTIF('PF64'!U10:U73,"ADC[2]_11")</f>
        <v>0</v>
      </c>
    </row>
    <row r="95" spans="2:6" x14ac:dyDescent="0.55000000000000004">
      <c r="B95" s="146"/>
      <c r="C95" s="43" t="s">
        <v>511</v>
      </c>
      <c r="D95" s="43">
        <f>COUNTIF('PF64'!U10:U73,"ADC[0]_12")</f>
        <v>0</v>
      </c>
      <c r="E95" s="43">
        <f>COUNTIF('PF64'!U10:U73,"ADC[1]_12")</f>
        <v>0</v>
      </c>
      <c r="F95" s="43">
        <f>COUNTIF('PF64'!U10:U73,"ADC[2]_12")</f>
        <v>0</v>
      </c>
    </row>
    <row r="96" spans="2:6" x14ac:dyDescent="0.55000000000000004">
      <c r="B96" s="146"/>
      <c r="C96" s="43" t="s">
        <v>512</v>
      </c>
      <c r="D96" s="43">
        <f>COUNTIF('PF64'!U10:U73,"ADC[0]_13")</f>
        <v>0</v>
      </c>
      <c r="E96" s="43">
        <f>COUNTIF('PF64'!U10:U73,"ADC[1]_13")</f>
        <v>0</v>
      </c>
      <c r="F96" s="43">
        <f>COUNTIF('PF64'!U10:U73,"ADC[2]_13")</f>
        <v>0</v>
      </c>
    </row>
    <row r="97" spans="2:6" x14ac:dyDescent="0.55000000000000004">
      <c r="B97" s="146"/>
      <c r="C97" s="43" t="s">
        <v>513</v>
      </c>
      <c r="D97" s="43">
        <f>COUNTIF('PF64'!U10:U73,"ADC[0]_14")</f>
        <v>0</v>
      </c>
      <c r="E97" s="43">
        <f>COUNTIF('PF64'!U10:U73,"ADC[1]_14")</f>
        <v>0</v>
      </c>
      <c r="F97" s="43">
        <f>COUNTIF('PF64'!U10:U73,"ADC[2]_14")</f>
        <v>0</v>
      </c>
    </row>
    <row r="98" spans="2:6" x14ac:dyDescent="0.55000000000000004">
      <c r="B98" s="146"/>
      <c r="C98" s="43" t="s">
        <v>514</v>
      </c>
      <c r="D98" s="43">
        <f>COUNTIF('PF64'!U10:U73,"ADC[0]_15")</f>
        <v>0</v>
      </c>
      <c r="E98" s="43">
        <f>COUNTIF('PF64'!U10:U73,"ADC[1]_15")</f>
        <v>0</v>
      </c>
      <c r="F98" s="43">
        <f>COUNTIF('PF64'!U10:U73,"ADC[2]_15")</f>
        <v>0</v>
      </c>
    </row>
    <row r="99" spans="2:6" x14ac:dyDescent="0.55000000000000004">
      <c r="B99" s="146"/>
      <c r="C99" s="43" t="s">
        <v>515</v>
      </c>
      <c r="D99" s="43">
        <f>COUNTIF('PF64'!U10:U73,"ADC[0]_16")</f>
        <v>0</v>
      </c>
      <c r="E99" s="43">
        <f>COUNTIF('PF64'!U10:U73,"ADC[1]_16")</f>
        <v>0</v>
      </c>
      <c r="F99" s="43">
        <f>COUNTIF('PF64'!U10:U73,"ADC[2]_16")</f>
        <v>0</v>
      </c>
    </row>
    <row r="100" spans="2:6" x14ac:dyDescent="0.55000000000000004">
      <c r="B100" s="146"/>
      <c r="C100" s="43" t="s">
        <v>516</v>
      </c>
      <c r="D100" s="43">
        <f>COUNTIF('PF64'!U10:U73,"ADC[0]_17")</f>
        <v>0</v>
      </c>
      <c r="E100" s="43">
        <f>COUNTIF('PF64'!U10:U73,"ADC[1]_17")</f>
        <v>0</v>
      </c>
      <c r="F100" s="43">
        <f>COUNTIF('PF64'!U10:U73,"ADC[2]_17")</f>
        <v>0</v>
      </c>
    </row>
    <row r="101" spans="2:6" x14ac:dyDescent="0.55000000000000004">
      <c r="B101" s="146"/>
      <c r="C101" s="43" t="s">
        <v>517</v>
      </c>
      <c r="D101" s="43">
        <f>COUNTIF('PF64'!U10:U73,"ADC[0]_18")</f>
        <v>0</v>
      </c>
      <c r="E101" s="43">
        <f>COUNTIF('PF64'!U10:U73,"ADC[1]_18")</f>
        <v>0</v>
      </c>
      <c r="F101" s="43">
        <f>COUNTIF('PF64'!U10:U73,"ADC[2]_18")</f>
        <v>0</v>
      </c>
    </row>
    <row r="102" spans="2:6" x14ac:dyDescent="0.55000000000000004">
      <c r="B102" s="146"/>
      <c r="C102" s="43" t="s">
        <v>518</v>
      </c>
      <c r="D102" s="43">
        <f>COUNTIF('PF64'!U10:U73,"ADC[0]_19")</f>
        <v>0</v>
      </c>
      <c r="E102" s="43">
        <f>COUNTIF('PF64'!U10:U73,"ADC[1]_19")</f>
        <v>0</v>
      </c>
      <c r="F102" s="43">
        <f>COUNTIF('PF64'!U10:U73,"ADC[2]_19")</f>
        <v>0</v>
      </c>
    </row>
    <row r="103" spans="2:6" x14ac:dyDescent="0.55000000000000004">
      <c r="B103" s="146"/>
      <c r="C103" s="43" t="s">
        <v>519</v>
      </c>
      <c r="D103" s="43">
        <f>COUNTIF('PF64'!U10:U73,"ADC[0]_20")</f>
        <v>0</v>
      </c>
      <c r="E103" s="43">
        <f>COUNTIF('PF64'!U10:U73,"ADC[1]_20")</f>
        <v>0</v>
      </c>
      <c r="F103" s="43">
        <f>COUNTIF('PF64'!U10:U73,"ADC[2]_20")</f>
        <v>0</v>
      </c>
    </row>
    <row r="104" spans="2:6" x14ac:dyDescent="0.55000000000000004">
      <c r="B104" s="146"/>
      <c r="C104" s="43" t="s">
        <v>520</v>
      </c>
      <c r="D104" s="43">
        <f>COUNTIF('PF64'!U10:U73,"ADC[0]_21")</f>
        <v>0</v>
      </c>
      <c r="E104" s="43">
        <f>COUNTIF('PF64'!U10:U73,"ADC[1]_21")</f>
        <v>0</v>
      </c>
      <c r="F104" s="43">
        <f>COUNTIF('PF64'!U10:U73,"ADC[2]_21")</f>
        <v>0</v>
      </c>
    </row>
    <row r="105" spans="2:6" x14ac:dyDescent="0.55000000000000004">
      <c r="B105" s="146"/>
      <c r="C105" s="43" t="s">
        <v>521</v>
      </c>
      <c r="D105" s="43">
        <f>COUNTIF('PF64'!U10:U73,"ADC[0]_22")</f>
        <v>0</v>
      </c>
      <c r="E105" s="43">
        <f>COUNTIF('PF64'!U10:U73,"ADC[1]_22")</f>
        <v>0</v>
      </c>
      <c r="F105" s="43">
        <f>COUNTIF('PF64'!U10:U73,"ADC[2]_22")</f>
        <v>0</v>
      </c>
    </row>
    <row r="106" spans="2:6" x14ac:dyDescent="0.55000000000000004">
      <c r="B106" s="146"/>
      <c r="C106" s="43" t="s">
        <v>522</v>
      </c>
      <c r="D106" s="43">
        <f>COUNTIF('PF64'!U10:U73,"ADC[0]_23")</f>
        <v>0</v>
      </c>
      <c r="E106" s="43">
        <f>COUNTIF('PF64'!U10:U73,"ADC[1]_23")</f>
        <v>0</v>
      </c>
      <c r="F106" s="43">
        <f>COUNTIF('PF64'!U10:U73,"ADC[2]_23")</f>
        <v>0</v>
      </c>
    </row>
    <row r="107" spans="2:6" x14ac:dyDescent="0.55000000000000004">
      <c r="B107" s="146"/>
      <c r="C107" s="43" t="s">
        <v>523</v>
      </c>
      <c r="D107" s="43">
        <f>COUNTIF('PF64'!U10:U73,"ADC[0]_24")</f>
        <v>0</v>
      </c>
      <c r="E107" s="43">
        <f>COUNTIF('PF64'!U10:U73,"ADC[1]_24")</f>
        <v>0</v>
      </c>
      <c r="F107" s="43">
        <f>COUNTIF('PF64'!U10:U73,"ADC[2]_24")</f>
        <v>0</v>
      </c>
    </row>
    <row r="108" spans="2:6" x14ac:dyDescent="0.55000000000000004">
      <c r="B108" s="146"/>
      <c r="C108" s="43" t="s">
        <v>524</v>
      </c>
      <c r="D108" s="43">
        <f>COUNTIF('PF64'!U10:U73,"ADC[0]_25")</f>
        <v>0</v>
      </c>
      <c r="E108" s="43">
        <f>COUNTIF('PF64'!U10:U73,"ADC[1]_25")</f>
        <v>0</v>
      </c>
      <c r="F108" s="43">
        <f>COUNTIF('PF64'!U10:U73,"ADC[2]_25")</f>
        <v>0</v>
      </c>
    </row>
    <row r="109" spans="2:6" x14ac:dyDescent="0.55000000000000004">
      <c r="B109" s="146"/>
      <c r="C109" s="43" t="s">
        <v>525</v>
      </c>
      <c r="D109" s="43">
        <f>COUNTIF('PF64'!U10:U73,"ADC[0]_26")</f>
        <v>0</v>
      </c>
      <c r="E109" s="43">
        <f>COUNTIF('PF64'!U10:U73,"ADC[1]_26")</f>
        <v>0</v>
      </c>
      <c r="F109" s="43">
        <f>COUNTIF('PF64'!U10:U73,"ADC[2]_26")</f>
        <v>0</v>
      </c>
    </row>
    <row r="110" spans="2:6" x14ac:dyDescent="0.55000000000000004">
      <c r="B110" s="146"/>
      <c r="C110" s="43" t="s">
        <v>526</v>
      </c>
      <c r="D110" s="43">
        <f>COUNTIF('PF64'!U10:U73,"ADC[0]_27")</f>
        <v>0</v>
      </c>
      <c r="E110" s="43">
        <f>COUNTIF('PF64'!U10:U73,"ADC[1]_27")</f>
        <v>0</v>
      </c>
      <c r="F110" s="43">
        <f>COUNTIF('PF64'!U10:U73,"ADC[2]_27")</f>
        <v>0</v>
      </c>
    </row>
    <row r="111" spans="2:6" x14ac:dyDescent="0.55000000000000004">
      <c r="B111" s="146"/>
      <c r="C111" s="43" t="s">
        <v>527</v>
      </c>
      <c r="D111" s="43">
        <f>COUNTIF('PF64'!U10:U73,"ADC[0]_28")</f>
        <v>0</v>
      </c>
      <c r="E111" s="43">
        <f>COUNTIF('PF64'!U10:U73,"ADC[1]_28")</f>
        <v>0</v>
      </c>
      <c r="F111" s="43">
        <f>COUNTIF('PF64'!U10:U73,"ADC[2]_28")</f>
        <v>0</v>
      </c>
    </row>
    <row r="112" spans="2:6" x14ac:dyDescent="0.55000000000000004">
      <c r="B112" s="146"/>
      <c r="C112" s="43" t="s">
        <v>528</v>
      </c>
      <c r="D112" s="43">
        <f>COUNTIF('PF64'!U10:U73,"ADC[0]_29")</f>
        <v>0</v>
      </c>
      <c r="E112" s="43">
        <f>COUNTIF('PF64'!U10:U73,"ADC[1]_29")</f>
        <v>0</v>
      </c>
      <c r="F112" s="43">
        <f>COUNTIF('PF64'!U10:U73,"ADC[2]_29")</f>
        <v>0</v>
      </c>
    </row>
    <row r="113" spans="2:21" x14ac:dyDescent="0.55000000000000004">
      <c r="B113" s="146"/>
      <c r="C113" s="43" t="s">
        <v>529</v>
      </c>
      <c r="D113" s="43">
        <f>COUNTIF('PF64'!U10:U73,"ADC[0]_30")</f>
        <v>0</v>
      </c>
      <c r="E113" s="43">
        <f>COUNTIF('PF64'!U10:U73,"ADC[1]_30")</f>
        <v>0</v>
      </c>
      <c r="F113" s="43">
        <f>COUNTIF('PF64'!U10:U73,"ADC[2]_30")</f>
        <v>0</v>
      </c>
    </row>
    <row r="114" spans="2:21" x14ac:dyDescent="0.55000000000000004">
      <c r="B114" s="146"/>
      <c r="C114" s="43" t="s">
        <v>530</v>
      </c>
      <c r="D114" s="43">
        <f>COUNTIF('PF64'!U10:U73,"ADC[0]_31")</f>
        <v>0</v>
      </c>
      <c r="E114" s="43">
        <f>COUNTIF('PF64'!U10:U73,"ADC[1]_31")</f>
        <v>0</v>
      </c>
      <c r="F114" s="43">
        <f>COUNTIF('PF64'!U10:U73,"ADC[2]_31")</f>
        <v>0</v>
      </c>
    </row>
    <row r="115" spans="2:21" x14ac:dyDescent="0.55000000000000004">
      <c r="B115" s="144"/>
      <c r="C115" s="69" t="s">
        <v>811</v>
      </c>
      <c r="D115" s="43">
        <f>COUNTIF('PF64'!U10:U73,"ADC[0]_M")</f>
        <v>0</v>
      </c>
      <c r="E115" s="43">
        <f>COUNTIF('PF64'!U10:U73,"ADC[1]_M")</f>
        <v>0</v>
      </c>
      <c r="F115" s="43">
        <f>COUNTIF('PF64'!U10:U73,"ADC[2]_M")</f>
        <v>0</v>
      </c>
    </row>
    <row r="126" spans="2:21" ht="15" customHeight="1" x14ac:dyDescent="0.35">
      <c r="B126" s="117" t="s">
        <v>847</v>
      </c>
      <c r="C126" s="117"/>
      <c r="D126" s="117"/>
      <c r="E126" s="117"/>
      <c r="F126" s="117"/>
      <c r="G126" s="117"/>
      <c r="H126" s="117"/>
      <c r="I126" s="117"/>
      <c r="J126" s="117"/>
      <c r="K126" s="117"/>
      <c r="L126" s="117"/>
      <c r="M126" s="117"/>
      <c r="N126" s="117"/>
      <c r="O126" s="117"/>
      <c r="P126" s="117"/>
      <c r="Q126" s="117"/>
      <c r="R126" s="117"/>
      <c r="S126" s="117"/>
      <c r="T126" s="117"/>
      <c r="U126" s="117"/>
    </row>
    <row r="127" spans="2:21" ht="172" customHeight="1" x14ac:dyDescent="0.55000000000000004">
      <c r="B127" s="116" t="s">
        <v>848</v>
      </c>
      <c r="C127" s="116"/>
      <c r="D127" s="116"/>
      <c r="E127" s="116"/>
      <c r="F127" s="116"/>
      <c r="G127" s="116"/>
      <c r="H127" s="116"/>
      <c r="I127" s="116"/>
      <c r="J127" s="116"/>
      <c r="K127" s="116"/>
      <c r="L127" s="116"/>
      <c r="M127" s="116"/>
      <c r="N127" s="116"/>
      <c r="O127" s="116"/>
      <c r="P127" s="116"/>
      <c r="Q127" s="116"/>
      <c r="R127" s="116"/>
      <c r="S127" s="116"/>
      <c r="T127" s="116"/>
      <c r="U127" s="116"/>
    </row>
  </sheetData>
  <sheetProtection algorithmName="SHA-512" hashValue="2WzHAm6Dtxc0HbZC1m7l0E5bXGjJ91rzXBPfUY/qFdGZjCQ/rSgGYcAEGNMP92zLpA64i3yJAUCQLZf27aSFvg==" saltValue="8lngi2t9Q4WxD/tUaPARiA==" spinCount="100000" sheet="1" objects="1" scenarios="1" formatCells="0" formatColumns="0" formatRows="0" insertColumns="0" insertRows="0" insertHyperlinks="0" deleteColumns="0" deleteRows="0" selectLockedCells="1" sort="0" autoFilter="0" pivotTables="0"/>
  <mergeCells count="23">
    <mergeCell ref="B66:B67"/>
    <mergeCell ref="B69:C69"/>
    <mergeCell ref="B70:B71"/>
    <mergeCell ref="B64:B65"/>
    <mergeCell ref="B7:C7"/>
    <mergeCell ref="B8:B9"/>
    <mergeCell ref="B11:C11"/>
    <mergeCell ref="B12:B13"/>
    <mergeCell ref="B16:C16"/>
    <mergeCell ref="B17:B19"/>
    <mergeCell ref="B22:C22"/>
    <mergeCell ref="B23:B36"/>
    <mergeCell ref="B37:B44"/>
    <mergeCell ref="B45:B50"/>
    <mergeCell ref="B63:C63"/>
    <mergeCell ref="B72:B73"/>
    <mergeCell ref="B75:C75"/>
    <mergeCell ref="B126:U126"/>
    <mergeCell ref="B127:U127"/>
    <mergeCell ref="B83:B115"/>
    <mergeCell ref="B78:B79"/>
    <mergeCell ref="B82:C82"/>
    <mergeCell ref="B76:B77"/>
  </mergeCells>
  <phoneticPr fontId="3"/>
  <conditionalFormatting sqref="D17:K20 D8:F9 D12:F14 D76:G79 D70:O73 D64:BN67 D83:F115 D23:K50">
    <cfRule type="cellIs" dxfId="1" priority="35" operator="greaterThanOrEqual">
      <formula>2</formula>
    </cfRule>
    <cfRule type="cellIs" dxfId="0" priority="42" operator="notEqual">
      <formula>0</formula>
    </cfRule>
  </conditionalFormatting>
  <pageMargins left="0.7" right="0.7" top="0.75" bottom="0.75" header="0.3" footer="0.3"/>
  <pageSetup paperSize="9" orientation="portrait" r:id="rId1"/>
  <ignoredErrors>
    <ignoredError sqref="D8:F13 D17:K19 D23:K50 D53:K60 D83:F115 D64:BN67 D70:O73 D76:G79" unlockedFormula="1"/>
  </ignoredError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6783C-9021-49B1-8961-6147C403979C}">
  <dimension ref="A1:AC42"/>
  <sheetViews>
    <sheetView tabSelected="1" zoomScale="70" zoomScaleNormal="70" workbookViewId="0">
      <selection activeCell="H5" sqref="H5"/>
    </sheetView>
  </sheetViews>
  <sheetFormatPr defaultRowHeight="10" x14ac:dyDescent="0.55000000000000004"/>
  <cols>
    <col min="1" max="2" width="8.58203125" style="40"/>
    <col min="3" max="3" width="18.58203125" style="40" customWidth="1"/>
    <col min="4" max="5" width="3.33203125" style="40" customWidth="1"/>
    <col min="6" max="21" width="2.33203125" style="40" customWidth="1"/>
    <col min="22" max="23" width="3.33203125" style="40" customWidth="1"/>
    <col min="24" max="24" width="16.58203125" style="40" customWidth="1"/>
    <col min="25" max="27" width="8.58203125" style="40" customWidth="1"/>
    <col min="28" max="249" width="8.58203125" style="40"/>
    <col min="250" max="250" width="14.33203125" style="40" customWidth="1"/>
    <col min="251" max="252" width="3.33203125" style="40" customWidth="1"/>
    <col min="253" max="277" width="2.33203125" style="40" customWidth="1"/>
    <col min="278" max="279" width="3.33203125" style="40" customWidth="1"/>
    <col min="280" max="280" width="14.33203125" style="40" customWidth="1"/>
    <col min="281" max="505" width="8.58203125" style="40"/>
    <col min="506" max="506" width="14.33203125" style="40" customWidth="1"/>
    <col min="507" max="508" width="3.33203125" style="40" customWidth="1"/>
    <col min="509" max="533" width="2.33203125" style="40" customWidth="1"/>
    <col min="534" max="535" width="3.33203125" style="40" customWidth="1"/>
    <col min="536" max="536" width="14.33203125" style="40" customWidth="1"/>
    <col min="537" max="761" width="8.58203125" style="40"/>
    <col min="762" max="762" width="14.33203125" style="40" customWidth="1"/>
    <col min="763" max="764" width="3.33203125" style="40" customWidth="1"/>
    <col min="765" max="789" width="2.33203125" style="40" customWidth="1"/>
    <col min="790" max="791" width="3.33203125" style="40" customWidth="1"/>
    <col min="792" max="792" width="14.33203125" style="40" customWidth="1"/>
    <col min="793" max="1017" width="8.58203125" style="40"/>
    <col min="1018" max="1018" width="14.33203125" style="40" customWidth="1"/>
    <col min="1019" max="1020" width="3.33203125" style="40" customWidth="1"/>
    <col min="1021" max="1045" width="2.33203125" style="40" customWidth="1"/>
    <col min="1046" max="1047" width="3.33203125" style="40" customWidth="1"/>
    <col min="1048" max="1048" width="14.33203125" style="40" customWidth="1"/>
    <col min="1049" max="1273" width="8.58203125" style="40"/>
    <col min="1274" max="1274" width="14.33203125" style="40" customWidth="1"/>
    <col min="1275" max="1276" width="3.33203125" style="40" customWidth="1"/>
    <col min="1277" max="1301" width="2.33203125" style="40" customWidth="1"/>
    <col min="1302" max="1303" width="3.33203125" style="40" customWidth="1"/>
    <col min="1304" max="1304" width="14.33203125" style="40" customWidth="1"/>
    <col min="1305" max="1529" width="8.58203125" style="40"/>
    <col min="1530" max="1530" width="14.33203125" style="40" customWidth="1"/>
    <col min="1531" max="1532" width="3.33203125" style="40" customWidth="1"/>
    <col min="1533" max="1557" width="2.33203125" style="40" customWidth="1"/>
    <col min="1558" max="1559" width="3.33203125" style="40" customWidth="1"/>
    <col min="1560" max="1560" width="14.33203125" style="40" customWidth="1"/>
    <col min="1561" max="1785" width="8.58203125" style="40"/>
    <col min="1786" max="1786" width="14.33203125" style="40" customWidth="1"/>
    <col min="1787" max="1788" width="3.33203125" style="40" customWidth="1"/>
    <col min="1789" max="1813" width="2.33203125" style="40" customWidth="1"/>
    <col min="1814" max="1815" width="3.33203125" style="40" customWidth="1"/>
    <col min="1816" max="1816" width="14.33203125" style="40" customWidth="1"/>
    <col min="1817" max="2041" width="8.58203125" style="40"/>
    <col min="2042" max="2042" width="14.33203125" style="40" customWidth="1"/>
    <col min="2043" max="2044" width="3.33203125" style="40" customWidth="1"/>
    <col min="2045" max="2069" width="2.33203125" style="40" customWidth="1"/>
    <col min="2070" max="2071" width="3.33203125" style="40" customWidth="1"/>
    <col min="2072" max="2072" width="14.33203125" style="40" customWidth="1"/>
    <col min="2073" max="2297" width="8.58203125" style="40"/>
    <col min="2298" max="2298" width="14.33203125" style="40" customWidth="1"/>
    <col min="2299" max="2300" width="3.33203125" style="40" customWidth="1"/>
    <col min="2301" max="2325" width="2.33203125" style="40" customWidth="1"/>
    <col min="2326" max="2327" width="3.33203125" style="40" customWidth="1"/>
    <col min="2328" max="2328" width="14.33203125" style="40" customWidth="1"/>
    <col min="2329" max="2553" width="8.58203125" style="40"/>
    <col min="2554" max="2554" width="14.33203125" style="40" customWidth="1"/>
    <col min="2555" max="2556" width="3.33203125" style="40" customWidth="1"/>
    <col min="2557" max="2581" width="2.33203125" style="40" customWidth="1"/>
    <col min="2582" max="2583" width="3.33203125" style="40" customWidth="1"/>
    <col min="2584" max="2584" width="14.33203125" style="40" customWidth="1"/>
    <col min="2585" max="2809" width="8.58203125" style="40"/>
    <col min="2810" max="2810" width="14.33203125" style="40" customWidth="1"/>
    <col min="2811" max="2812" width="3.33203125" style="40" customWidth="1"/>
    <col min="2813" max="2837" width="2.33203125" style="40" customWidth="1"/>
    <col min="2838" max="2839" width="3.33203125" style="40" customWidth="1"/>
    <col min="2840" max="2840" width="14.33203125" style="40" customWidth="1"/>
    <col min="2841" max="3065" width="8.58203125" style="40"/>
    <col min="3066" max="3066" width="14.33203125" style="40" customWidth="1"/>
    <col min="3067" max="3068" width="3.33203125" style="40" customWidth="1"/>
    <col min="3069" max="3093" width="2.33203125" style="40" customWidth="1"/>
    <col min="3094" max="3095" width="3.33203125" style="40" customWidth="1"/>
    <col min="3096" max="3096" width="14.33203125" style="40" customWidth="1"/>
    <col min="3097" max="3321" width="8.58203125" style="40"/>
    <col min="3322" max="3322" width="14.33203125" style="40" customWidth="1"/>
    <col min="3323" max="3324" width="3.33203125" style="40" customWidth="1"/>
    <col min="3325" max="3349" width="2.33203125" style="40" customWidth="1"/>
    <col min="3350" max="3351" width="3.33203125" style="40" customWidth="1"/>
    <col min="3352" max="3352" width="14.33203125" style="40" customWidth="1"/>
    <col min="3353" max="3577" width="8.58203125" style="40"/>
    <col min="3578" max="3578" width="14.33203125" style="40" customWidth="1"/>
    <col min="3579" max="3580" width="3.33203125" style="40" customWidth="1"/>
    <col min="3581" max="3605" width="2.33203125" style="40" customWidth="1"/>
    <col min="3606" max="3607" width="3.33203125" style="40" customWidth="1"/>
    <col min="3608" max="3608" width="14.33203125" style="40" customWidth="1"/>
    <col min="3609" max="3833" width="8.58203125" style="40"/>
    <col min="3834" max="3834" width="14.33203125" style="40" customWidth="1"/>
    <col min="3835" max="3836" width="3.33203125" style="40" customWidth="1"/>
    <col min="3837" max="3861" width="2.33203125" style="40" customWidth="1"/>
    <col min="3862" max="3863" width="3.33203125" style="40" customWidth="1"/>
    <col min="3864" max="3864" width="14.33203125" style="40" customWidth="1"/>
    <col min="3865" max="4089" width="8.58203125" style="40"/>
    <col min="4090" max="4090" width="14.33203125" style="40" customWidth="1"/>
    <col min="4091" max="4092" width="3.33203125" style="40" customWidth="1"/>
    <col min="4093" max="4117" width="2.33203125" style="40" customWidth="1"/>
    <col min="4118" max="4119" width="3.33203125" style="40" customWidth="1"/>
    <col min="4120" max="4120" width="14.33203125" style="40" customWidth="1"/>
    <col min="4121" max="4345" width="8.58203125" style="40"/>
    <col min="4346" max="4346" width="14.33203125" style="40" customWidth="1"/>
    <col min="4347" max="4348" width="3.33203125" style="40" customWidth="1"/>
    <col min="4349" max="4373" width="2.33203125" style="40" customWidth="1"/>
    <col min="4374" max="4375" width="3.33203125" style="40" customWidth="1"/>
    <col min="4376" max="4376" width="14.33203125" style="40" customWidth="1"/>
    <col min="4377" max="4601" width="8.58203125" style="40"/>
    <col min="4602" max="4602" width="14.33203125" style="40" customWidth="1"/>
    <col min="4603" max="4604" width="3.33203125" style="40" customWidth="1"/>
    <col min="4605" max="4629" width="2.33203125" style="40" customWidth="1"/>
    <col min="4630" max="4631" width="3.33203125" style="40" customWidth="1"/>
    <col min="4632" max="4632" width="14.33203125" style="40" customWidth="1"/>
    <col min="4633" max="4857" width="8.58203125" style="40"/>
    <col min="4858" max="4858" width="14.33203125" style="40" customWidth="1"/>
    <col min="4859" max="4860" width="3.33203125" style="40" customWidth="1"/>
    <col min="4861" max="4885" width="2.33203125" style="40" customWidth="1"/>
    <col min="4886" max="4887" width="3.33203125" style="40" customWidth="1"/>
    <col min="4888" max="4888" width="14.33203125" style="40" customWidth="1"/>
    <col min="4889" max="5113" width="8.58203125" style="40"/>
    <col min="5114" max="5114" width="14.33203125" style="40" customWidth="1"/>
    <col min="5115" max="5116" width="3.33203125" style="40" customWidth="1"/>
    <col min="5117" max="5141" width="2.33203125" style="40" customWidth="1"/>
    <col min="5142" max="5143" width="3.33203125" style="40" customWidth="1"/>
    <col min="5144" max="5144" width="14.33203125" style="40" customWidth="1"/>
    <col min="5145" max="5369" width="8.58203125" style="40"/>
    <col min="5370" max="5370" width="14.33203125" style="40" customWidth="1"/>
    <col min="5371" max="5372" width="3.33203125" style="40" customWidth="1"/>
    <col min="5373" max="5397" width="2.33203125" style="40" customWidth="1"/>
    <col min="5398" max="5399" width="3.33203125" style="40" customWidth="1"/>
    <col min="5400" max="5400" width="14.33203125" style="40" customWidth="1"/>
    <col min="5401" max="5625" width="8.58203125" style="40"/>
    <col min="5626" max="5626" width="14.33203125" style="40" customWidth="1"/>
    <col min="5627" max="5628" width="3.33203125" style="40" customWidth="1"/>
    <col min="5629" max="5653" width="2.33203125" style="40" customWidth="1"/>
    <col min="5654" max="5655" width="3.33203125" style="40" customWidth="1"/>
    <col min="5656" max="5656" width="14.33203125" style="40" customWidth="1"/>
    <col min="5657" max="5881" width="8.58203125" style="40"/>
    <col min="5882" max="5882" width="14.33203125" style="40" customWidth="1"/>
    <col min="5883" max="5884" width="3.33203125" style="40" customWidth="1"/>
    <col min="5885" max="5909" width="2.33203125" style="40" customWidth="1"/>
    <col min="5910" max="5911" width="3.33203125" style="40" customWidth="1"/>
    <col min="5912" max="5912" width="14.33203125" style="40" customWidth="1"/>
    <col min="5913" max="6137" width="8.58203125" style="40"/>
    <col min="6138" max="6138" width="14.33203125" style="40" customWidth="1"/>
    <col min="6139" max="6140" width="3.33203125" style="40" customWidth="1"/>
    <col min="6141" max="6165" width="2.33203125" style="40" customWidth="1"/>
    <col min="6166" max="6167" width="3.33203125" style="40" customWidth="1"/>
    <col min="6168" max="6168" width="14.33203125" style="40" customWidth="1"/>
    <col min="6169" max="6393" width="8.58203125" style="40"/>
    <col min="6394" max="6394" width="14.33203125" style="40" customWidth="1"/>
    <col min="6395" max="6396" width="3.33203125" style="40" customWidth="1"/>
    <col min="6397" max="6421" width="2.33203125" style="40" customWidth="1"/>
    <col min="6422" max="6423" width="3.33203125" style="40" customWidth="1"/>
    <col min="6424" max="6424" width="14.33203125" style="40" customWidth="1"/>
    <col min="6425" max="6649" width="8.58203125" style="40"/>
    <col min="6650" max="6650" width="14.33203125" style="40" customWidth="1"/>
    <col min="6651" max="6652" width="3.33203125" style="40" customWidth="1"/>
    <col min="6653" max="6677" width="2.33203125" style="40" customWidth="1"/>
    <col min="6678" max="6679" width="3.33203125" style="40" customWidth="1"/>
    <col min="6680" max="6680" width="14.33203125" style="40" customWidth="1"/>
    <col min="6681" max="6905" width="8.58203125" style="40"/>
    <col min="6906" max="6906" width="14.33203125" style="40" customWidth="1"/>
    <col min="6907" max="6908" width="3.33203125" style="40" customWidth="1"/>
    <col min="6909" max="6933" width="2.33203125" style="40" customWidth="1"/>
    <col min="6934" max="6935" width="3.33203125" style="40" customWidth="1"/>
    <col min="6936" max="6936" width="14.33203125" style="40" customWidth="1"/>
    <col min="6937" max="7161" width="8.58203125" style="40"/>
    <col min="7162" max="7162" width="14.33203125" style="40" customWidth="1"/>
    <col min="7163" max="7164" width="3.33203125" style="40" customWidth="1"/>
    <col min="7165" max="7189" width="2.33203125" style="40" customWidth="1"/>
    <col min="7190" max="7191" width="3.33203125" style="40" customWidth="1"/>
    <col min="7192" max="7192" width="14.33203125" style="40" customWidth="1"/>
    <col min="7193" max="7417" width="8.58203125" style="40"/>
    <col min="7418" max="7418" width="14.33203125" style="40" customWidth="1"/>
    <col min="7419" max="7420" width="3.33203125" style="40" customWidth="1"/>
    <col min="7421" max="7445" width="2.33203125" style="40" customWidth="1"/>
    <col min="7446" max="7447" width="3.33203125" style="40" customWidth="1"/>
    <col min="7448" max="7448" width="14.33203125" style="40" customWidth="1"/>
    <col min="7449" max="7673" width="8.58203125" style="40"/>
    <col min="7674" max="7674" width="14.33203125" style="40" customWidth="1"/>
    <col min="7675" max="7676" width="3.33203125" style="40" customWidth="1"/>
    <col min="7677" max="7701" width="2.33203125" style="40" customWidth="1"/>
    <col min="7702" max="7703" width="3.33203125" style="40" customWidth="1"/>
    <col min="7704" max="7704" width="14.33203125" style="40" customWidth="1"/>
    <col min="7705" max="7929" width="8.58203125" style="40"/>
    <col min="7930" max="7930" width="14.33203125" style="40" customWidth="1"/>
    <col min="7931" max="7932" width="3.33203125" style="40" customWidth="1"/>
    <col min="7933" max="7957" width="2.33203125" style="40" customWidth="1"/>
    <col min="7958" max="7959" width="3.33203125" style="40" customWidth="1"/>
    <col min="7960" max="7960" width="14.33203125" style="40" customWidth="1"/>
    <col min="7961" max="8185" width="8.58203125" style="40"/>
    <col min="8186" max="8186" width="14.33203125" style="40" customWidth="1"/>
    <col min="8187" max="8188" width="3.33203125" style="40" customWidth="1"/>
    <col min="8189" max="8213" width="2.33203125" style="40" customWidth="1"/>
    <col min="8214" max="8215" width="3.33203125" style="40" customWidth="1"/>
    <col min="8216" max="8216" width="14.33203125" style="40" customWidth="1"/>
    <col min="8217" max="8441" width="8.58203125" style="40"/>
    <col min="8442" max="8442" width="14.33203125" style="40" customWidth="1"/>
    <col min="8443" max="8444" width="3.33203125" style="40" customWidth="1"/>
    <col min="8445" max="8469" width="2.33203125" style="40" customWidth="1"/>
    <col min="8470" max="8471" width="3.33203125" style="40" customWidth="1"/>
    <col min="8472" max="8472" width="14.33203125" style="40" customWidth="1"/>
    <col min="8473" max="8697" width="8.58203125" style="40"/>
    <col min="8698" max="8698" width="14.33203125" style="40" customWidth="1"/>
    <col min="8699" max="8700" width="3.33203125" style="40" customWidth="1"/>
    <col min="8701" max="8725" width="2.33203125" style="40" customWidth="1"/>
    <col min="8726" max="8727" width="3.33203125" style="40" customWidth="1"/>
    <col min="8728" max="8728" width="14.33203125" style="40" customWidth="1"/>
    <col min="8729" max="8953" width="8.58203125" style="40"/>
    <col min="8954" max="8954" width="14.33203125" style="40" customWidth="1"/>
    <col min="8955" max="8956" width="3.33203125" style="40" customWidth="1"/>
    <col min="8957" max="8981" width="2.33203125" style="40" customWidth="1"/>
    <col min="8982" max="8983" width="3.33203125" style="40" customWidth="1"/>
    <col min="8984" max="8984" width="14.33203125" style="40" customWidth="1"/>
    <col min="8985" max="9209" width="8.58203125" style="40"/>
    <col min="9210" max="9210" width="14.33203125" style="40" customWidth="1"/>
    <col min="9211" max="9212" width="3.33203125" style="40" customWidth="1"/>
    <col min="9213" max="9237" width="2.33203125" style="40" customWidth="1"/>
    <col min="9238" max="9239" width="3.33203125" style="40" customWidth="1"/>
    <col min="9240" max="9240" width="14.33203125" style="40" customWidth="1"/>
    <col min="9241" max="9465" width="8.58203125" style="40"/>
    <col min="9466" max="9466" width="14.33203125" style="40" customWidth="1"/>
    <col min="9467" max="9468" width="3.33203125" style="40" customWidth="1"/>
    <col min="9469" max="9493" width="2.33203125" style="40" customWidth="1"/>
    <col min="9494" max="9495" width="3.33203125" style="40" customWidth="1"/>
    <col min="9496" max="9496" width="14.33203125" style="40" customWidth="1"/>
    <col min="9497" max="9721" width="8.58203125" style="40"/>
    <col min="9722" max="9722" width="14.33203125" style="40" customWidth="1"/>
    <col min="9723" max="9724" width="3.33203125" style="40" customWidth="1"/>
    <col min="9725" max="9749" width="2.33203125" style="40" customWidth="1"/>
    <col min="9750" max="9751" width="3.33203125" style="40" customWidth="1"/>
    <col min="9752" max="9752" width="14.33203125" style="40" customWidth="1"/>
    <col min="9753" max="9977" width="8.58203125" style="40"/>
    <col min="9978" max="9978" width="14.33203125" style="40" customWidth="1"/>
    <col min="9979" max="9980" width="3.33203125" style="40" customWidth="1"/>
    <col min="9981" max="10005" width="2.33203125" style="40" customWidth="1"/>
    <col min="10006" max="10007" width="3.33203125" style="40" customWidth="1"/>
    <col min="10008" max="10008" width="14.33203125" style="40" customWidth="1"/>
    <col min="10009" max="10233" width="8.58203125" style="40"/>
    <col min="10234" max="10234" width="14.33203125" style="40" customWidth="1"/>
    <col min="10235" max="10236" width="3.33203125" style="40" customWidth="1"/>
    <col min="10237" max="10261" width="2.33203125" style="40" customWidth="1"/>
    <col min="10262" max="10263" width="3.33203125" style="40" customWidth="1"/>
    <col min="10264" max="10264" width="14.33203125" style="40" customWidth="1"/>
    <col min="10265" max="10489" width="8.58203125" style="40"/>
    <col min="10490" max="10490" width="14.33203125" style="40" customWidth="1"/>
    <col min="10491" max="10492" width="3.33203125" style="40" customWidth="1"/>
    <col min="10493" max="10517" width="2.33203125" style="40" customWidth="1"/>
    <col min="10518" max="10519" width="3.33203125" style="40" customWidth="1"/>
    <col min="10520" max="10520" width="14.33203125" style="40" customWidth="1"/>
    <col min="10521" max="10745" width="8.58203125" style="40"/>
    <col min="10746" max="10746" width="14.33203125" style="40" customWidth="1"/>
    <col min="10747" max="10748" width="3.33203125" style="40" customWidth="1"/>
    <col min="10749" max="10773" width="2.33203125" style="40" customWidth="1"/>
    <col min="10774" max="10775" width="3.33203125" style="40" customWidth="1"/>
    <col min="10776" max="10776" width="14.33203125" style="40" customWidth="1"/>
    <col min="10777" max="11001" width="8.58203125" style="40"/>
    <col min="11002" max="11002" width="14.33203125" style="40" customWidth="1"/>
    <col min="11003" max="11004" width="3.33203125" style="40" customWidth="1"/>
    <col min="11005" max="11029" width="2.33203125" style="40" customWidth="1"/>
    <col min="11030" max="11031" width="3.33203125" style="40" customWidth="1"/>
    <col min="11032" max="11032" width="14.33203125" style="40" customWidth="1"/>
    <col min="11033" max="11257" width="8.58203125" style="40"/>
    <col min="11258" max="11258" width="14.33203125" style="40" customWidth="1"/>
    <col min="11259" max="11260" width="3.33203125" style="40" customWidth="1"/>
    <col min="11261" max="11285" width="2.33203125" style="40" customWidth="1"/>
    <col min="11286" max="11287" width="3.33203125" style="40" customWidth="1"/>
    <col min="11288" max="11288" width="14.33203125" style="40" customWidth="1"/>
    <col min="11289" max="11513" width="8.58203125" style="40"/>
    <col min="11514" max="11514" width="14.33203125" style="40" customWidth="1"/>
    <col min="11515" max="11516" width="3.33203125" style="40" customWidth="1"/>
    <col min="11517" max="11541" width="2.33203125" style="40" customWidth="1"/>
    <col min="11542" max="11543" width="3.33203125" style="40" customWidth="1"/>
    <col min="11544" max="11544" width="14.33203125" style="40" customWidth="1"/>
    <col min="11545" max="11769" width="8.58203125" style="40"/>
    <col min="11770" max="11770" width="14.33203125" style="40" customWidth="1"/>
    <col min="11771" max="11772" width="3.33203125" style="40" customWidth="1"/>
    <col min="11773" max="11797" width="2.33203125" style="40" customWidth="1"/>
    <col min="11798" max="11799" width="3.33203125" style="40" customWidth="1"/>
    <col min="11800" max="11800" width="14.33203125" style="40" customWidth="1"/>
    <col min="11801" max="12025" width="8.58203125" style="40"/>
    <col min="12026" max="12026" width="14.33203125" style="40" customWidth="1"/>
    <col min="12027" max="12028" width="3.33203125" style="40" customWidth="1"/>
    <col min="12029" max="12053" width="2.33203125" style="40" customWidth="1"/>
    <col min="12054" max="12055" width="3.33203125" style="40" customWidth="1"/>
    <col min="12056" max="12056" width="14.33203125" style="40" customWidth="1"/>
    <col min="12057" max="12281" width="8.58203125" style="40"/>
    <col min="12282" max="12282" width="14.33203125" style="40" customWidth="1"/>
    <col min="12283" max="12284" width="3.33203125" style="40" customWidth="1"/>
    <col min="12285" max="12309" width="2.33203125" style="40" customWidth="1"/>
    <col min="12310" max="12311" width="3.33203125" style="40" customWidth="1"/>
    <col min="12312" max="12312" width="14.33203125" style="40" customWidth="1"/>
    <col min="12313" max="12537" width="8.58203125" style="40"/>
    <col min="12538" max="12538" width="14.33203125" style="40" customWidth="1"/>
    <col min="12539" max="12540" width="3.33203125" style="40" customWidth="1"/>
    <col min="12541" max="12565" width="2.33203125" style="40" customWidth="1"/>
    <col min="12566" max="12567" width="3.33203125" style="40" customWidth="1"/>
    <col min="12568" max="12568" width="14.33203125" style="40" customWidth="1"/>
    <col min="12569" max="12793" width="8.58203125" style="40"/>
    <col min="12794" max="12794" width="14.33203125" style="40" customWidth="1"/>
    <col min="12795" max="12796" width="3.33203125" style="40" customWidth="1"/>
    <col min="12797" max="12821" width="2.33203125" style="40" customWidth="1"/>
    <col min="12822" max="12823" width="3.33203125" style="40" customWidth="1"/>
    <col min="12824" max="12824" width="14.33203125" style="40" customWidth="1"/>
    <col min="12825" max="13049" width="8.58203125" style="40"/>
    <col min="13050" max="13050" width="14.33203125" style="40" customWidth="1"/>
    <col min="13051" max="13052" width="3.33203125" style="40" customWidth="1"/>
    <col min="13053" max="13077" width="2.33203125" style="40" customWidth="1"/>
    <col min="13078" max="13079" width="3.33203125" style="40" customWidth="1"/>
    <col min="13080" max="13080" width="14.33203125" style="40" customWidth="1"/>
    <col min="13081" max="13305" width="8.58203125" style="40"/>
    <col min="13306" max="13306" width="14.33203125" style="40" customWidth="1"/>
    <col min="13307" max="13308" width="3.33203125" style="40" customWidth="1"/>
    <col min="13309" max="13333" width="2.33203125" style="40" customWidth="1"/>
    <col min="13334" max="13335" width="3.33203125" style="40" customWidth="1"/>
    <col min="13336" max="13336" width="14.33203125" style="40" customWidth="1"/>
    <col min="13337" max="13561" width="8.58203125" style="40"/>
    <col min="13562" max="13562" width="14.33203125" style="40" customWidth="1"/>
    <col min="13563" max="13564" width="3.33203125" style="40" customWidth="1"/>
    <col min="13565" max="13589" width="2.33203125" style="40" customWidth="1"/>
    <col min="13590" max="13591" width="3.33203125" style="40" customWidth="1"/>
    <col min="13592" max="13592" width="14.33203125" style="40" customWidth="1"/>
    <col min="13593" max="13817" width="8.58203125" style="40"/>
    <col min="13818" max="13818" width="14.33203125" style="40" customWidth="1"/>
    <col min="13819" max="13820" width="3.33203125" style="40" customWidth="1"/>
    <col min="13821" max="13845" width="2.33203125" style="40" customWidth="1"/>
    <col min="13846" max="13847" width="3.33203125" style="40" customWidth="1"/>
    <col min="13848" max="13848" width="14.33203125" style="40" customWidth="1"/>
    <col min="13849" max="14073" width="8.58203125" style="40"/>
    <col min="14074" max="14074" width="14.33203125" style="40" customWidth="1"/>
    <col min="14075" max="14076" width="3.33203125" style="40" customWidth="1"/>
    <col min="14077" max="14101" width="2.33203125" style="40" customWidth="1"/>
    <col min="14102" max="14103" width="3.33203125" style="40" customWidth="1"/>
    <col min="14104" max="14104" width="14.33203125" style="40" customWidth="1"/>
    <col min="14105" max="14329" width="8.58203125" style="40"/>
    <col min="14330" max="14330" width="14.33203125" style="40" customWidth="1"/>
    <col min="14331" max="14332" width="3.33203125" style="40" customWidth="1"/>
    <col min="14333" max="14357" width="2.33203125" style="40" customWidth="1"/>
    <col min="14358" max="14359" width="3.33203125" style="40" customWidth="1"/>
    <col min="14360" max="14360" width="14.33203125" style="40" customWidth="1"/>
    <col min="14361" max="14585" width="8.58203125" style="40"/>
    <col min="14586" max="14586" width="14.33203125" style="40" customWidth="1"/>
    <col min="14587" max="14588" width="3.33203125" style="40" customWidth="1"/>
    <col min="14589" max="14613" width="2.33203125" style="40" customWidth="1"/>
    <col min="14614" max="14615" width="3.33203125" style="40" customWidth="1"/>
    <col min="14616" max="14616" width="14.33203125" style="40" customWidth="1"/>
    <col min="14617" max="14841" width="8.58203125" style="40"/>
    <col min="14842" max="14842" width="14.33203125" style="40" customWidth="1"/>
    <col min="14843" max="14844" width="3.33203125" style="40" customWidth="1"/>
    <col min="14845" max="14869" width="2.33203125" style="40" customWidth="1"/>
    <col min="14870" max="14871" width="3.33203125" style="40" customWidth="1"/>
    <col min="14872" max="14872" width="14.33203125" style="40" customWidth="1"/>
    <col min="14873" max="15097" width="8.58203125" style="40"/>
    <col min="15098" max="15098" width="14.33203125" style="40" customWidth="1"/>
    <col min="15099" max="15100" width="3.33203125" style="40" customWidth="1"/>
    <col min="15101" max="15125" width="2.33203125" style="40" customWidth="1"/>
    <col min="15126" max="15127" width="3.33203125" style="40" customWidth="1"/>
    <col min="15128" max="15128" width="14.33203125" style="40" customWidth="1"/>
    <col min="15129" max="15353" width="8.58203125" style="40"/>
    <col min="15354" max="15354" width="14.33203125" style="40" customWidth="1"/>
    <col min="15355" max="15356" width="3.33203125" style="40" customWidth="1"/>
    <col min="15357" max="15381" width="2.33203125" style="40" customWidth="1"/>
    <col min="15382" max="15383" width="3.33203125" style="40" customWidth="1"/>
    <col min="15384" max="15384" width="14.33203125" style="40" customWidth="1"/>
    <col min="15385" max="15609" width="8.58203125" style="40"/>
    <col min="15610" max="15610" width="14.33203125" style="40" customWidth="1"/>
    <col min="15611" max="15612" width="3.33203125" style="40" customWidth="1"/>
    <col min="15613" max="15637" width="2.33203125" style="40" customWidth="1"/>
    <col min="15638" max="15639" width="3.33203125" style="40" customWidth="1"/>
    <col min="15640" max="15640" width="14.33203125" style="40" customWidth="1"/>
    <col min="15641" max="15865" width="8.58203125" style="40"/>
    <col min="15866" max="15866" width="14.33203125" style="40" customWidth="1"/>
    <col min="15867" max="15868" width="3.33203125" style="40" customWidth="1"/>
    <col min="15869" max="15893" width="2.33203125" style="40" customWidth="1"/>
    <col min="15894" max="15895" width="3.33203125" style="40" customWidth="1"/>
    <col min="15896" max="15896" width="14.33203125" style="40" customWidth="1"/>
    <col min="15897" max="16121" width="8.58203125" style="40"/>
    <col min="16122" max="16122" width="14.33203125" style="40" customWidth="1"/>
    <col min="16123" max="16124" width="3.33203125" style="40" customWidth="1"/>
    <col min="16125" max="16149" width="2.33203125" style="40" customWidth="1"/>
    <col min="16150" max="16151" width="3.33203125" style="40" customWidth="1"/>
    <col min="16152" max="16152" width="14.33203125" style="40" customWidth="1"/>
    <col min="16153" max="16384" width="8.58203125" style="40"/>
  </cols>
  <sheetData>
    <row r="1" spans="1:29" ht="25" customHeight="1" x14ac:dyDescent="0.55000000000000004">
      <c r="A1" s="39" t="s">
        <v>377</v>
      </c>
      <c r="X1" s="101"/>
      <c r="Y1" s="10"/>
      <c r="Z1" s="10"/>
      <c r="AA1" s="10"/>
      <c r="AB1" s="101"/>
      <c r="AC1" s="101"/>
    </row>
    <row r="2" spans="1:29" ht="25" customHeight="1" x14ac:dyDescent="0.55000000000000004">
      <c r="A2" s="39"/>
      <c r="X2" s="101"/>
      <c r="Y2" s="10"/>
      <c r="Z2" s="10"/>
      <c r="AA2" s="10"/>
      <c r="AB2" s="101"/>
      <c r="AC2" s="101"/>
    </row>
    <row r="3" spans="1:29" ht="25" customHeight="1" x14ac:dyDescent="0.55000000000000004">
      <c r="A3" s="39"/>
      <c r="X3" s="101"/>
      <c r="Y3" s="10"/>
      <c r="Z3" s="10"/>
      <c r="AA3" s="10"/>
      <c r="AB3" s="101"/>
      <c r="AC3" s="101"/>
    </row>
    <row r="4" spans="1:29" ht="25" customHeight="1" x14ac:dyDescent="0.55000000000000004">
      <c r="A4" s="39"/>
      <c r="X4" s="101"/>
      <c r="Y4" s="10"/>
      <c r="Z4" s="10"/>
      <c r="AA4" s="10"/>
      <c r="AB4" s="101"/>
      <c r="AC4" s="101"/>
    </row>
    <row r="5" spans="1:29" ht="25" customHeight="1" x14ac:dyDescent="0.55000000000000004">
      <c r="A5" s="39"/>
      <c r="X5" s="101"/>
      <c r="Y5" s="10"/>
      <c r="Z5" s="10"/>
      <c r="AA5" s="11" t="s">
        <v>814</v>
      </c>
      <c r="AB5" s="101"/>
      <c r="AC5" s="101"/>
    </row>
    <row r="9" spans="1:29" ht="105" customHeight="1" x14ac:dyDescent="0.55000000000000004">
      <c r="F9" s="72">
        <f>'PF64'!U73</f>
        <v>0</v>
      </c>
      <c r="G9" s="72">
        <f>'PF64'!U72</f>
        <v>0</v>
      </c>
      <c r="H9" s="72">
        <f>'PF64'!U71</f>
        <v>0</v>
      </c>
      <c r="I9" s="72">
        <f>'PF64'!U70</f>
        <v>0</v>
      </c>
      <c r="J9" s="72">
        <f>'PF64'!U69</f>
        <v>0</v>
      </c>
      <c r="K9" s="72">
        <f>'PF64'!U68</f>
        <v>0</v>
      </c>
      <c r="L9" s="71" t="str">
        <f>'PF64'!U67</f>
        <v>VCCD</v>
      </c>
      <c r="M9" s="73" t="str">
        <f>'PF64'!U66</f>
        <v>VSSD</v>
      </c>
      <c r="N9" s="73" t="str">
        <f>'PF64'!U65</f>
        <v>VSSD</v>
      </c>
      <c r="O9" s="71" t="str">
        <f>'PF64'!U64</f>
        <v>VDDD</v>
      </c>
      <c r="P9" s="74" t="str">
        <f>'PF64'!U63</f>
        <v>XRES_L</v>
      </c>
      <c r="Q9" s="72">
        <f>'PF64'!U62</f>
        <v>0</v>
      </c>
      <c r="R9" s="72">
        <f>'PF64'!U61</f>
        <v>0</v>
      </c>
      <c r="S9" s="72">
        <f>'PF64'!U60</f>
        <v>0</v>
      </c>
      <c r="T9" s="72">
        <f>'PF64'!U59</f>
        <v>0</v>
      </c>
      <c r="U9" s="73" t="str">
        <f>'PF64'!U58</f>
        <v>VSSD</v>
      </c>
    </row>
    <row r="10" spans="1:29" ht="15" customHeight="1" x14ac:dyDescent="0.55000000000000004">
      <c r="D10" s="75"/>
      <c r="E10" s="76"/>
      <c r="F10" s="76">
        <v>64</v>
      </c>
      <c r="G10" s="76">
        <v>63</v>
      </c>
      <c r="H10" s="76">
        <v>62</v>
      </c>
      <c r="I10" s="76">
        <v>61</v>
      </c>
      <c r="J10" s="76">
        <v>60</v>
      </c>
      <c r="K10" s="76">
        <v>59</v>
      </c>
      <c r="L10" s="76">
        <v>58</v>
      </c>
      <c r="M10" s="76">
        <v>57</v>
      </c>
      <c r="N10" s="76">
        <v>56</v>
      </c>
      <c r="O10" s="76">
        <v>55</v>
      </c>
      <c r="P10" s="76">
        <v>54</v>
      </c>
      <c r="Q10" s="76">
        <v>53</v>
      </c>
      <c r="R10" s="76">
        <v>52</v>
      </c>
      <c r="S10" s="76">
        <v>51</v>
      </c>
      <c r="T10" s="76">
        <v>50</v>
      </c>
      <c r="U10" s="76">
        <v>49</v>
      </c>
      <c r="V10" s="76"/>
      <c r="W10" s="77"/>
    </row>
    <row r="11" spans="1:29" ht="15" customHeight="1" x14ac:dyDescent="0.55000000000000004">
      <c r="D11" s="78"/>
      <c r="E11" s="79"/>
      <c r="F11" s="79"/>
      <c r="G11" s="79"/>
      <c r="H11" s="79"/>
      <c r="I11" s="79"/>
      <c r="J11" s="79"/>
      <c r="K11" s="79"/>
      <c r="L11" s="79"/>
      <c r="M11" s="79"/>
      <c r="N11" s="79"/>
      <c r="O11" s="79"/>
      <c r="P11" s="79"/>
      <c r="Q11" s="79"/>
      <c r="R11" s="79"/>
      <c r="S11" s="79"/>
      <c r="T11" s="79"/>
      <c r="U11" s="79"/>
      <c r="V11" s="79"/>
      <c r="W11" s="80"/>
    </row>
    <row r="12" spans="1:29" ht="15" customHeight="1" x14ac:dyDescent="0.55000000000000004">
      <c r="B12" s="81"/>
      <c r="C12" s="84">
        <f>'PF64'!U10</f>
        <v>0</v>
      </c>
      <c r="D12" s="78">
        <v>1</v>
      </c>
      <c r="E12" s="79"/>
      <c r="F12" s="151" t="s">
        <v>378</v>
      </c>
      <c r="G12" s="151"/>
      <c r="H12" s="151"/>
      <c r="I12" s="151"/>
      <c r="J12" s="151"/>
      <c r="K12" s="151"/>
      <c r="L12" s="151"/>
      <c r="M12" s="151"/>
      <c r="N12" s="151"/>
      <c r="O12" s="151"/>
      <c r="P12" s="151"/>
      <c r="Q12" s="151"/>
      <c r="R12" s="151"/>
      <c r="S12" s="151"/>
      <c r="T12" s="151"/>
      <c r="U12" s="151"/>
      <c r="V12" s="79"/>
      <c r="W12" s="80">
        <v>48</v>
      </c>
      <c r="X12" s="83" t="str">
        <f>'PF64'!U57</f>
        <v>VDDD</v>
      </c>
    </row>
    <row r="13" spans="1:29" ht="15" customHeight="1" x14ac:dyDescent="0.55000000000000004">
      <c r="B13" s="81"/>
      <c r="C13" s="84">
        <f>'PF64'!U11</f>
        <v>0</v>
      </c>
      <c r="D13" s="78">
        <v>2</v>
      </c>
      <c r="E13" s="79"/>
      <c r="F13" s="151"/>
      <c r="G13" s="151"/>
      <c r="H13" s="151"/>
      <c r="I13" s="151"/>
      <c r="J13" s="151"/>
      <c r="K13" s="151"/>
      <c r="L13" s="151"/>
      <c r="M13" s="151"/>
      <c r="N13" s="151"/>
      <c r="O13" s="151"/>
      <c r="P13" s="151"/>
      <c r="Q13" s="151"/>
      <c r="R13" s="151"/>
      <c r="S13" s="151"/>
      <c r="T13" s="151"/>
      <c r="U13" s="151"/>
      <c r="V13" s="79"/>
      <c r="W13" s="80">
        <v>47</v>
      </c>
      <c r="X13" s="85">
        <f>'PF64'!U56</f>
        <v>0</v>
      </c>
    </row>
    <row r="14" spans="1:29" ht="15" customHeight="1" x14ac:dyDescent="0.55000000000000004">
      <c r="B14" s="81"/>
      <c r="C14" s="84">
        <f>'PF64'!U12</f>
        <v>0</v>
      </c>
      <c r="D14" s="78">
        <v>3</v>
      </c>
      <c r="E14" s="79"/>
      <c r="F14" s="151"/>
      <c r="G14" s="151"/>
      <c r="H14" s="151"/>
      <c r="I14" s="151"/>
      <c r="J14" s="151"/>
      <c r="K14" s="151"/>
      <c r="L14" s="151"/>
      <c r="M14" s="151"/>
      <c r="N14" s="151"/>
      <c r="O14" s="151"/>
      <c r="P14" s="151"/>
      <c r="Q14" s="151"/>
      <c r="R14" s="151"/>
      <c r="S14" s="151"/>
      <c r="T14" s="151"/>
      <c r="U14" s="151"/>
      <c r="V14" s="79"/>
      <c r="W14" s="80">
        <v>46</v>
      </c>
      <c r="X14" s="85">
        <f>'PF64'!U55</f>
        <v>0</v>
      </c>
    </row>
    <row r="15" spans="1:29" ht="15" customHeight="1" x14ac:dyDescent="0.55000000000000004">
      <c r="B15" s="81"/>
      <c r="C15" s="84">
        <f>'PF64'!U13</f>
        <v>0</v>
      </c>
      <c r="D15" s="78">
        <v>4</v>
      </c>
      <c r="E15" s="79"/>
      <c r="F15" s="151"/>
      <c r="G15" s="151"/>
      <c r="H15" s="151"/>
      <c r="I15" s="151"/>
      <c r="J15" s="151"/>
      <c r="K15" s="151"/>
      <c r="L15" s="151"/>
      <c r="M15" s="151"/>
      <c r="N15" s="151"/>
      <c r="O15" s="151"/>
      <c r="P15" s="151"/>
      <c r="Q15" s="151"/>
      <c r="R15" s="151"/>
      <c r="S15" s="151"/>
      <c r="T15" s="151"/>
      <c r="U15" s="151"/>
      <c r="V15" s="79"/>
      <c r="W15" s="80">
        <v>45</v>
      </c>
      <c r="X15" s="85">
        <f>'PF64'!U54</f>
        <v>0</v>
      </c>
    </row>
    <row r="16" spans="1:29" ht="15" customHeight="1" x14ac:dyDescent="0.55000000000000004">
      <c r="B16" s="81"/>
      <c r="C16" s="84">
        <f>'PF64'!U14</f>
        <v>0</v>
      </c>
      <c r="D16" s="78">
        <v>5</v>
      </c>
      <c r="E16" s="79"/>
      <c r="F16" s="151"/>
      <c r="G16" s="151"/>
      <c r="H16" s="151"/>
      <c r="I16" s="151"/>
      <c r="J16" s="151"/>
      <c r="K16" s="151"/>
      <c r="L16" s="151"/>
      <c r="M16" s="151"/>
      <c r="N16" s="151"/>
      <c r="O16" s="151"/>
      <c r="P16" s="151"/>
      <c r="Q16" s="151"/>
      <c r="R16" s="151"/>
      <c r="S16" s="151"/>
      <c r="T16" s="151"/>
      <c r="U16" s="151"/>
      <c r="V16" s="79"/>
      <c r="W16" s="80">
        <v>44</v>
      </c>
      <c r="X16" s="85">
        <f>'PF64'!U53</f>
        <v>0</v>
      </c>
    </row>
    <row r="17" spans="2:24" ht="15" customHeight="1" x14ac:dyDescent="0.55000000000000004">
      <c r="B17" s="81"/>
      <c r="C17" s="84">
        <f>'PF64'!U15</f>
        <v>0</v>
      </c>
      <c r="D17" s="78">
        <v>6</v>
      </c>
      <c r="E17" s="79"/>
      <c r="F17" s="151"/>
      <c r="G17" s="151"/>
      <c r="H17" s="151"/>
      <c r="I17" s="151"/>
      <c r="J17" s="151"/>
      <c r="K17" s="151"/>
      <c r="L17" s="151"/>
      <c r="M17" s="151"/>
      <c r="N17" s="151"/>
      <c r="O17" s="151"/>
      <c r="P17" s="151"/>
      <c r="Q17" s="151"/>
      <c r="R17" s="151"/>
      <c r="S17" s="151"/>
      <c r="T17" s="151"/>
      <c r="U17" s="151"/>
      <c r="V17" s="79"/>
      <c r="W17" s="80">
        <v>43</v>
      </c>
      <c r="X17" s="85">
        <f>'PF64'!U52</f>
        <v>0</v>
      </c>
    </row>
    <row r="18" spans="2:24" ht="15" customHeight="1" x14ac:dyDescent="0.55000000000000004">
      <c r="B18" s="81"/>
      <c r="C18" s="84">
        <f>'PF64'!U16</f>
        <v>0</v>
      </c>
      <c r="D18" s="78">
        <v>7</v>
      </c>
      <c r="E18" s="79"/>
      <c r="F18" s="151"/>
      <c r="G18" s="151"/>
      <c r="H18" s="151"/>
      <c r="I18" s="151"/>
      <c r="J18" s="151"/>
      <c r="K18" s="151"/>
      <c r="L18" s="151"/>
      <c r="M18" s="151"/>
      <c r="N18" s="151"/>
      <c r="O18" s="151"/>
      <c r="P18" s="151"/>
      <c r="Q18" s="151"/>
      <c r="R18" s="151"/>
      <c r="S18" s="151"/>
      <c r="T18" s="151"/>
      <c r="U18" s="151"/>
      <c r="V18" s="79"/>
      <c r="W18" s="80">
        <v>42</v>
      </c>
      <c r="X18" s="85">
        <f>'PF64'!U51</f>
        <v>0</v>
      </c>
    </row>
    <row r="19" spans="2:24" ht="15" customHeight="1" x14ac:dyDescent="0.55000000000000004">
      <c r="B19" s="81"/>
      <c r="C19" s="84">
        <f>'PF64'!U17</f>
        <v>0</v>
      </c>
      <c r="D19" s="78">
        <v>8</v>
      </c>
      <c r="E19" s="79"/>
      <c r="F19" s="151"/>
      <c r="G19" s="151"/>
      <c r="H19" s="151"/>
      <c r="I19" s="151"/>
      <c r="J19" s="151"/>
      <c r="K19" s="151"/>
      <c r="L19" s="151"/>
      <c r="M19" s="151"/>
      <c r="N19" s="151"/>
      <c r="O19" s="151"/>
      <c r="P19" s="151"/>
      <c r="Q19" s="151"/>
      <c r="R19" s="151"/>
      <c r="S19" s="151"/>
      <c r="T19" s="151"/>
      <c r="U19" s="151"/>
      <c r="V19" s="79"/>
      <c r="W19" s="80">
        <v>41</v>
      </c>
      <c r="X19" s="85">
        <f>'PF64'!U50</f>
        <v>0</v>
      </c>
    </row>
    <row r="20" spans="2:24" ht="15" customHeight="1" x14ac:dyDescent="0.55000000000000004">
      <c r="B20" s="81"/>
      <c r="C20" s="84">
        <f>'PF64'!U18</f>
        <v>0</v>
      </c>
      <c r="D20" s="78">
        <v>9</v>
      </c>
      <c r="E20" s="79"/>
      <c r="F20" s="151"/>
      <c r="G20" s="151"/>
      <c r="H20" s="151"/>
      <c r="I20" s="151"/>
      <c r="J20" s="151"/>
      <c r="K20" s="151"/>
      <c r="L20" s="151"/>
      <c r="M20" s="151"/>
      <c r="N20" s="151"/>
      <c r="O20" s="151"/>
      <c r="P20" s="151"/>
      <c r="Q20" s="151"/>
      <c r="R20" s="151"/>
      <c r="S20" s="151"/>
      <c r="T20" s="151"/>
      <c r="U20" s="151"/>
      <c r="V20" s="79"/>
      <c r="W20" s="80">
        <v>40</v>
      </c>
      <c r="X20" s="85">
        <f>'PF64'!U49</f>
        <v>0</v>
      </c>
    </row>
    <row r="21" spans="2:24" ht="15" customHeight="1" x14ac:dyDescent="0.55000000000000004">
      <c r="B21" s="81"/>
      <c r="C21" s="84">
        <f>'PF64'!U19</f>
        <v>0</v>
      </c>
      <c r="D21" s="78">
        <v>10</v>
      </c>
      <c r="E21" s="79"/>
      <c r="F21" s="151"/>
      <c r="G21" s="151"/>
      <c r="H21" s="151"/>
      <c r="I21" s="151"/>
      <c r="J21" s="151"/>
      <c r="K21" s="151"/>
      <c r="L21" s="151"/>
      <c r="M21" s="151"/>
      <c r="N21" s="151"/>
      <c r="O21" s="151"/>
      <c r="P21" s="151"/>
      <c r="Q21" s="151"/>
      <c r="R21" s="151"/>
      <c r="S21" s="151"/>
      <c r="T21" s="151"/>
      <c r="U21" s="151"/>
      <c r="V21" s="79"/>
      <c r="W21" s="80">
        <v>39</v>
      </c>
      <c r="X21" s="85">
        <f>'PF64'!U48</f>
        <v>0</v>
      </c>
    </row>
    <row r="22" spans="2:24" ht="15" customHeight="1" x14ac:dyDescent="0.55000000000000004">
      <c r="B22" s="81"/>
      <c r="C22" s="84">
        <f>'PF64'!U20</f>
        <v>0</v>
      </c>
      <c r="D22" s="78">
        <v>11</v>
      </c>
      <c r="E22" s="79"/>
      <c r="F22" s="151"/>
      <c r="G22" s="151"/>
      <c r="H22" s="151"/>
      <c r="I22" s="151"/>
      <c r="J22" s="151"/>
      <c r="K22" s="151"/>
      <c r="L22" s="151"/>
      <c r="M22" s="151"/>
      <c r="N22" s="151"/>
      <c r="O22" s="151"/>
      <c r="P22" s="151"/>
      <c r="Q22" s="151"/>
      <c r="R22" s="151"/>
      <c r="S22" s="151"/>
      <c r="T22" s="151"/>
      <c r="U22" s="151"/>
      <c r="V22" s="79"/>
      <c r="W22" s="80">
        <v>38</v>
      </c>
      <c r="X22" s="85">
        <f>'PF64'!U47</f>
        <v>0</v>
      </c>
    </row>
    <row r="23" spans="2:24" ht="15" customHeight="1" x14ac:dyDescent="0.55000000000000004">
      <c r="B23" s="81"/>
      <c r="C23" s="84">
        <f>'PF64'!U21</f>
        <v>0</v>
      </c>
      <c r="D23" s="78">
        <v>12</v>
      </c>
      <c r="E23" s="79"/>
      <c r="F23" s="151"/>
      <c r="G23" s="151"/>
      <c r="H23" s="151"/>
      <c r="I23" s="151"/>
      <c r="J23" s="151"/>
      <c r="K23" s="151"/>
      <c r="L23" s="151"/>
      <c r="M23" s="151"/>
      <c r="N23" s="151"/>
      <c r="O23" s="151"/>
      <c r="P23" s="151"/>
      <c r="Q23" s="151"/>
      <c r="R23" s="151"/>
      <c r="S23" s="151"/>
      <c r="T23" s="151"/>
      <c r="U23" s="151"/>
      <c r="V23" s="79"/>
      <c r="W23" s="80">
        <v>37</v>
      </c>
      <c r="X23" s="85">
        <f>'PF64'!U46</f>
        <v>0</v>
      </c>
    </row>
    <row r="24" spans="2:24" ht="15" customHeight="1" x14ac:dyDescent="0.55000000000000004">
      <c r="B24" s="81"/>
      <c r="C24" s="84">
        <f>'PF64'!U22</f>
        <v>0</v>
      </c>
      <c r="D24" s="78">
        <v>13</v>
      </c>
      <c r="E24" s="79"/>
      <c r="F24" s="151"/>
      <c r="G24" s="151"/>
      <c r="H24" s="151"/>
      <c r="I24" s="151"/>
      <c r="J24" s="151"/>
      <c r="K24" s="151"/>
      <c r="L24" s="151"/>
      <c r="M24" s="151"/>
      <c r="N24" s="151"/>
      <c r="O24" s="151"/>
      <c r="P24" s="151"/>
      <c r="Q24" s="151"/>
      <c r="R24" s="151"/>
      <c r="S24" s="151"/>
      <c r="T24" s="151"/>
      <c r="U24" s="151"/>
      <c r="V24" s="79"/>
      <c r="W24" s="80">
        <v>36</v>
      </c>
      <c r="X24" s="85">
        <f>'PF64'!U45</f>
        <v>0</v>
      </c>
    </row>
    <row r="25" spans="2:24" ht="15" customHeight="1" x14ac:dyDescent="0.55000000000000004">
      <c r="B25" s="81"/>
      <c r="C25" s="84">
        <f>'PF64'!U23</f>
        <v>0</v>
      </c>
      <c r="D25" s="78">
        <v>14</v>
      </c>
      <c r="E25" s="79"/>
      <c r="F25" s="151"/>
      <c r="G25" s="151"/>
      <c r="H25" s="151"/>
      <c r="I25" s="151"/>
      <c r="J25" s="151"/>
      <c r="K25" s="151"/>
      <c r="L25" s="151"/>
      <c r="M25" s="151"/>
      <c r="N25" s="151"/>
      <c r="O25" s="151"/>
      <c r="P25" s="151"/>
      <c r="Q25" s="151"/>
      <c r="R25" s="151"/>
      <c r="S25" s="151"/>
      <c r="T25" s="151"/>
      <c r="U25" s="151"/>
      <c r="V25" s="79"/>
      <c r="W25" s="80">
        <v>35</v>
      </c>
      <c r="X25" s="85">
        <f>'PF64'!U44</f>
        <v>0</v>
      </c>
    </row>
    <row r="26" spans="2:24" ht="15" customHeight="1" x14ac:dyDescent="0.55000000000000004">
      <c r="B26" s="81"/>
      <c r="C26" s="84">
        <f>'PF64'!U24</f>
        <v>0</v>
      </c>
      <c r="D26" s="78">
        <v>15</v>
      </c>
      <c r="E26" s="79"/>
      <c r="F26" s="151"/>
      <c r="G26" s="151"/>
      <c r="H26" s="151"/>
      <c r="I26" s="151"/>
      <c r="J26" s="151"/>
      <c r="K26" s="151"/>
      <c r="L26" s="151"/>
      <c r="M26" s="151"/>
      <c r="N26" s="151"/>
      <c r="O26" s="151"/>
      <c r="P26" s="151"/>
      <c r="Q26" s="151"/>
      <c r="R26" s="151"/>
      <c r="S26" s="151"/>
      <c r="T26" s="151"/>
      <c r="U26" s="151"/>
      <c r="V26" s="79"/>
      <c r="W26" s="80">
        <v>34</v>
      </c>
      <c r="X26" s="85">
        <f>'PF64'!U43</f>
        <v>0</v>
      </c>
    </row>
    <row r="27" spans="2:24" ht="15" customHeight="1" x14ac:dyDescent="0.55000000000000004">
      <c r="B27" s="81"/>
      <c r="C27" s="86" t="str">
        <f>'PF64'!U25</f>
        <v>VDDD</v>
      </c>
      <c r="D27" s="78">
        <v>16</v>
      </c>
      <c r="E27" s="79"/>
      <c r="F27" s="151"/>
      <c r="G27" s="151"/>
      <c r="H27" s="151"/>
      <c r="I27" s="151"/>
      <c r="J27" s="151"/>
      <c r="K27" s="151"/>
      <c r="L27" s="151"/>
      <c r="M27" s="151"/>
      <c r="N27" s="151"/>
      <c r="O27" s="151"/>
      <c r="P27" s="151"/>
      <c r="Q27" s="151"/>
      <c r="R27" s="151"/>
      <c r="S27" s="151"/>
      <c r="T27" s="151"/>
      <c r="U27" s="151"/>
      <c r="V27" s="79"/>
      <c r="W27" s="80">
        <v>33</v>
      </c>
      <c r="X27" s="87" t="str">
        <f>'PF64'!U42</f>
        <v>VSSD</v>
      </c>
    </row>
    <row r="28" spans="2:24" ht="15" customHeight="1" x14ac:dyDescent="0.55000000000000004">
      <c r="D28" s="78"/>
      <c r="E28" s="79"/>
      <c r="F28" s="79"/>
      <c r="G28" s="79"/>
      <c r="H28" s="79"/>
      <c r="I28" s="79"/>
      <c r="J28" s="79"/>
      <c r="K28" s="79"/>
      <c r="L28" s="79"/>
      <c r="M28" s="79"/>
      <c r="N28" s="79"/>
      <c r="O28" s="79"/>
      <c r="P28" s="79"/>
      <c r="Q28" s="79"/>
      <c r="R28" s="79"/>
      <c r="S28" s="79"/>
      <c r="T28" s="79"/>
      <c r="U28" s="79"/>
      <c r="V28" s="79"/>
      <c r="W28" s="80"/>
    </row>
    <row r="29" spans="2:24" ht="15" customHeight="1" x14ac:dyDescent="0.55000000000000004">
      <c r="D29" s="77"/>
      <c r="E29" s="88"/>
      <c r="F29" s="88">
        <v>17</v>
      </c>
      <c r="G29" s="88">
        <v>18</v>
      </c>
      <c r="H29" s="88">
        <v>19</v>
      </c>
      <c r="I29" s="88">
        <v>20</v>
      </c>
      <c r="J29" s="88">
        <v>21</v>
      </c>
      <c r="K29" s="88">
        <v>22</v>
      </c>
      <c r="L29" s="88">
        <v>23</v>
      </c>
      <c r="M29" s="88">
        <v>24</v>
      </c>
      <c r="N29" s="88">
        <v>25</v>
      </c>
      <c r="O29" s="88">
        <v>26</v>
      </c>
      <c r="P29" s="88">
        <v>27</v>
      </c>
      <c r="Q29" s="88">
        <v>28</v>
      </c>
      <c r="R29" s="88">
        <v>29</v>
      </c>
      <c r="S29" s="88">
        <v>30</v>
      </c>
      <c r="T29" s="88">
        <v>31</v>
      </c>
      <c r="U29" s="88">
        <v>32</v>
      </c>
      <c r="V29" s="88"/>
      <c r="W29" s="75"/>
    </row>
    <row r="30" spans="2:24" ht="105" customHeight="1" x14ac:dyDescent="0.55000000000000004">
      <c r="F30" s="89" t="str">
        <f>'PF64'!U26</f>
        <v>VSSD</v>
      </c>
      <c r="G30" s="91">
        <f>'PF64'!U27</f>
        <v>0</v>
      </c>
      <c r="H30" s="91">
        <f>'PF64'!U28</f>
        <v>0</v>
      </c>
      <c r="I30" s="91">
        <f>'PF64'!U29</f>
        <v>0</v>
      </c>
      <c r="J30" s="91">
        <f>'PF64'!U30</f>
        <v>0</v>
      </c>
      <c r="K30" s="91">
        <f>'PF64'!U31</f>
        <v>0</v>
      </c>
      <c r="L30" s="91">
        <f>'PF64'!U32</f>
        <v>0</v>
      </c>
      <c r="M30" s="91">
        <f>'PF64'!U33</f>
        <v>0</v>
      </c>
      <c r="N30" s="91">
        <f>'PF64'!U34</f>
        <v>0</v>
      </c>
      <c r="O30" s="92" t="str">
        <f>'PF64'!U35</f>
        <v>VREFL</v>
      </c>
      <c r="P30" s="89" t="str">
        <f>'PF64'!U36</f>
        <v>VSSA</v>
      </c>
      <c r="Q30" s="90" t="str">
        <f>'PF64'!U37</f>
        <v>VDDA</v>
      </c>
      <c r="R30" s="92" t="str">
        <f>'PF64'!U38</f>
        <v>VREFH</v>
      </c>
      <c r="S30" s="91">
        <f>'PF64'!U39</f>
        <v>0</v>
      </c>
      <c r="T30" s="91">
        <f>'PF64'!U40</f>
        <v>0</v>
      </c>
      <c r="U30" s="90" t="str">
        <f>'PF64'!U41</f>
        <v>VDDIO_2</v>
      </c>
    </row>
    <row r="41" spans="2:29" ht="15" customHeight="1" x14ac:dyDescent="0.55000000000000004">
      <c r="B41" s="154" t="s">
        <v>849</v>
      </c>
      <c r="C41" s="154"/>
      <c r="D41" s="154"/>
      <c r="E41" s="154"/>
      <c r="F41" s="154"/>
      <c r="G41" s="154"/>
      <c r="H41" s="154"/>
      <c r="I41" s="154"/>
      <c r="J41" s="154"/>
      <c r="K41" s="154"/>
      <c r="L41" s="154"/>
      <c r="M41" s="154"/>
      <c r="N41" s="154"/>
      <c r="O41" s="154"/>
      <c r="P41" s="154"/>
      <c r="Q41" s="154"/>
      <c r="R41" s="154"/>
      <c r="S41" s="154"/>
      <c r="T41" s="154"/>
      <c r="U41" s="154"/>
      <c r="V41" s="154"/>
      <c r="W41" s="154"/>
      <c r="X41" s="154"/>
      <c r="Y41" s="154"/>
      <c r="Z41" s="157"/>
      <c r="AA41" s="157"/>
      <c r="AB41" s="157"/>
      <c r="AC41" s="157"/>
    </row>
    <row r="42" spans="2:29" ht="175" customHeight="1" x14ac:dyDescent="0.55000000000000004">
      <c r="B42" s="153" t="s">
        <v>850</v>
      </c>
      <c r="C42" s="153"/>
      <c r="D42" s="153"/>
      <c r="E42" s="153"/>
      <c r="F42" s="153"/>
      <c r="G42" s="153"/>
      <c r="H42" s="153"/>
      <c r="I42" s="153"/>
      <c r="J42" s="153"/>
      <c r="K42" s="153"/>
      <c r="L42" s="153"/>
      <c r="M42" s="153"/>
      <c r="N42" s="153"/>
      <c r="O42" s="153"/>
      <c r="P42" s="153"/>
      <c r="Q42" s="153"/>
      <c r="R42" s="153"/>
      <c r="S42" s="153"/>
      <c r="T42" s="153"/>
      <c r="U42" s="153"/>
      <c r="V42" s="153"/>
      <c r="W42" s="153"/>
      <c r="X42" s="153"/>
      <c r="Y42" s="153"/>
      <c r="Z42" s="158"/>
      <c r="AA42" s="158"/>
      <c r="AB42" s="158"/>
      <c r="AC42" s="158"/>
    </row>
  </sheetData>
  <sheetProtection algorithmName="SHA-512" hashValue="TTsVKH6t/bsnBn1A7RgYTS2+fryHx9rj1E0KbYmvhiWHN3MuS30x+JgBOmO4uHUJaXE/Kdol/Qj7xhn3Oaf1kw==" saltValue="WepQMEcrTVfOk7tOdYFXOw==" spinCount="100000" sheet="1" objects="1" scenarios="1" formatCells="0" formatColumns="0" formatRows="0" insertColumns="0" insertRows="0" insertHyperlinks="0" deleteColumns="0" deleteRows="0" selectLockedCells="1" sort="0" autoFilter="0" pivotTables="0"/>
  <mergeCells count="3">
    <mergeCell ref="F12:U27"/>
    <mergeCell ref="B42:Y42"/>
    <mergeCell ref="B41:Y41"/>
  </mergeCells>
  <phoneticPr fontId="3"/>
  <pageMargins left="0.7" right="0.7" top="0.75" bottom="0.75" header="0.3" footer="0.3"/>
  <pageSetup paperSize="9" orientation="portrait" r:id="rId1"/>
  <ignoredErrors>
    <ignoredError sqref="F9:U9 C12:C27 F30:U30 X12:X27" unlockedFormula="1"/>
  </ignoredError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40337-245C-4E07-AE4C-2F8F0371D9FE}">
  <dimension ref="B2:D7"/>
  <sheetViews>
    <sheetView workbookViewId="0">
      <selection activeCell="D10" sqref="D10"/>
    </sheetView>
  </sheetViews>
  <sheetFormatPr defaultColWidth="8.83203125" defaultRowHeight="14" x14ac:dyDescent="0.3"/>
  <cols>
    <col min="1" max="1" width="4.6640625" style="1" customWidth="1"/>
    <col min="2" max="2" width="10.6640625" style="1" customWidth="1"/>
    <col min="3" max="3" width="12.6640625" style="1" customWidth="1"/>
    <col min="4" max="4" width="80.6640625" style="1" customWidth="1"/>
    <col min="5" max="16384" width="8.83203125" style="1"/>
  </cols>
  <sheetData>
    <row r="2" spans="2:4" x14ac:dyDescent="0.3">
      <c r="B2" s="2" t="s">
        <v>839</v>
      </c>
    </row>
    <row r="4" spans="2:4" x14ac:dyDescent="0.3">
      <c r="B4" s="3" t="s">
        <v>840</v>
      </c>
      <c r="C4" s="3" t="s">
        <v>841</v>
      </c>
      <c r="D4" s="3" t="s">
        <v>842</v>
      </c>
    </row>
    <row r="5" spans="2:4" x14ac:dyDescent="0.3">
      <c r="B5" s="4" t="s">
        <v>843</v>
      </c>
      <c r="C5" s="5" t="s">
        <v>844</v>
      </c>
      <c r="D5" s="6" t="s">
        <v>845</v>
      </c>
    </row>
    <row r="6" spans="2:4" ht="42" x14ac:dyDescent="0.3">
      <c r="B6" s="7" t="s">
        <v>846</v>
      </c>
      <c r="C6" s="5" t="s">
        <v>1187</v>
      </c>
      <c r="D6" s="115" t="s">
        <v>1188</v>
      </c>
    </row>
    <row r="7" spans="2:4" x14ac:dyDescent="0.3">
      <c r="B7" s="7"/>
      <c r="C7" s="5"/>
      <c r="D7" s="8"/>
    </row>
  </sheetData>
  <sheetProtection algorithmName="SHA-512" hashValue="iNfnWjJ9TQ8Frjm/WMb/xh3O9zydAwQu3dTgA8/BcKGwSTC+kWrH2udhWXWep9T4MLg7rZEFxGsY9do3nTB7gg==" saltValue="mLYDFQ6hA4RjP7Ohgd2fEg==" spinCount="100000" sheet="1" objects="1" scenarios="1"/>
  <phoneticPr fontId="3"/>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C8E94-CC74-491D-81FA-0ED891868CB3}">
  <dimension ref="A1:BQ125"/>
  <sheetViews>
    <sheetView topLeftCell="A109" zoomScale="85" zoomScaleNormal="85" workbookViewId="0">
      <selection activeCell="G75" sqref="G75"/>
    </sheetView>
  </sheetViews>
  <sheetFormatPr defaultRowHeight="10" x14ac:dyDescent="0.55000000000000004"/>
  <cols>
    <col min="1" max="1" width="8.58203125" style="40"/>
    <col min="2" max="2" width="14.08203125" style="40" bestFit="1" customWidth="1"/>
    <col min="3" max="3" width="12.08203125" style="40" bestFit="1" customWidth="1"/>
    <col min="4" max="66" width="6.08203125" style="40" customWidth="1"/>
    <col min="67" max="69" width="8.58203125" style="40" customWidth="1"/>
    <col min="70" max="291" width="8.58203125" style="40"/>
    <col min="292" max="292" width="14.33203125" style="40" customWidth="1"/>
    <col min="293" max="294" width="3.33203125" style="40" customWidth="1"/>
    <col min="295" max="319" width="2.33203125" style="40" customWidth="1"/>
    <col min="320" max="321" width="3.33203125" style="40" customWidth="1"/>
    <col min="322" max="322" width="14.33203125" style="40" customWidth="1"/>
    <col min="323" max="547" width="8.58203125" style="40"/>
    <col min="548" max="548" width="14.33203125" style="40" customWidth="1"/>
    <col min="549" max="550" width="3.33203125" style="40" customWidth="1"/>
    <col min="551" max="575" width="2.33203125" style="40" customWidth="1"/>
    <col min="576" max="577" width="3.33203125" style="40" customWidth="1"/>
    <col min="578" max="578" width="14.33203125" style="40" customWidth="1"/>
    <col min="579" max="803" width="8.58203125" style="40"/>
    <col min="804" max="804" width="14.33203125" style="40" customWidth="1"/>
    <col min="805" max="806" width="3.33203125" style="40" customWidth="1"/>
    <col min="807" max="831" width="2.33203125" style="40" customWidth="1"/>
    <col min="832" max="833" width="3.33203125" style="40" customWidth="1"/>
    <col min="834" max="834" width="14.33203125" style="40" customWidth="1"/>
    <col min="835" max="1059" width="8.58203125" style="40"/>
    <col min="1060" max="1060" width="14.33203125" style="40" customWidth="1"/>
    <col min="1061" max="1062" width="3.33203125" style="40" customWidth="1"/>
    <col min="1063" max="1087" width="2.33203125" style="40" customWidth="1"/>
    <col min="1088" max="1089" width="3.33203125" style="40" customWidth="1"/>
    <col min="1090" max="1090" width="14.33203125" style="40" customWidth="1"/>
    <col min="1091" max="1315" width="8.58203125" style="40"/>
    <col min="1316" max="1316" width="14.33203125" style="40" customWidth="1"/>
    <col min="1317" max="1318" width="3.33203125" style="40" customWidth="1"/>
    <col min="1319" max="1343" width="2.33203125" style="40" customWidth="1"/>
    <col min="1344" max="1345" width="3.33203125" style="40" customWidth="1"/>
    <col min="1346" max="1346" width="14.33203125" style="40" customWidth="1"/>
    <col min="1347" max="1571" width="8.58203125" style="40"/>
    <col min="1572" max="1572" width="14.33203125" style="40" customWidth="1"/>
    <col min="1573" max="1574" width="3.33203125" style="40" customWidth="1"/>
    <col min="1575" max="1599" width="2.33203125" style="40" customWidth="1"/>
    <col min="1600" max="1601" width="3.33203125" style="40" customWidth="1"/>
    <col min="1602" max="1602" width="14.33203125" style="40" customWidth="1"/>
    <col min="1603" max="1827" width="8.58203125" style="40"/>
    <col min="1828" max="1828" width="14.33203125" style="40" customWidth="1"/>
    <col min="1829" max="1830" width="3.33203125" style="40" customWidth="1"/>
    <col min="1831" max="1855" width="2.33203125" style="40" customWidth="1"/>
    <col min="1856" max="1857" width="3.33203125" style="40" customWidth="1"/>
    <col min="1858" max="1858" width="14.33203125" style="40" customWidth="1"/>
    <col min="1859" max="2083" width="8.58203125" style="40"/>
    <col min="2084" max="2084" width="14.33203125" style="40" customWidth="1"/>
    <col min="2085" max="2086" width="3.33203125" style="40" customWidth="1"/>
    <col min="2087" max="2111" width="2.33203125" style="40" customWidth="1"/>
    <col min="2112" max="2113" width="3.33203125" style="40" customWidth="1"/>
    <col min="2114" max="2114" width="14.33203125" style="40" customWidth="1"/>
    <col min="2115" max="2339" width="8.58203125" style="40"/>
    <col min="2340" max="2340" width="14.33203125" style="40" customWidth="1"/>
    <col min="2341" max="2342" width="3.33203125" style="40" customWidth="1"/>
    <col min="2343" max="2367" width="2.33203125" style="40" customWidth="1"/>
    <col min="2368" max="2369" width="3.33203125" style="40" customWidth="1"/>
    <col min="2370" max="2370" width="14.33203125" style="40" customWidth="1"/>
    <col min="2371" max="2595" width="8.58203125" style="40"/>
    <col min="2596" max="2596" width="14.33203125" style="40" customWidth="1"/>
    <col min="2597" max="2598" width="3.33203125" style="40" customWidth="1"/>
    <col min="2599" max="2623" width="2.33203125" style="40" customWidth="1"/>
    <col min="2624" max="2625" width="3.33203125" style="40" customWidth="1"/>
    <col min="2626" max="2626" width="14.33203125" style="40" customWidth="1"/>
    <col min="2627" max="2851" width="8.58203125" style="40"/>
    <col min="2852" max="2852" width="14.33203125" style="40" customWidth="1"/>
    <col min="2853" max="2854" width="3.33203125" style="40" customWidth="1"/>
    <col min="2855" max="2879" width="2.33203125" style="40" customWidth="1"/>
    <col min="2880" max="2881" width="3.33203125" style="40" customWidth="1"/>
    <col min="2882" max="2882" width="14.33203125" style="40" customWidth="1"/>
    <col min="2883" max="3107" width="8.58203125" style="40"/>
    <col min="3108" max="3108" width="14.33203125" style="40" customWidth="1"/>
    <col min="3109" max="3110" width="3.33203125" style="40" customWidth="1"/>
    <col min="3111" max="3135" width="2.33203125" style="40" customWidth="1"/>
    <col min="3136" max="3137" width="3.33203125" style="40" customWidth="1"/>
    <col min="3138" max="3138" width="14.33203125" style="40" customWidth="1"/>
    <col min="3139" max="3363" width="8.58203125" style="40"/>
    <col min="3364" max="3364" width="14.33203125" style="40" customWidth="1"/>
    <col min="3365" max="3366" width="3.33203125" style="40" customWidth="1"/>
    <col min="3367" max="3391" width="2.33203125" style="40" customWidth="1"/>
    <col min="3392" max="3393" width="3.33203125" style="40" customWidth="1"/>
    <col min="3394" max="3394" width="14.33203125" style="40" customWidth="1"/>
    <col min="3395" max="3619" width="8.58203125" style="40"/>
    <col min="3620" max="3620" width="14.33203125" style="40" customWidth="1"/>
    <col min="3621" max="3622" width="3.33203125" style="40" customWidth="1"/>
    <col min="3623" max="3647" width="2.33203125" style="40" customWidth="1"/>
    <col min="3648" max="3649" width="3.33203125" style="40" customWidth="1"/>
    <col min="3650" max="3650" width="14.33203125" style="40" customWidth="1"/>
    <col min="3651" max="3875" width="8.58203125" style="40"/>
    <col min="3876" max="3876" width="14.33203125" style="40" customWidth="1"/>
    <col min="3877" max="3878" width="3.33203125" style="40" customWidth="1"/>
    <col min="3879" max="3903" width="2.33203125" style="40" customWidth="1"/>
    <col min="3904" max="3905" width="3.33203125" style="40" customWidth="1"/>
    <col min="3906" max="3906" width="14.33203125" style="40" customWidth="1"/>
    <col min="3907" max="4131" width="8.58203125" style="40"/>
    <col min="4132" max="4132" width="14.33203125" style="40" customWidth="1"/>
    <col min="4133" max="4134" width="3.33203125" style="40" customWidth="1"/>
    <col min="4135" max="4159" width="2.33203125" style="40" customWidth="1"/>
    <col min="4160" max="4161" width="3.33203125" style="40" customWidth="1"/>
    <col min="4162" max="4162" width="14.33203125" style="40" customWidth="1"/>
    <col min="4163" max="4387" width="8.58203125" style="40"/>
    <col min="4388" max="4388" width="14.33203125" style="40" customWidth="1"/>
    <col min="4389" max="4390" width="3.33203125" style="40" customWidth="1"/>
    <col min="4391" max="4415" width="2.33203125" style="40" customWidth="1"/>
    <col min="4416" max="4417" width="3.33203125" style="40" customWidth="1"/>
    <col min="4418" max="4418" width="14.33203125" style="40" customWidth="1"/>
    <col min="4419" max="4643" width="8.58203125" style="40"/>
    <col min="4644" max="4644" width="14.33203125" style="40" customWidth="1"/>
    <col min="4645" max="4646" width="3.33203125" style="40" customWidth="1"/>
    <col min="4647" max="4671" width="2.33203125" style="40" customWidth="1"/>
    <col min="4672" max="4673" width="3.33203125" style="40" customWidth="1"/>
    <col min="4674" max="4674" width="14.33203125" style="40" customWidth="1"/>
    <col min="4675" max="4899" width="8.58203125" style="40"/>
    <col min="4900" max="4900" width="14.33203125" style="40" customWidth="1"/>
    <col min="4901" max="4902" width="3.33203125" style="40" customWidth="1"/>
    <col min="4903" max="4927" width="2.33203125" style="40" customWidth="1"/>
    <col min="4928" max="4929" width="3.33203125" style="40" customWidth="1"/>
    <col min="4930" max="4930" width="14.33203125" style="40" customWidth="1"/>
    <col min="4931" max="5155" width="8.58203125" style="40"/>
    <col min="5156" max="5156" width="14.33203125" style="40" customWidth="1"/>
    <col min="5157" max="5158" width="3.33203125" style="40" customWidth="1"/>
    <col min="5159" max="5183" width="2.33203125" style="40" customWidth="1"/>
    <col min="5184" max="5185" width="3.33203125" style="40" customWidth="1"/>
    <col min="5186" max="5186" width="14.33203125" style="40" customWidth="1"/>
    <col min="5187" max="5411" width="8.58203125" style="40"/>
    <col min="5412" max="5412" width="14.33203125" style="40" customWidth="1"/>
    <col min="5413" max="5414" width="3.33203125" style="40" customWidth="1"/>
    <col min="5415" max="5439" width="2.33203125" style="40" customWidth="1"/>
    <col min="5440" max="5441" width="3.33203125" style="40" customWidth="1"/>
    <col min="5442" max="5442" width="14.33203125" style="40" customWidth="1"/>
    <col min="5443" max="5667" width="8.58203125" style="40"/>
    <col min="5668" max="5668" width="14.33203125" style="40" customWidth="1"/>
    <col min="5669" max="5670" width="3.33203125" style="40" customWidth="1"/>
    <col min="5671" max="5695" width="2.33203125" style="40" customWidth="1"/>
    <col min="5696" max="5697" width="3.33203125" style="40" customWidth="1"/>
    <col min="5698" max="5698" width="14.33203125" style="40" customWidth="1"/>
    <col min="5699" max="5923" width="8.58203125" style="40"/>
    <col min="5924" max="5924" width="14.33203125" style="40" customWidth="1"/>
    <col min="5925" max="5926" width="3.33203125" style="40" customWidth="1"/>
    <col min="5927" max="5951" width="2.33203125" style="40" customWidth="1"/>
    <col min="5952" max="5953" width="3.33203125" style="40" customWidth="1"/>
    <col min="5954" max="5954" width="14.33203125" style="40" customWidth="1"/>
    <col min="5955" max="6179" width="8.58203125" style="40"/>
    <col min="6180" max="6180" width="14.33203125" style="40" customWidth="1"/>
    <col min="6181" max="6182" width="3.33203125" style="40" customWidth="1"/>
    <col min="6183" max="6207" width="2.33203125" style="40" customWidth="1"/>
    <col min="6208" max="6209" width="3.33203125" style="40" customWidth="1"/>
    <col min="6210" max="6210" width="14.33203125" style="40" customWidth="1"/>
    <col min="6211" max="6435" width="8.58203125" style="40"/>
    <col min="6436" max="6436" width="14.33203125" style="40" customWidth="1"/>
    <col min="6437" max="6438" width="3.33203125" style="40" customWidth="1"/>
    <col min="6439" max="6463" width="2.33203125" style="40" customWidth="1"/>
    <col min="6464" max="6465" width="3.33203125" style="40" customWidth="1"/>
    <col min="6466" max="6466" width="14.33203125" style="40" customWidth="1"/>
    <col min="6467" max="6691" width="8.58203125" style="40"/>
    <col min="6692" max="6692" width="14.33203125" style="40" customWidth="1"/>
    <col min="6693" max="6694" width="3.33203125" style="40" customWidth="1"/>
    <col min="6695" max="6719" width="2.33203125" style="40" customWidth="1"/>
    <col min="6720" max="6721" width="3.33203125" style="40" customWidth="1"/>
    <col min="6722" max="6722" width="14.33203125" style="40" customWidth="1"/>
    <col min="6723" max="6947" width="8.58203125" style="40"/>
    <col min="6948" max="6948" width="14.33203125" style="40" customWidth="1"/>
    <col min="6949" max="6950" width="3.33203125" style="40" customWidth="1"/>
    <col min="6951" max="6975" width="2.33203125" style="40" customWidth="1"/>
    <col min="6976" max="6977" width="3.33203125" style="40" customWidth="1"/>
    <col min="6978" max="6978" width="14.33203125" style="40" customWidth="1"/>
    <col min="6979" max="7203" width="8.58203125" style="40"/>
    <col min="7204" max="7204" width="14.33203125" style="40" customWidth="1"/>
    <col min="7205" max="7206" width="3.33203125" style="40" customWidth="1"/>
    <col min="7207" max="7231" width="2.33203125" style="40" customWidth="1"/>
    <col min="7232" max="7233" width="3.33203125" style="40" customWidth="1"/>
    <col min="7234" max="7234" width="14.33203125" style="40" customWidth="1"/>
    <col min="7235" max="7459" width="8.58203125" style="40"/>
    <col min="7460" max="7460" width="14.33203125" style="40" customWidth="1"/>
    <col min="7461" max="7462" width="3.33203125" style="40" customWidth="1"/>
    <col min="7463" max="7487" width="2.33203125" style="40" customWidth="1"/>
    <col min="7488" max="7489" width="3.33203125" style="40" customWidth="1"/>
    <col min="7490" max="7490" width="14.33203125" style="40" customWidth="1"/>
    <col min="7491" max="7715" width="8.58203125" style="40"/>
    <col min="7716" max="7716" width="14.33203125" style="40" customWidth="1"/>
    <col min="7717" max="7718" width="3.33203125" style="40" customWidth="1"/>
    <col min="7719" max="7743" width="2.33203125" style="40" customWidth="1"/>
    <col min="7744" max="7745" width="3.33203125" style="40" customWidth="1"/>
    <col min="7746" max="7746" width="14.33203125" style="40" customWidth="1"/>
    <col min="7747" max="7971" width="8.58203125" style="40"/>
    <col min="7972" max="7972" width="14.33203125" style="40" customWidth="1"/>
    <col min="7973" max="7974" width="3.33203125" style="40" customWidth="1"/>
    <col min="7975" max="7999" width="2.33203125" style="40" customWidth="1"/>
    <col min="8000" max="8001" width="3.33203125" style="40" customWidth="1"/>
    <col min="8002" max="8002" width="14.33203125" style="40" customWidth="1"/>
    <col min="8003" max="8227" width="8.58203125" style="40"/>
    <col min="8228" max="8228" width="14.33203125" style="40" customWidth="1"/>
    <col min="8229" max="8230" width="3.33203125" style="40" customWidth="1"/>
    <col min="8231" max="8255" width="2.33203125" style="40" customWidth="1"/>
    <col min="8256" max="8257" width="3.33203125" style="40" customWidth="1"/>
    <col min="8258" max="8258" width="14.33203125" style="40" customWidth="1"/>
    <col min="8259" max="8483" width="8.58203125" style="40"/>
    <col min="8484" max="8484" width="14.33203125" style="40" customWidth="1"/>
    <col min="8485" max="8486" width="3.33203125" style="40" customWidth="1"/>
    <col min="8487" max="8511" width="2.33203125" style="40" customWidth="1"/>
    <col min="8512" max="8513" width="3.33203125" style="40" customWidth="1"/>
    <col min="8514" max="8514" width="14.33203125" style="40" customWidth="1"/>
    <col min="8515" max="8739" width="8.58203125" style="40"/>
    <col min="8740" max="8740" width="14.33203125" style="40" customWidth="1"/>
    <col min="8741" max="8742" width="3.33203125" style="40" customWidth="1"/>
    <col min="8743" max="8767" width="2.33203125" style="40" customWidth="1"/>
    <col min="8768" max="8769" width="3.33203125" style="40" customWidth="1"/>
    <col min="8770" max="8770" width="14.33203125" style="40" customWidth="1"/>
    <col min="8771" max="8995" width="8.58203125" style="40"/>
    <col min="8996" max="8996" width="14.33203125" style="40" customWidth="1"/>
    <col min="8997" max="8998" width="3.33203125" style="40" customWidth="1"/>
    <col min="8999" max="9023" width="2.33203125" style="40" customWidth="1"/>
    <col min="9024" max="9025" width="3.33203125" style="40" customWidth="1"/>
    <col min="9026" max="9026" width="14.33203125" style="40" customWidth="1"/>
    <col min="9027" max="9251" width="8.58203125" style="40"/>
    <col min="9252" max="9252" width="14.33203125" style="40" customWidth="1"/>
    <col min="9253" max="9254" width="3.33203125" style="40" customWidth="1"/>
    <col min="9255" max="9279" width="2.33203125" style="40" customWidth="1"/>
    <col min="9280" max="9281" width="3.33203125" style="40" customWidth="1"/>
    <col min="9282" max="9282" width="14.33203125" style="40" customWidth="1"/>
    <col min="9283" max="9507" width="8.58203125" style="40"/>
    <col min="9508" max="9508" width="14.33203125" style="40" customWidth="1"/>
    <col min="9509" max="9510" width="3.33203125" style="40" customWidth="1"/>
    <col min="9511" max="9535" width="2.33203125" style="40" customWidth="1"/>
    <col min="9536" max="9537" width="3.33203125" style="40" customWidth="1"/>
    <col min="9538" max="9538" width="14.33203125" style="40" customWidth="1"/>
    <col min="9539" max="9763" width="8.58203125" style="40"/>
    <col min="9764" max="9764" width="14.33203125" style="40" customWidth="1"/>
    <col min="9765" max="9766" width="3.33203125" style="40" customWidth="1"/>
    <col min="9767" max="9791" width="2.33203125" style="40" customWidth="1"/>
    <col min="9792" max="9793" width="3.33203125" style="40" customWidth="1"/>
    <col min="9794" max="9794" width="14.33203125" style="40" customWidth="1"/>
    <col min="9795" max="10019" width="8.58203125" style="40"/>
    <col min="10020" max="10020" width="14.33203125" style="40" customWidth="1"/>
    <col min="10021" max="10022" width="3.33203125" style="40" customWidth="1"/>
    <col min="10023" max="10047" width="2.33203125" style="40" customWidth="1"/>
    <col min="10048" max="10049" width="3.33203125" style="40" customWidth="1"/>
    <col min="10050" max="10050" width="14.33203125" style="40" customWidth="1"/>
    <col min="10051" max="10275" width="8.58203125" style="40"/>
    <col min="10276" max="10276" width="14.33203125" style="40" customWidth="1"/>
    <col min="10277" max="10278" width="3.33203125" style="40" customWidth="1"/>
    <col min="10279" max="10303" width="2.33203125" style="40" customWidth="1"/>
    <col min="10304" max="10305" width="3.33203125" style="40" customWidth="1"/>
    <col min="10306" max="10306" width="14.33203125" style="40" customWidth="1"/>
    <col min="10307" max="10531" width="8.58203125" style="40"/>
    <col min="10532" max="10532" width="14.33203125" style="40" customWidth="1"/>
    <col min="10533" max="10534" width="3.33203125" style="40" customWidth="1"/>
    <col min="10535" max="10559" width="2.33203125" style="40" customWidth="1"/>
    <col min="10560" max="10561" width="3.33203125" style="40" customWidth="1"/>
    <col min="10562" max="10562" width="14.33203125" style="40" customWidth="1"/>
    <col min="10563" max="10787" width="8.58203125" style="40"/>
    <col min="10788" max="10788" width="14.33203125" style="40" customWidth="1"/>
    <col min="10789" max="10790" width="3.33203125" style="40" customWidth="1"/>
    <col min="10791" max="10815" width="2.33203125" style="40" customWidth="1"/>
    <col min="10816" max="10817" width="3.33203125" style="40" customWidth="1"/>
    <col min="10818" max="10818" width="14.33203125" style="40" customWidth="1"/>
    <col min="10819" max="11043" width="8.58203125" style="40"/>
    <col min="11044" max="11044" width="14.33203125" style="40" customWidth="1"/>
    <col min="11045" max="11046" width="3.33203125" style="40" customWidth="1"/>
    <col min="11047" max="11071" width="2.33203125" style="40" customWidth="1"/>
    <col min="11072" max="11073" width="3.33203125" style="40" customWidth="1"/>
    <col min="11074" max="11074" width="14.33203125" style="40" customWidth="1"/>
    <col min="11075" max="11299" width="8.58203125" style="40"/>
    <col min="11300" max="11300" width="14.33203125" style="40" customWidth="1"/>
    <col min="11301" max="11302" width="3.33203125" style="40" customWidth="1"/>
    <col min="11303" max="11327" width="2.33203125" style="40" customWidth="1"/>
    <col min="11328" max="11329" width="3.33203125" style="40" customWidth="1"/>
    <col min="11330" max="11330" width="14.33203125" style="40" customWidth="1"/>
    <col min="11331" max="11555" width="8.58203125" style="40"/>
    <col min="11556" max="11556" width="14.33203125" style="40" customWidth="1"/>
    <col min="11557" max="11558" width="3.33203125" style="40" customWidth="1"/>
    <col min="11559" max="11583" width="2.33203125" style="40" customWidth="1"/>
    <col min="11584" max="11585" width="3.33203125" style="40" customWidth="1"/>
    <col min="11586" max="11586" width="14.33203125" style="40" customWidth="1"/>
    <col min="11587" max="11811" width="8.58203125" style="40"/>
    <col min="11812" max="11812" width="14.33203125" style="40" customWidth="1"/>
    <col min="11813" max="11814" width="3.33203125" style="40" customWidth="1"/>
    <col min="11815" max="11839" width="2.33203125" style="40" customWidth="1"/>
    <col min="11840" max="11841" width="3.33203125" style="40" customWidth="1"/>
    <col min="11842" max="11842" width="14.33203125" style="40" customWidth="1"/>
    <col min="11843" max="12067" width="8.58203125" style="40"/>
    <col min="12068" max="12068" width="14.33203125" style="40" customWidth="1"/>
    <col min="12069" max="12070" width="3.33203125" style="40" customWidth="1"/>
    <col min="12071" max="12095" width="2.33203125" style="40" customWidth="1"/>
    <col min="12096" max="12097" width="3.33203125" style="40" customWidth="1"/>
    <col min="12098" max="12098" width="14.33203125" style="40" customWidth="1"/>
    <col min="12099" max="12323" width="8.58203125" style="40"/>
    <col min="12324" max="12324" width="14.33203125" style="40" customWidth="1"/>
    <col min="12325" max="12326" width="3.33203125" style="40" customWidth="1"/>
    <col min="12327" max="12351" width="2.33203125" style="40" customWidth="1"/>
    <col min="12352" max="12353" width="3.33203125" style="40" customWidth="1"/>
    <col min="12354" max="12354" width="14.33203125" style="40" customWidth="1"/>
    <col min="12355" max="12579" width="8.58203125" style="40"/>
    <col min="12580" max="12580" width="14.33203125" style="40" customWidth="1"/>
    <col min="12581" max="12582" width="3.33203125" style="40" customWidth="1"/>
    <col min="12583" max="12607" width="2.33203125" style="40" customWidth="1"/>
    <col min="12608" max="12609" width="3.33203125" style="40" customWidth="1"/>
    <col min="12610" max="12610" width="14.33203125" style="40" customWidth="1"/>
    <col min="12611" max="12835" width="8.58203125" style="40"/>
    <col min="12836" max="12836" width="14.33203125" style="40" customWidth="1"/>
    <col min="12837" max="12838" width="3.33203125" style="40" customWidth="1"/>
    <col min="12839" max="12863" width="2.33203125" style="40" customWidth="1"/>
    <col min="12864" max="12865" width="3.33203125" style="40" customWidth="1"/>
    <col min="12866" max="12866" width="14.33203125" style="40" customWidth="1"/>
    <col min="12867" max="13091" width="8.58203125" style="40"/>
    <col min="13092" max="13092" width="14.33203125" style="40" customWidth="1"/>
    <col min="13093" max="13094" width="3.33203125" style="40" customWidth="1"/>
    <col min="13095" max="13119" width="2.33203125" style="40" customWidth="1"/>
    <col min="13120" max="13121" width="3.33203125" style="40" customWidth="1"/>
    <col min="13122" max="13122" width="14.33203125" style="40" customWidth="1"/>
    <col min="13123" max="13347" width="8.58203125" style="40"/>
    <col min="13348" max="13348" width="14.33203125" style="40" customWidth="1"/>
    <col min="13349" max="13350" width="3.33203125" style="40" customWidth="1"/>
    <col min="13351" max="13375" width="2.33203125" style="40" customWidth="1"/>
    <col min="13376" max="13377" width="3.33203125" style="40" customWidth="1"/>
    <col min="13378" max="13378" width="14.33203125" style="40" customWidth="1"/>
    <col min="13379" max="13603" width="8.58203125" style="40"/>
    <col min="13604" max="13604" width="14.33203125" style="40" customWidth="1"/>
    <col min="13605" max="13606" width="3.33203125" style="40" customWidth="1"/>
    <col min="13607" max="13631" width="2.33203125" style="40" customWidth="1"/>
    <col min="13632" max="13633" width="3.33203125" style="40" customWidth="1"/>
    <col min="13634" max="13634" width="14.33203125" style="40" customWidth="1"/>
    <col min="13635" max="13859" width="8.58203125" style="40"/>
    <col min="13860" max="13860" width="14.33203125" style="40" customWidth="1"/>
    <col min="13861" max="13862" width="3.33203125" style="40" customWidth="1"/>
    <col min="13863" max="13887" width="2.33203125" style="40" customWidth="1"/>
    <col min="13888" max="13889" width="3.33203125" style="40" customWidth="1"/>
    <col min="13890" max="13890" width="14.33203125" style="40" customWidth="1"/>
    <col min="13891" max="14115" width="8.58203125" style="40"/>
    <col min="14116" max="14116" width="14.33203125" style="40" customWidth="1"/>
    <col min="14117" max="14118" width="3.33203125" style="40" customWidth="1"/>
    <col min="14119" max="14143" width="2.33203125" style="40" customWidth="1"/>
    <col min="14144" max="14145" width="3.33203125" style="40" customWidth="1"/>
    <col min="14146" max="14146" width="14.33203125" style="40" customWidth="1"/>
    <col min="14147" max="14371" width="8.58203125" style="40"/>
    <col min="14372" max="14372" width="14.33203125" style="40" customWidth="1"/>
    <col min="14373" max="14374" width="3.33203125" style="40" customWidth="1"/>
    <col min="14375" max="14399" width="2.33203125" style="40" customWidth="1"/>
    <col min="14400" max="14401" width="3.33203125" style="40" customWidth="1"/>
    <col min="14402" max="14402" width="14.33203125" style="40" customWidth="1"/>
    <col min="14403" max="14627" width="8.58203125" style="40"/>
    <col min="14628" max="14628" width="14.33203125" style="40" customWidth="1"/>
    <col min="14629" max="14630" width="3.33203125" style="40" customWidth="1"/>
    <col min="14631" max="14655" width="2.33203125" style="40" customWidth="1"/>
    <col min="14656" max="14657" width="3.33203125" style="40" customWidth="1"/>
    <col min="14658" max="14658" width="14.33203125" style="40" customWidth="1"/>
    <col min="14659" max="14883" width="8.58203125" style="40"/>
    <col min="14884" max="14884" width="14.33203125" style="40" customWidth="1"/>
    <col min="14885" max="14886" width="3.33203125" style="40" customWidth="1"/>
    <col min="14887" max="14911" width="2.33203125" style="40" customWidth="1"/>
    <col min="14912" max="14913" width="3.33203125" style="40" customWidth="1"/>
    <col min="14914" max="14914" width="14.33203125" style="40" customWidth="1"/>
    <col min="14915" max="15139" width="8.58203125" style="40"/>
    <col min="15140" max="15140" width="14.33203125" style="40" customWidth="1"/>
    <col min="15141" max="15142" width="3.33203125" style="40" customWidth="1"/>
    <col min="15143" max="15167" width="2.33203125" style="40" customWidth="1"/>
    <col min="15168" max="15169" width="3.33203125" style="40" customWidth="1"/>
    <col min="15170" max="15170" width="14.33203125" style="40" customWidth="1"/>
    <col min="15171" max="15395" width="8.58203125" style="40"/>
    <col min="15396" max="15396" width="14.33203125" style="40" customWidth="1"/>
    <col min="15397" max="15398" width="3.33203125" style="40" customWidth="1"/>
    <col min="15399" max="15423" width="2.33203125" style="40" customWidth="1"/>
    <col min="15424" max="15425" width="3.33203125" style="40" customWidth="1"/>
    <col min="15426" max="15426" width="14.33203125" style="40" customWidth="1"/>
    <col min="15427" max="15651" width="8.58203125" style="40"/>
    <col min="15652" max="15652" width="14.33203125" style="40" customWidth="1"/>
    <col min="15653" max="15654" width="3.33203125" style="40" customWidth="1"/>
    <col min="15655" max="15679" width="2.33203125" style="40" customWidth="1"/>
    <col min="15680" max="15681" width="3.33203125" style="40" customWidth="1"/>
    <col min="15682" max="15682" width="14.33203125" style="40" customWidth="1"/>
    <col min="15683" max="15907" width="8.58203125" style="40"/>
    <col min="15908" max="15908" width="14.33203125" style="40" customWidth="1"/>
    <col min="15909" max="15910" width="3.33203125" style="40" customWidth="1"/>
    <col min="15911" max="15935" width="2.33203125" style="40" customWidth="1"/>
    <col min="15936" max="15937" width="3.33203125" style="40" customWidth="1"/>
    <col min="15938" max="15938" width="14.33203125" style="40" customWidth="1"/>
    <col min="15939" max="16163" width="8.58203125" style="40"/>
    <col min="16164" max="16164" width="14.33203125" style="40" customWidth="1"/>
    <col min="16165" max="16166" width="3.33203125" style="40" customWidth="1"/>
    <col min="16167" max="16191" width="2.33203125" style="40" customWidth="1"/>
    <col min="16192" max="16193" width="3.33203125" style="40" customWidth="1"/>
    <col min="16194" max="16194" width="14.33203125" style="40" customWidth="1"/>
    <col min="16195" max="16384" width="8.58203125" style="40"/>
  </cols>
  <sheetData>
    <row r="1" spans="1:69" ht="25" customHeight="1" x14ac:dyDescent="0.55000000000000004">
      <c r="A1" s="39" t="s">
        <v>575</v>
      </c>
      <c r="BO1" s="70"/>
      <c r="BP1" s="70"/>
      <c r="BQ1" s="70"/>
    </row>
    <row r="2" spans="1:69" ht="25" customHeight="1" x14ac:dyDescent="0.55000000000000004">
      <c r="A2" s="39"/>
      <c r="BO2" s="36"/>
      <c r="BP2" s="36"/>
      <c r="BQ2" s="36"/>
    </row>
    <row r="3" spans="1:69" ht="25" customHeight="1" x14ac:dyDescent="0.55000000000000004">
      <c r="A3" s="39"/>
      <c r="BO3" s="36"/>
      <c r="BP3" s="36"/>
      <c r="BQ3" s="36"/>
    </row>
    <row r="4" spans="1:69" ht="25" customHeight="1" x14ac:dyDescent="0.55000000000000004">
      <c r="A4" s="39"/>
      <c r="BO4" s="36"/>
      <c r="BP4" s="36"/>
      <c r="BQ4" s="36"/>
    </row>
    <row r="5" spans="1:69" ht="25" customHeight="1" x14ac:dyDescent="0.55000000000000004">
      <c r="A5" s="39"/>
      <c r="BN5" s="41"/>
      <c r="BO5" s="36"/>
      <c r="BP5" s="36"/>
      <c r="BQ5" s="36"/>
    </row>
    <row r="6" spans="1:69" ht="10.5" x14ac:dyDescent="0.55000000000000004">
      <c r="BO6" s="36"/>
      <c r="BP6" s="36"/>
      <c r="BQ6" s="37" t="s">
        <v>814</v>
      </c>
    </row>
    <row r="7" spans="1:69" x14ac:dyDescent="0.55000000000000004">
      <c r="B7" s="141" t="s">
        <v>385</v>
      </c>
      <c r="C7" s="142"/>
      <c r="D7" s="42" t="s">
        <v>411</v>
      </c>
      <c r="E7" s="42" t="s">
        <v>409</v>
      </c>
      <c r="F7" s="42" t="s">
        <v>412</v>
      </c>
    </row>
    <row r="8" spans="1:69" x14ac:dyDescent="0.55000000000000004">
      <c r="B8" s="143" t="s">
        <v>407</v>
      </c>
      <c r="C8" s="43" t="s">
        <v>396</v>
      </c>
      <c r="D8" s="43">
        <f>COUNTIF('PF176'!U10:U185,"CAN0_0_RX")</f>
        <v>0</v>
      </c>
      <c r="E8" s="43">
        <f>COUNTIF('PF176'!U10:U185,"CAN0_1_RX")</f>
        <v>0</v>
      </c>
      <c r="F8" s="43">
        <f>COUNTIF('PF176'!U10:U185,"CAN0_2_RX")</f>
        <v>0</v>
      </c>
    </row>
    <row r="9" spans="1:69" x14ac:dyDescent="0.55000000000000004">
      <c r="B9" s="144"/>
      <c r="C9" s="43" t="s">
        <v>395</v>
      </c>
      <c r="D9" s="43">
        <f>COUNTIF('PF176'!U10:U185,"CAN0_0_TX")</f>
        <v>0</v>
      </c>
      <c r="E9" s="43">
        <f>COUNTIF('PF176'!U10:U185,"CAN0_1_TX")</f>
        <v>0</v>
      </c>
      <c r="F9" s="43">
        <f>COUNTIF('PF176'!U10:U185,"CAN0_2_TX")</f>
        <v>0</v>
      </c>
    </row>
    <row r="11" spans="1:69" x14ac:dyDescent="0.55000000000000004">
      <c r="B11" s="141" t="s">
        <v>381</v>
      </c>
      <c r="C11" s="142"/>
      <c r="D11" s="42" t="s">
        <v>413</v>
      </c>
      <c r="E11" s="42" t="s">
        <v>415</v>
      </c>
      <c r="F11" s="42" t="s">
        <v>414</v>
      </c>
    </row>
    <row r="12" spans="1:69" x14ac:dyDescent="0.55000000000000004">
      <c r="B12" s="145" t="s">
        <v>407</v>
      </c>
      <c r="C12" s="43" t="s">
        <v>396</v>
      </c>
      <c r="D12" s="43">
        <f>COUNTIF('PF176'!U10:U185,"CAN1_0_RX")</f>
        <v>0</v>
      </c>
      <c r="E12" s="43">
        <f>COUNTIF('PF176'!U10:U185,"CAN1_1_RX")</f>
        <v>0</v>
      </c>
      <c r="F12" s="43">
        <f>COUNTIF('PF176'!U10:U185,"CAN1_2_RX")</f>
        <v>0</v>
      </c>
    </row>
    <row r="13" spans="1:69" x14ac:dyDescent="0.55000000000000004">
      <c r="B13" s="145"/>
      <c r="C13" s="43" t="s">
        <v>395</v>
      </c>
      <c r="D13" s="43">
        <f>COUNTIF('PF176'!U10:U185,"CAN1_0_TX")</f>
        <v>0</v>
      </c>
      <c r="E13" s="43">
        <f>COUNTIF('PF176'!U10:U185,"CAN1_1_TX")</f>
        <v>0</v>
      </c>
      <c r="F13" s="43">
        <f>COUNTIF('PF176'!U10:U185,"CAN1_2_TX")</f>
        <v>0</v>
      </c>
    </row>
    <row r="14" spans="1:69" x14ac:dyDescent="0.55000000000000004">
      <c r="B14" s="44"/>
      <c r="C14" s="45"/>
      <c r="D14" s="45"/>
      <c r="E14" s="45"/>
      <c r="F14" s="45"/>
    </row>
    <row r="16" spans="1:69" x14ac:dyDescent="0.55000000000000004">
      <c r="B16" s="141" t="s">
        <v>384</v>
      </c>
      <c r="C16" s="142"/>
      <c r="D16" s="42" t="s">
        <v>398</v>
      </c>
      <c r="E16" s="42" t="s">
        <v>399</v>
      </c>
      <c r="F16" s="42" t="s">
        <v>400</v>
      </c>
      <c r="G16" s="42" t="s">
        <v>401</v>
      </c>
      <c r="H16" s="42" t="s">
        <v>402</v>
      </c>
      <c r="I16" s="42" t="s">
        <v>403</v>
      </c>
      <c r="J16" s="42" t="s">
        <v>404</v>
      </c>
      <c r="K16" s="42" t="s">
        <v>405</v>
      </c>
    </row>
    <row r="17" spans="2:59" x14ac:dyDescent="0.55000000000000004">
      <c r="B17" s="143" t="s">
        <v>407</v>
      </c>
      <c r="C17" s="43" t="s">
        <v>396</v>
      </c>
      <c r="D17" s="43">
        <f>COUNTIF('PF176'!U10:U185,"LIN0_RX")</f>
        <v>0</v>
      </c>
      <c r="E17" s="43">
        <f>COUNTIF('PF176'!U10:U185,"LIN1_RX")</f>
        <v>0</v>
      </c>
      <c r="F17" s="43">
        <f>COUNTIF('PF176'!U10:U185,"LIN2_RX")</f>
        <v>0</v>
      </c>
      <c r="G17" s="43">
        <f>COUNTIF('PF176'!U10:U185,"LIN3_RX")</f>
        <v>0</v>
      </c>
      <c r="H17" s="43">
        <f>COUNTIF('PF176'!U10:U185,"LIN4_RX")</f>
        <v>0</v>
      </c>
      <c r="I17" s="43">
        <f>COUNTIF('PF176'!U10:U185,"LIN5_RX")</f>
        <v>0</v>
      </c>
      <c r="J17" s="43">
        <f>COUNTIF('PF176'!U10:U185,"LIN6_RX")</f>
        <v>0</v>
      </c>
      <c r="K17" s="43">
        <f>COUNTIF('PF176'!U10:U185,"LIN7_RX")</f>
        <v>0</v>
      </c>
    </row>
    <row r="18" spans="2:59" x14ac:dyDescent="0.55000000000000004">
      <c r="B18" s="146"/>
      <c r="C18" s="43" t="s">
        <v>395</v>
      </c>
      <c r="D18" s="43">
        <f>COUNTIF('PF176'!U10:U185,"LIN0_TX")</f>
        <v>0</v>
      </c>
      <c r="E18" s="43">
        <f>COUNTIF('PF176'!U10:U185,"LIN1_TX")</f>
        <v>0</v>
      </c>
      <c r="F18" s="43">
        <f>COUNTIF('PF176'!U10:U185,"LIN2_TX")</f>
        <v>0</v>
      </c>
      <c r="G18" s="43">
        <f>COUNTIF('PF176'!U10:U185,"LIN3_TX")</f>
        <v>0</v>
      </c>
      <c r="H18" s="43">
        <f>COUNTIF('PF176'!U10:U185,"LIN4_TX")</f>
        <v>0</v>
      </c>
      <c r="I18" s="43">
        <f>COUNTIF('PF176'!U10:U185,"LIN5_TX")</f>
        <v>0</v>
      </c>
      <c r="J18" s="43">
        <f>COUNTIF('PF176'!U10:U185,"LIN6_TX")</f>
        <v>0</v>
      </c>
      <c r="K18" s="43">
        <f>COUNTIF('PF176'!U10:U185,"LIN7_TX")</f>
        <v>0</v>
      </c>
    </row>
    <row r="19" spans="2:59" x14ac:dyDescent="0.55000000000000004">
      <c r="B19" s="144"/>
      <c r="C19" s="43" t="s">
        <v>406</v>
      </c>
      <c r="D19" s="43">
        <f>COUNTIF('PF176'!U10:U185,"LIN0_EN")</f>
        <v>0</v>
      </c>
      <c r="E19" s="43">
        <f>COUNTIF('PF176'!U10:U185,"LIN1_EN")</f>
        <v>0</v>
      </c>
      <c r="F19" s="43">
        <f>COUNTIF('PF176'!U10:U185,"LIN2_EN")</f>
        <v>0</v>
      </c>
      <c r="G19" s="43">
        <f>COUNTIF('PF176'!U10:U185,"LIN3_EN")</f>
        <v>0</v>
      </c>
      <c r="H19" s="43">
        <f>COUNTIF('PF176'!U10:U185,"LIN4_EN")</f>
        <v>0</v>
      </c>
      <c r="I19" s="43">
        <f>COUNTIF('PF176'!U10:U185,"LIN5_EN")</f>
        <v>0</v>
      </c>
      <c r="J19" s="43">
        <f>COUNTIF('PF176'!U10:U185,"LIN6_EN")</f>
        <v>0</v>
      </c>
      <c r="K19" s="43">
        <f>COUNTIF('PF176'!U10:U185,"LIN7_EN")</f>
        <v>0</v>
      </c>
    </row>
    <row r="20" spans="2:59" x14ac:dyDescent="0.55000000000000004">
      <c r="B20" s="44"/>
      <c r="C20" s="45"/>
      <c r="D20" s="45"/>
      <c r="E20" s="45"/>
      <c r="F20" s="45"/>
      <c r="G20" s="45"/>
      <c r="H20" s="45"/>
      <c r="I20" s="45"/>
      <c r="J20" s="45"/>
      <c r="K20" s="45"/>
    </row>
    <row r="22" spans="2:59" x14ac:dyDescent="0.55000000000000004">
      <c r="B22" s="141" t="s">
        <v>386</v>
      </c>
      <c r="C22" s="142"/>
      <c r="D22" s="42" t="s">
        <v>387</v>
      </c>
      <c r="E22" s="42" t="s">
        <v>388</v>
      </c>
      <c r="F22" s="42" t="s">
        <v>389</v>
      </c>
      <c r="G22" s="42" t="s">
        <v>390</v>
      </c>
      <c r="H22" s="42" t="s">
        <v>394</v>
      </c>
      <c r="I22" s="42" t="s">
        <v>393</v>
      </c>
      <c r="J22" s="42" t="s">
        <v>392</v>
      </c>
      <c r="K22" s="42" t="s">
        <v>391</v>
      </c>
      <c r="M22" s="45"/>
      <c r="N22" s="46"/>
      <c r="O22" s="47"/>
      <c r="P22" s="47"/>
      <c r="Q22" s="47"/>
      <c r="R22" s="47"/>
      <c r="S22" s="47"/>
      <c r="T22" s="47"/>
      <c r="U22" s="47"/>
      <c r="V22" s="47"/>
      <c r="W22" s="48"/>
    </row>
    <row r="23" spans="2:59" ht="10" customHeight="1" x14ac:dyDescent="0.55000000000000004">
      <c r="B23" s="148" t="s">
        <v>426</v>
      </c>
      <c r="C23" s="49" t="s">
        <v>797</v>
      </c>
      <c r="D23" s="50">
        <f>COUNTIF('PF176'!U10:U185,"SCB0_CLK (0)")</f>
        <v>0</v>
      </c>
      <c r="E23" s="51">
        <f>COUNTIF('PF176'!U10:U185,"SCB1_CLK (0)")</f>
        <v>0</v>
      </c>
      <c r="F23" s="51">
        <f>COUNTIF('PF176'!U10:U185,"SCB2_CLK (0)")</f>
        <v>0</v>
      </c>
      <c r="G23" s="51">
        <f>COUNTIF('PF176'!U10:U185,"SCB3_CLK (0)")</f>
        <v>0</v>
      </c>
      <c r="H23" s="51">
        <f>COUNTIF('PF176'!U10:U185,"SCB4_CLK (0)")</f>
        <v>0</v>
      </c>
      <c r="I23" s="51">
        <f>COUNTIF('PF176'!U10:U185,"SCB5_CLK (0)")</f>
        <v>0</v>
      </c>
      <c r="J23" s="51">
        <f>COUNTIF('PF176'!U10:U185,"SCB6_CLK (0)")</f>
        <v>0</v>
      </c>
      <c r="K23" s="51">
        <f>COUNTIF('PF176'!U10:U185,"SCB7_CLK (0)")</f>
        <v>0</v>
      </c>
      <c r="M23" s="45"/>
      <c r="N23" s="45"/>
      <c r="O23" s="45"/>
      <c r="P23" s="45"/>
      <c r="Q23" s="45"/>
      <c r="R23" s="45"/>
      <c r="S23" s="45"/>
      <c r="T23" s="45"/>
      <c r="U23" s="45"/>
      <c r="V23" s="45"/>
      <c r="BG23" s="52"/>
    </row>
    <row r="24" spans="2:59" ht="10" customHeight="1" x14ac:dyDescent="0.55000000000000004">
      <c r="B24" s="149"/>
      <c r="C24" s="49" t="s">
        <v>804</v>
      </c>
      <c r="D24" s="50">
        <f>COUNTIF('PF176'!U10:U185,"SCB0_CLK (1)")</f>
        <v>0</v>
      </c>
      <c r="E24" s="51">
        <f>COUNTIF('PF176'!U10:U185,"SCB1_CLK (1)")</f>
        <v>0</v>
      </c>
      <c r="F24" s="51">
        <f>COUNTIF('PF176'!U10:U185,"SCB2_CLK (1)")</f>
        <v>0</v>
      </c>
      <c r="G24" s="51">
        <f>COUNTIF('PF176'!U10:U185,"SCB3_CLK (1)")</f>
        <v>0</v>
      </c>
      <c r="H24" s="51">
        <f>COUNTIF('PF176'!U10:U185,"SCB4_CLK (1)")</f>
        <v>0</v>
      </c>
      <c r="I24" s="51">
        <f>COUNTIF('PF176'!U10:U185,"SCB5_CLK (1)")</f>
        <v>0</v>
      </c>
      <c r="J24" s="51">
        <f>COUNTIF('PF176'!U10:U185,"SCB6_CLK (1)")</f>
        <v>0</v>
      </c>
      <c r="K24" s="51">
        <f>COUNTIF('PF176'!U10:U185,"SCB7_CLK (1)")</f>
        <v>0</v>
      </c>
      <c r="M24" s="45"/>
      <c r="N24" s="45"/>
      <c r="O24" s="45"/>
      <c r="P24" s="45"/>
      <c r="Q24" s="45"/>
      <c r="R24" s="45"/>
      <c r="S24" s="45"/>
      <c r="T24" s="45"/>
      <c r="U24" s="45"/>
      <c r="V24" s="45"/>
      <c r="BG24" s="52"/>
    </row>
    <row r="25" spans="2:59" x14ac:dyDescent="0.55000000000000004">
      <c r="B25" s="149"/>
      <c r="C25" s="49" t="s">
        <v>798</v>
      </c>
      <c r="D25" s="50">
        <f>COUNTIF('PF176'!U10:U185,"SCB0_MOSI (0)")</f>
        <v>0</v>
      </c>
      <c r="E25" s="51">
        <f>COUNTIF('PF176'!U10:U185,"SCB1_MOSI (0)")</f>
        <v>0</v>
      </c>
      <c r="F25" s="51">
        <f>COUNTIF('PF176'!U10:U185,"SCB2_MOSI (0)")</f>
        <v>0</v>
      </c>
      <c r="G25" s="51">
        <f>COUNTIF('PF176'!U10:U185,"SCB3_MOSI (0)")</f>
        <v>0</v>
      </c>
      <c r="H25" s="51">
        <f>COUNTIF('PF176'!U10:U185,"SCB4_MOSI (0)")</f>
        <v>0</v>
      </c>
      <c r="I25" s="51">
        <f>COUNTIF('PF176'!U10:U185,"SCB5_MOSI (0)")</f>
        <v>0</v>
      </c>
      <c r="J25" s="51">
        <f>COUNTIF('PF176'!U10:U185,"SCB6_MOSI (0)")</f>
        <v>0</v>
      </c>
      <c r="K25" s="51">
        <f>COUNTIF('PF176'!U10:U185,"SCB7_MOSI (0)")</f>
        <v>0</v>
      </c>
      <c r="M25" s="45"/>
      <c r="N25" s="45"/>
      <c r="O25" s="45"/>
      <c r="P25" s="45"/>
      <c r="Q25" s="45"/>
      <c r="R25" s="45"/>
      <c r="S25" s="45"/>
      <c r="T25" s="45"/>
      <c r="U25" s="45"/>
      <c r="V25" s="45"/>
    </row>
    <row r="26" spans="2:59" x14ac:dyDescent="0.55000000000000004">
      <c r="B26" s="149"/>
      <c r="C26" s="49" t="s">
        <v>805</v>
      </c>
      <c r="D26" s="50">
        <f>COUNTIF('PF176'!U10:U185,"SCB0_MOSI (1)")</f>
        <v>0</v>
      </c>
      <c r="E26" s="51">
        <f>COUNTIF('PF176'!U10:U185,"SCB1_MOSI (1)")</f>
        <v>0</v>
      </c>
      <c r="F26" s="51">
        <f>COUNTIF('PF176'!U10:U185,"SCB2_MOSI (1)")</f>
        <v>0</v>
      </c>
      <c r="G26" s="51">
        <f>COUNTIF('PF176'!U10:U185,"SCB3_MOSI (1)")</f>
        <v>0</v>
      </c>
      <c r="H26" s="51">
        <f>COUNTIF('PF176'!U10:U185,"SCB4_MOSI (1)")</f>
        <v>0</v>
      </c>
      <c r="I26" s="51">
        <f>COUNTIF('PF176'!U10:U185,"SCB5_MOSI (1)")</f>
        <v>0</v>
      </c>
      <c r="J26" s="51">
        <f>COUNTIF('PF176'!U10:U185,"SCB6_MOSI (1)")</f>
        <v>0</v>
      </c>
      <c r="K26" s="51">
        <f>COUNTIF('PF176'!U10:U185,"SCB7_MOSI (1)")</f>
        <v>0</v>
      </c>
      <c r="M26" s="45"/>
      <c r="N26" s="45"/>
      <c r="O26" s="45"/>
      <c r="P26" s="45"/>
      <c r="Q26" s="45"/>
      <c r="R26" s="45"/>
      <c r="S26" s="45"/>
      <c r="T26" s="45"/>
      <c r="U26" s="45"/>
      <c r="V26" s="45"/>
    </row>
    <row r="27" spans="2:59" x14ac:dyDescent="0.55000000000000004">
      <c r="B27" s="149"/>
      <c r="C27" s="49" t="s">
        <v>799</v>
      </c>
      <c r="D27" s="50">
        <f>COUNTIF('PF176'!U10:U185,"SCB0_MISO (0)")</f>
        <v>0</v>
      </c>
      <c r="E27" s="51">
        <f>COUNTIF('PF176'!U10:U185,"SCB1_MISO (0)")</f>
        <v>0</v>
      </c>
      <c r="F27" s="51">
        <f>COUNTIF('PF176'!U10:U185,"SCB2_MISO (0)")</f>
        <v>0</v>
      </c>
      <c r="G27" s="51">
        <f>COUNTIF('PF176'!U10:U185,"SCB3_MISO (0)")</f>
        <v>0</v>
      </c>
      <c r="H27" s="51">
        <f>COUNTIF('PF176'!U10:U185,"SCB4_MISO (0)")</f>
        <v>0</v>
      </c>
      <c r="I27" s="51">
        <f>COUNTIF('PF176'!U10:U185,"SCB5_MISO (0)")</f>
        <v>0</v>
      </c>
      <c r="J27" s="51">
        <f>COUNTIF('PF176'!U10:U185,"SCB6_MISO (0)")</f>
        <v>0</v>
      </c>
      <c r="K27" s="51">
        <f>COUNTIF('PF176'!U10:U185,"SCB7_MISO (0)")</f>
        <v>0</v>
      </c>
      <c r="M27" s="45"/>
      <c r="N27" s="45"/>
      <c r="O27" s="45"/>
      <c r="P27" s="45"/>
      <c r="Q27" s="45"/>
      <c r="R27" s="45"/>
      <c r="S27" s="45"/>
      <c r="T27" s="45"/>
      <c r="U27" s="45"/>
      <c r="V27" s="45"/>
    </row>
    <row r="28" spans="2:59" x14ac:dyDescent="0.55000000000000004">
      <c r="B28" s="149"/>
      <c r="C28" s="49" t="s">
        <v>806</v>
      </c>
      <c r="D28" s="50">
        <f>COUNTIF('PF176'!U10:U185,"SCB0_MISO (1)")</f>
        <v>0</v>
      </c>
      <c r="E28" s="51">
        <f>COUNTIF('PF176'!U10:U185,"SCB1_MISO (1)")</f>
        <v>0</v>
      </c>
      <c r="F28" s="51">
        <f>COUNTIF('PF176'!U10:U185,"SCB2_MISO (1)")</f>
        <v>0</v>
      </c>
      <c r="G28" s="51">
        <f>COUNTIF('PF176'!U10:U185,"SCB3_MISO (1)")</f>
        <v>0</v>
      </c>
      <c r="H28" s="51">
        <f>COUNTIF('PF176'!U10:U185,"SCB4_MISO (1)")</f>
        <v>0</v>
      </c>
      <c r="I28" s="51">
        <f>COUNTIF('PF176'!U10:U185,"SCB5_MISO (1)")</f>
        <v>0</v>
      </c>
      <c r="J28" s="51">
        <f>COUNTIF('PF176'!U10:U185,"SCB6_MISO (1)")</f>
        <v>0</v>
      </c>
      <c r="K28" s="51">
        <f>COUNTIF('PF176'!U10:U185,"SCB7_MISO (1)")</f>
        <v>0</v>
      </c>
      <c r="M28" s="45"/>
      <c r="N28" s="45"/>
      <c r="O28" s="45"/>
      <c r="P28" s="45"/>
      <c r="Q28" s="45"/>
      <c r="R28" s="45"/>
      <c r="S28" s="45"/>
      <c r="T28" s="45"/>
      <c r="U28" s="45"/>
      <c r="V28" s="45"/>
    </row>
    <row r="29" spans="2:59" x14ac:dyDescent="0.55000000000000004">
      <c r="B29" s="149"/>
      <c r="C29" s="49" t="s">
        <v>800</v>
      </c>
      <c r="D29" s="50">
        <f>COUNTIF('PF176'!U10:U185,"SCB0_SEL0 (0)")</f>
        <v>0</v>
      </c>
      <c r="E29" s="51">
        <f>COUNTIF('PF176'!U10:U185,"SCB1_SEL0 (0)")</f>
        <v>0</v>
      </c>
      <c r="F29" s="51">
        <f>COUNTIF('PF176'!U10:U185,"SCB2_SEL0 (0)")</f>
        <v>0</v>
      </c>
      <c r="G29" s="51">
        <f>COUNTIF('PF176'!U10:U185,"SCB3_SEL0 (0)")</f>
        <v>0</v>
      </c>
      <c r="H29" s="51">
        <f>COUNTIF('PF176'!U10:U185,"SCB4_SEL0 (0)")</f>
        <v>0</v>
      </c>
      <c r="I29" s="50">
        <f>COUNTIF('PF176'!U10:U185,"SCB5_SEL0 (0)")</f>
        <v>0</v>
      </c>
      <c r="J29" s="50">
        <f>COUNTIF('PF176'!U10:U185,"SCB6_SEL0 (0)")</f>
        <v>0</v>
      </c>
      <c r="K29" s="51">
        <f>COUNTIF('PF176'!U10:U185,"SCB7_SEL0 (0)")</f>
        <v>0</v>
      </c>
      <c r="M29" s="45"/>
      <c r="N29" s="45"/>
      <c r="O29" s="45"/>
      <c r="P29" s="45"/>
      <c r="Q29" s="45"/>
      <c r="R29" s="45"/>
      <c r="S29" s="45"/>
      <c r="T29" s="45"/>
      <c r="U29" s="45"/>
      <c r="V29" s="45"/>
    </row>
    <row r="30" spans="2:59" x14ac:dyDescent="0.55000000000000004">
      <c r="B30" s="149"/>
      <c r="C30" s="49" t="s">
        <v>807</v>
      </c>
      <c r="D30" s="50">
        <f>COUNTIF('PF176'!U10:U185,"SCB0_SEL0 (1)")</f>
        <v>0</v>
      </c>
      <c r="E30" s="51">
        <f>COUNTIF('PF176'!U10:U185,"SCB1_SEL0 (1)")</f>
        <v>0</v>
      </c>
      <c r="F30" s="51">
        <f>COUNTIF('PF176'!U10:U185,"SCB2_SEL0 (1)")</f>
        <v>0</v>
      </c>
      <c r="G30" s="51">
        <f>COUNTIF('PF176'!U10:U185,"SCB3_SEL0 (1)")</f>
        <v>0</v>
      </c>
      <c r="H30" s="51">
        <f>COUNTIF('PF176'!U10:U185,"SCB4_SEL0 (1)")</f>
        <v>0</v>
      </c>
      <c r="I30" s="50">
        <f>COUNTIF('PF176'!U10:U185,"SCB5_SEL0 (1)")</f>
        <v>0</v>
      </c>
      <c r="J30" s="50">
        <f>COUNTIF('PF176'!U10:U185,"SCB6_SEL0 (1)")</f>
        <v>0</v>
      </c>
      <c r="K30" s="51">
        <f>COUNTIF('PF176'!U10:U185,"SCB7_SEL0 (1)")</f>
        <v>0</v>
      </c>
      <c r="M30" s="45"/>
      <c r="N30" s="45"/>
      <c r="O30" s="45"/>
      <c r="P30" s="45"/>
      <c r="Q30" s="45"/>
      <c r="R30" s="45"/>
      <c r="S30" s="45"/>
      <c r="T30" s="45"/>
      <c r="U30" s="45"/>
      <c r="V30" s="45"/>
    </row>
    <row r="31" spans="2:59" x14ac:dyDescent="0.55000000000000004">
      <c r="B31" s="149"/>
      <c r="C31" s="49" t="s">
        <v>801</v>
      </c>
      <c r="D31" s="50">
        <f>COUNTIF('PF176'!U10:U185,"SCB0_SEL1 (0)")</f>
        <v>0</v>
      </c>
      <c r="E31" s="51">
        <f>COUNTIF('PF176'!U10:U185,"SCB1_SEL1 (0)")</f>
        <v>0</v>
      </c>
      <c r="F31" s="51">
        <f>COUNTIF('PF176'!U10:U185,"SCB2_SEL1 (0)")</f>
        <v>0</v>
      </c>
      <c r="G31" s="51">
        <f>COUNTIF('PF176'!U10:U185,"SCB3_SEL1 (0)")</f>
        <v>0</v>
      </c>
      <c r="H31" s="51">
        <f>COUNTIF('PF176'!U10:U185,"SCB4_SEL1 (0)")</f>
        <v>0</v>
      </c>
      <c r="I31" s="50">
        <f>COUNTIF('PF176'!U10:U185,"SCB5_SEL1 (0)")</f>
        <v>0</v>
      </c>
      <c r="J31" s="50">
        <f>COUNTIF('PF176'!U10:U185,"SCB6_SEL1 (0)")</f>
        <v>0</v>
      </c>
      <c r="K31" s="51">
        <f>COUNTIF('PF176'!U10:U185,"SCB7_SEL1 (0)")</f>
        <v>0</v>
      </c>
      <c r="M31" s="53"/>
      <c r="N31" s="45"/>
      <c r="O31" s="54"/>
      <c r="P31" s="54"/>
      <c r="Q31" s="54"/>
      <c r="R31" s="54"/>
      <c r="S31" s="54"/>
      <c r="T31" s="54"/>
      <c r="U31" s="54"/>
      <c r="V31" s="54"/>
    </row>
    <row r="32" spans="2:59" x14ac:dyDescent="0.55000000000000004">
      <c r="B32" s="149"/>
      <c r="C32" s="49" t="s">
        <v>808</v>
      </c>
      <c r="D32" s="50">
        <f>COUNTIF('PF176'!U10:U185,"SCB0_SEL1 (1)")</f>
        <v>0</v>
      </c>
      <c r="E32" s="51">
        <f>COUNTIF('PF176'!U10:U185,"SCB1_SEL1 (1)")</f>
        <v>0</v>
      </c>
      <c r="F32" s="51">
        <f>COUNTIF('PF176'!U10:U185,"SCB2_SEL1 (1)")</f>
        <v>0</v>
      </c>
      <c r="G32" s="51">
        <f>COUNTIF('PF176'!U10:U185,"SCB3_SEL1 (1)")</f>
        <v>0</v>
      </c>
      <c r="H32" s="51">
        <f>COUNTIF('PF176'!U10:U185,"SCB4_SEL1 (1)")</f>
        <v>0</v>
      </c>
      <c r="I32" s="50">
        <f>COUNTIF('PF176'!U10:U185,"SCB5_SEL1 (1)")</f>
        <v>0</v>
      </c>
      <c r="J32" s="50">
        <f>COUNTIF('PF176'!U10:U185,"SCB6_SEL1 (1)")</f>
        <v>0</v>
      </c>
      <c r="K32" s="51">
        <f>COUNTIF('PF176'!U10:U185,"SCB7_SEL1 (1)")</f>
        <v>0</v>
      </c>
    </row>
    <row r="33" spans="2:11" x14ac:dyDescent="0.55000000000000004">
      <c r="B33" s="149"/>
      <c r="C33" s="49" t="s">
        <v>802</v>
      </c>
      <c r="D33" s="50">
        <f>COUNTIF('PF176'!U10:U185,"SCB0_SEL2 (0)")</f>
        <v>0</v>
      </c>
      <c r="E33" s="51">
        <f>COUNTIF('PF176'!U10:U185,"SCB1_SEL2 (0)")</f>
        <v>0</v>
      </c>
      <c r="F33" s="51">
        <f>COUNTIF('PF176'!U10:U185,"SCB2_SEL2 (0)")</f>
        <v>0</v>
      </c>
      <c r="G33" s="51">
        <f>COUNTIF('PF176'!U10:U185,"SCB3_SEL2 (0)")</f>
        <v>0</v>
      </c>
      <c r="H33" s="51">
        <f>COUNTIF('PF176'!U10:U185,"SCB4_SEL2 (0)")</f>
        <v>0</v>
      </c>
      <c r="I33" s="50">
        <f>COUNTIF('PF176'!U10:U185,"SCB5_SEL2 (0)")</f>
        <v>0</v>
      </c>
      <c r="J33" s="50">
        <f>COUNTIF('PF176'!U10:U185,"SCB6_SEL2 (0)")</f>
        <v>0</v>
      </c>
      <c r="K33" s="51">
        <f>COUNTIF('PF176'!U10:U185,"SCB7_SEL2 (0)")</f>
        <v>0</v>
      </c>
    </row>
    <row r="34" spans="2:11" x14ac:dyDescent="0.55000000000000004">
      <c r="B34" s="149"/>
      <c r="C34" s="49" t="s">
        <v>809</v>
      </c>
      <c r="D34" s="50">
        <f>COUNTIF('PF176'!U10:U185,"SCB0_SEL2 (1)")</f>
        <v>0</v>
      </c>
      <c r="E34" s="51">
        <f>COUNTIF('PF176'!U10:U185,"SCB1_SEL2 (1)")</f>
        <v>0</v>
      </c>
      <c r="F34" s="51">
        <f>COUNTIF('PF176'!U10:U185,"SCB2_SEL2 (1)")</f>
        <v>0</v>
      </c>
      <c r="G34" s="51">
        <f>COUNTIF('PF176'!U10:U185,"SCB3_SEL2 (1)")</f>
        <v>0</v>
      </c>
      <c r="H34" s="51">
        <f>COUNTIF('PF176'!U10:U185,"SCB4_SEL2 (1)")</f>
        <v>0</v>
      </c>
      <c r="I34" s="50">
        <f>COUNTIF('PF176'!U10:U185,"SCB5_SEL2 (1)")</f>
        <v>0</v>
      </c>
      <c r="J34" s="50">
        <f>COUNTIF('PF176'!U10:U185,"SCB6_SEL2 (1)")</f>
        <v>0</v>
      </c>
      <c r="K34" s="51">
        <f>COUNTIF('PF176'!U10:U185,"SCB7_SEL2 (1)")</f>
        <v>0</v>
      </c>
    </row>
    <row r="35" spans="2:11" x14ac:dyDescent="0.55000000000000004">
      <c r="B35" s="149"/>
      <c r="C35" s="49" t="s">
        <v>803</v>
      </c>
      <c r="D35" s="50">
        <f>COUNTIF('PF176'!U10:U185,"SCB0_SEL3 (0)")</f>
        <v>0</v>
      </c>
      <c r="E35" s="51">
        <f>COUNTIF('PF176'!U10:U185,"SCB1_SEL3 (0)")</f>
        <v>0</v>
      </c>
      <c r="F35" s="51">
        <f>COUNTIF('PF176'!U10:U185,"SCB2_SEL3 (0)")</f>
        <v>0</v>
      </c>
      <c r="G35" s="51">
        <f>COUNTIF('PF176'!U10:U185,"SCB3_SEL3 (0)")</f>
        <v>0</v>
      </c>
      <c r="H35" s="51">
        <f>COUNTIF('PF176'!U10:U185,"SCB4_SEL3 (0)")</f>
        <v>0</v>
      </c>
      <c r="I35" s="50">
        <f>COUNTIF('PF176'!U10:U185,"SCB5_SEL3 (0)")</f>
        <v>0</v>
      </c>
      <c r="J35" s="50">
        <f>COUNTIF('PF176'!U10:U185,"SCB6_SEL3 (0)")</f>
        <v>0</v>
      </c>
      <c r="K35" s="51">
        <f>COUNTIF('PF176'!U10:U185,"SCB7_SEL3 (0)")</f>
        <v>0</v>
      </c>
    </row>
    <row r="36" spans="2:11" x14ac:dyDescent="0.55000000000000004">
      <c r="B36" s="150"/>
      <c r="C36" s="49" t="s">
        <v>810</v>
      </c>
      <c r="D36" s="50">
        <f>COUNTIF('PF176'!U10:U185,"SCB0_SEL3 (1)")</f>
        <v>0</v>
      </c>
      <c r="E36" s="51">
        <f>COUNTIF('PF176'!U10:U185,"SCB1_SEL3 (1)")</f>
        <v>0</v>
      </c>
      <c r="F36" s="51">
        <f>COUNTIF('PF176'!U10:U185,"SCB2_SEL3 (1)")</f>
        <v>0</v>
      </c>
      <c r="G36" s="51">
        <f>COUNTIF('PF176'!U10:U185,"SCB3_SEL3 (1)")</f>
        <v>0</v>
      </c>
      <c r="H36" s="51">
        <f>COUNTIF('PF176'!U10:U185,"SCB4_SEL3 (1)")</f>
        <v>0</v>
      </c>
      <c r="I36" s="50">
        <f>COUNTIF('PF176'!U10:U185,"SCB5_SEL3 (1)")</f>
        <v>0</v>
      </c>
      <c r="J36" s="50">
        <f>COUNTIF('PF176'!U10:U185,"SCB6_SEL3 (1)")</f>
        <v>0</v>
      </c>
      <c r="K36" s="51">
        <f>COUNTIF('PF176'!U10:U185,"SCB7_SEL3 (1)")</f>
        <v>0</v>
      </c>
    </row>
    <row r="37" spans="2:11" ht="10" customHeight="1" x14ac:dyDescent="0.55000000000000004">
      <c r="B37" s="147" t="s">
        <v>425</v>
      </c>
      <c r="C37" s="49" t="s">
        <v>780</v>
      </c>
      <c r="D37" s="50">
        <f>COUNTIF('PF176'!U10:U185,"SCB0_TX (0)")</f>
        <v>0</v>
      </c>
      <c r="E37" s="51">
        <f>COUNTIF('PF176'!U10:U185,"SCB1_TX (0)")</f>
        <v>0</v>
      </c>
      <c r="F37" s="51">
        <f>COUNTIF('PF176'!U10:U185,"SCB2_TX (0)")</f>
        <v>0</v>
      </c>
      <c r="G37" s="51">
        <f>COUNTIF('PF176'!U10:U185,"SCB3_TX (0)")</f>
        <v>0</v>
      </c>
      <c r="H37" s="51">
        <f>COUNTIF('PF176'!U10:U185,"SCB4_TX (0)")</f>
        <v>0</v>
      </c>
      <c r="I37" s="55">
        <f>COUNTIF('PF176'!U10:U185,"SCB5_TX (0)")</f>
        <v>0</v>
      </c>
      <c r="J37" s="55">
        <f>COUNTIF('PF176'!U10:U185,"SCB6_TX (0)")</f>
        <v>0</v>
      </c>
      <c r="K37" s="51">
        <f>COUNTIF('PF176'!U10:U185,"SCB7_TX (0)")</f>
        <v>0</v>
      </c>
    </row>
    <row r="38" spans="2:11" ht="10" customHeight="1" x14ac:dyDescent="0.55000000000000004">
      <c r="B38" s="147"/>
      <c r="C38" s="49" t="s">
        <v>781</v>
      </c>
      <c r="D38" s="56">
        <f>COUNTIF('PF176'!U10:U185,"SCB0_TX (1)")</f>
        <v>0</v>
      </c>
      <c r="E38" s="51">
        <f>COUNTIF('PF176'!U10:U185,"SCB1_TX (1)")</f>
        <v>0</v>
      </c>
      <c r="F38" s="51">
        <f>COUNTIF('PF176'!U10:U185,"SCB2_TX (1)")</f>
        <v>0</v>
      </c>
      <c r="G38" s="51">
        <f>COUNTIF('PF176'!U10:U185,"SCB3_TX (1)")</f>
        <v>0</v>
      </c>
      <c r="H38" s="51">
        <f>COUNTIF('PF176'!U10:U185,"SCB4_TX (1)")</f>
        <v>0</v>
      </c>
      <c r="I38" s="55">
        <f>COUNTIF('PF176'!U10:U185,"SCB5_TX (1)")</f>
        <v>0</v>
      </c>
      <c r="J38" s="55">
        <f>COUNTIF('PF176'!U10:U185,"SCB6_TX (1)")</f>
        <v>0</v>
      </c>
      <c r="K38" s="51">
        <f>COUNTIF('PF176'!U10:U185,"SCB7_TX (1)")</f>
        <v>0</v>
      </c>
    </row>
    <row r="39" spans="2:11" x14ac:dyDescent="0.55000000000000004">
      <c r="B39" s="147"/>
      <c r="C39" s="49" t="s">
        <v>782</v>
      </c>
      <c r="D39" s="50">
        <f>COUNTIF('PF176'!U10:U185,"SCB0_RX (0)")</f>
        <v>0</v>
      </c>
      <c r="E39" s="51">
        <f>COUNTIF('PF176'!U10:U185,"SCB1_RX (0)")</f>
        <v>0</v>
      </c>
      <c r="F39" s="51">
        <f>COUNTIF('PF176'!U10:U185,"SCB2_RX (0)")</f>
        <v>0</v>
      </c>
      <c r="G39" s="51">
        <f>COUNTIF('PF176'!U10:U185,"SCB3_RX (0)")</f>
        <v>0</v>
      </c>
      <c r="H39" s="51">
        <f>COUNTIF('PF176'!U10:U185,"SCB4_RX (0)")</f>
        <v>0</v>
      </c>
      <c r="I39" s="51">
        <f>COUNTIF('PF176'!U10:U185,"SCB5_RX (0)")</f>
        <v>0</v>
      </c>
      <c r="J39" s="51">
        <f>COUNTIF('PF176'!U10:U185,"SCB6_RX (0)")</f>
        <v>0</v>
      </c>
      <c r="K39" s="51">
        <f>COUNTIF('PF176'!U10:U185,"SCB7_RX (0)")</f>
        <v>0</v>
      </c>
    </row>
    <row r="40" spans="2:11" x14ac:dyDescent="0.55000000000000004">
      <c r="B40" s="147"/>
      <c r="C40" s="49" t="s">
        <v>785</v>
      </c>
      <c r="D40" s="56">
        <f>COUNTIF('PF176'!U10:U185,"SCB0_RX (1)")</f>
        <v>0</v>
      </c>
      <c r="E40" s="51">
        <f>COUNTIF('PF176'!U10:U185,"SCB1_RX (1)")</f>
        <v>0</v>
      </c>
      <c r="F40" s="51">
        <f>COUNTIF('PF176'!U10:U185,"SCB2_RX (1)")</f>
        <v>0</v>
      </c>
      <c r="G40" s="51">
        <f>COUNTIF('PF176'!U10:U185,"SCB3_RX (1)")</f>
        <v>0</v>
      </c>
      <c r="H40" s="51">
        <f>COUNTIF('PF176'!U10:U185,"SCB4_RX (1)")</f>
        <v>0</v>
      </c>
      <c r="I40" s="51">
        <f>COUNTIF('PF176'!U10:U185,"SCB5_RX (1)")</f>
        <v>0</v>
      </c>
      <c r="J40" s="51">
        <f>COUNTIF('PF176'!U10:U185,"SCB6_RX (1)")</f>
        <v>0</v>
      </c>
      <c r="K40" s="51">
        <f>COUNTIF('PF176'!U10:U185,"SCB7_RX (1)")</f>
        <v>0</v>
      </c>
    </row>
    <row r="41" spans="2:11" x14ac:dyDescent="0.55000000000000004">
      <c r="B41" s="147"/>
      <c r="C41" s="49" t="s">
        <v>783</v>
      </c>
      <c r="D41" s="50">
        <f>COUNTIF('PF176'!U10:U185,"SCB0_CTS (0)")</f>
        <v>0</v>
      </c>
      <c r="E41" s="51">
        <f>COUNTIF('PF176'!U10:U185,"SCB1_CTS (0)")</f>
        <v>0</v>
      </c>
      <c r="F41" s="51">
        <f>COUNTIF('PF176'!U10:U185,"SCB2_CTS (0)")</f>
        <v>0</v>
      </c>
      <c r="G41" s="51">
        <f>COUNTIF('PF176'!U10:U185,"SCB3_CTS (0)")</f>
        <v>0</v>
      </c>
      <c r="H41" s="51">
        <f>COUNTIF('PF176'!U10:U185,"SCB4_CTS (0)")</f>
        <v>0</v>
      </c>
      <c r="I41" s="51">
        <f>COUNTIF('PF176'!U10:U185,"SCB5_CTS (0)")</f>
        <v>0</v>
      </c>
      <c r="J41" s="51">
        <f>COUNTIF('PF176'!U10:U185,"SCB6_CTS (0)")</f>
        <v>0</v>
      </c>
      <c r="K41" s="51">
        <f>COUNTIF('PF176'!U10:U185,"SCB7_CTS (0)")</f>
        <v>0</v>
      </c>
    </row>
    <row r="42" spans="2:11" x14ac:dyDescent="0.55000000000000004">
      <c r="B42" s="147"/>
      <c r="C42" s="49" t="s">
        <v>786</v>
      </c>
      <c r="D42" s="56">
        <f>COUNTIF('PF176'!U10:U185,"SCB0_CTS (1)")</f>
        <v>0</v>
      </c>
      <c r="E42" s="51">
        <f>COUNTIF('PF176'!U10:U185,"SCB1_CTS (1)")</f>
        <v>0</v>
      </c>
      <c r="F42" s="51">
        <f>COUNTIF('PF176'!U10:U185,"SCB2_CTS (1)")</f>
        <v>0</v>
      </c>
      <c r="G42" s="51">
        <f>COUNTIF('PF176'!U10:U185,"SCB3_CTS (1)")</f>
        <v>0</v>
      </c>
      <c r="H42" s="51">
        <f>COUNTIF('PF176'!U10:U185,"SCB4_CTS (1)")</f>
        <v>0</v>
      </c>
      <c r="I42" s="51">
        <f>COUNTIF('PF176'!U10:U185,"SCB5_CTS (1)")</f>
        <v>0</v>
      </c>
      <c r="J42" s="51">
        <f>COUNTIF('PF176'!U10:U185,"SCB6_CTS (1)")</f>
        <v>0</v>
      </c>
      <c r="K42" s="51">
        <f>COUNTIF('PF176'!U10:U185,"SCB7_CTS (1)")</f>
        <v>0</v>
      </c>
    </row>
    <row r="43" spans="2:11" x14ac:dyDescent="0.55000000000000004">
      <c r="B43" s="147"/>
      <c r="C43" s="49" t="s">
        <v>784</v>
      </c>
      <c r="D43" s="50">
        <f>COUNTIF('PF176'!U10:U185,"SCB0_RTS (0)")</f>
        <v>0</v>
      </c>
      <c r="E43" s="51">
        <f>COUNTIF('PF176'!U10:U185,"SCB1_RTS (0)")</f>
        <v>0</v>
      </c>
      <c r="F43" s="51">
        <f>COUNTIF('PF176'!U10:U185,"SCB2_RTS (0)")</f>
        <v>0</v>
      </c>
      <c r="G43" s="51">
        <f>COUNTIF('PF176'!U10:U185,"SCB3_RTS (0)")</f>
        <v>0</v>
      </c>
      <c r="H43" s="51">
        <f>COUNTIF('PF176'!U10:U185,"SCB4_RTS (0)")</f>
        <v>0</v>
      </c>
      <c r="I43" s="51">
        <f>COUNTIF('PF176'!U10:U185,"SCB5_RTS (0)")</f>
        <v>0</v>
      </c>
      <c r="J43" s="51">
        <f>COUNTIF('PF176'!U10:U185,"SCB6_RTS (0)")</f>
        <v>0</v>
      </c>
      <c r="K43" s="51">
        <f>COUNTIF('PF176'!U10:U185,"SCB7_RTS (0)")</f>
        <v>0</v>
      </c>
    </row>
    <row r="44" spans="2:11" x14ac:dyDescent="0.55000000000000004">
      <c r="B44" s="147"/>
      <c r="C44" s="49" t="s">
        <v>787</v>
      </c>
      <c r="D44" s="56">
        <f>COUNTIF('PF176'!U10:U185,"SCB0_RTS (1)")</f>
        <v>0</v>
      </c>
      <c r="E44" s="51">
        <f>COUNTIF('PF176'!U10:U185,"SCB1_RTS (1)")</f>
        <v>0</v>
      </c>
      <c r="F44" s="51">
        <f>COUNTIF('PF176'!U10:U185,"SCB2_RTS (1)")</f>
        <v>0</v>
      </c>
      <c r="G44" s="51">
        <f>COUNTIF('PF176'!U10:U185,"SCB3_RTS (1)")</f>
        <v>0</v>
      </c>
      <c r="H44" s="51">
        <f>COUNTIF('PF176'!U10:U185,"SCB4_RTS (1)")</f>
        <v>0</v>
      </c>
      <c r="I44" s="51">
        <f>COUNTIF('PF176'!U10:U185,"SCB5_RTS (1)")</f>
        <v>0</v>
      </c>
      <c r="J44" s="51">
        <f>COUNTIF('PF176'!U10:U185,"SCB6_RTS (1)")</f>
        <v>0</v>
      </c>
      <c r="K44" s="51">
        <f>COUNTIF('PF176'!U10:U185,"SCB7_RTS (1)")</f>
        <v>0</v>
      </c>
    </row>
    <row r="45" spans="2:11" ht="10" customHeight="1" x14ac:dyDescent="0.55000000000000004">
      <c r="B45" s="147" t="s">
        <v>427</v>
      </c>
      <c r="C45" s="57" t="s">
        <v>790</v>
      </c>
      <c r="D45" s="50">
        <f>COUNTIF('PF176'!U10:U185,"SCB0_SDA (0)")</f>
        <v>0</v>
      </c>
      <c r="E45" s="51">
        <f>COUNTIF('PF176'!U10:U185,"SCB1_SDA (0)")</f>
        <v>0</v>
      </c>
      <c r="F45" s="51">
        <f>COUNTIF('PF176'!U10:U185,"SCB2_SDA (0)")</f>
        <v>0</v>
      </c>
      <c r="G45" s="51">
        <f>COUNTIF('PF176'!U10:U185,"SCB3_SDA (0)")</f>
        <v>0</v>
      </c>
      <c r="H45" s="51">
        <f>COUNTIF('PF176'!U10:U185,"SCB4_SDA (0)")</f>
        <v>0</v>
      </c>
      <c r="I45" s="55">
        <f>COUNTIF('PF176'!U10:U185,"SCB5_SDA (0)")</f>
        <v>0</v>
      </c>
      <c r="J45" s="55">
        <f>COUNTIF('PF176'!U10:U185,"SCB6_SDA (0)")</f>
        <v>0</v>
      </c>
      <c r="K45" s="55">
        <f>COUNTIF('PF176'!U10:U185,"SCB7_SDA (0)")</f>
        <v>0</v>
      </c>
    </row>
    <row r="46" spans="2:11" x14ac:dyDescent="0.55000000000000004">
      <c r="B46" s="147"/>
      <c r="C46" s="57" t="s">
        <v>791</v>
      </c>
      <c r="D46" s="50">
        <f>COUNTIF('PF176'!U10:U185,"SCB0_SDA (1)")</f>
        <v>0</v>
      </c>
      <c r="E46" s="51">
        <f>COUNTIF('PF176'!U10:U185,"SCB1_SDA (1)")</f>
        <v>0</v>
      </c>
      <c r="F46" s="51">
        <f>COUNTIF('PF176'!U10:U185,"SCB2_SDA (1)")</f>
        <v>0</v>
      </c>
      <c r="G46" s="51">
        <f>COUNTIF('PF176'!U10:U185,"SCB3_SDA (1)")</f>
        <v>0</v>
      </c>
      <c r="H46" s="51">
        <f>COUNTIF('PF176'!U10:U185,"SCB4_SDA (1)")</f>
        <v>0</v>
      </c>
      <c r="I46" s="55">
        <f>COUNTIF('PF176'!U10:U185,"SCB5_SDA (1)")</f>
        <v>0</v>
      </c>
      <c r="J46" s="55">
        <f>COUNTIF('PF176'!U10:U185,"SCB6_SDA (1)")</f>
        <v>0</v>
      </c>
      <c r="K46" s="55">
        <f>COUNTIF('PF176'!U10:U185,"SCB7_SDA (1)")</f>
        <v>0</v>
      </c>
    </row>
    <row r="47" spans="2:11" x14ac:dyDescent="0.55000000000000004">
      <c r="B47" s="147"/>
      <c r="C47" s="57" t="s">
        <v>792</v>
      </c>
      <c r="D47" s="50">
        <f>COUNTIF('PF176'!U10:U185,"SCB0_SDA (2)")</f>
        <v>0</v>
      </c>
      <c r="E47" s="51">
        <f>COUNTIF('PF176'!U10:U185,"SCB1_SDA (2)")</f>
        <v>0</v>
      </c>
      <c r="F47" s="51">
        <f>COUNTIF('PF176'!U10:U185,"SCB2_SDA (2)")</f>
        <v>0</v>
      </c>
      <c r="G47" s="51">
        <f>COUNTIF('PF176'!U10:U185,"SCB3_SDA (2)")</f>
        <v>0</v>
      </c>
      <c r="H47" s="51">
        <f>COUNTIF('PF176'!U10:U185,"SCB4_SDA (2)")</f>
        <v>0</v>
      </c>
      <c r="I47" s="55">
        <f>COUNTIF('PF176'!U10:U185,"SCB5_SDA (2)")</f>
        <v>0</v>
      </c>
      <c r="J47" s="55">
        <f>COUNTIF('PF176'!U10:U185,"SCB6_SDA (2)")</f>
        <v>0</v>
      </c>
      <c r="K47" s="55">
        <f>COUNTIF('PF176'!U10:U185,"SCB7_SDA (2)")</f>
        <v>0</v>
      </c>
    </row>
    <row r="48" spans="2:11" x14ac:dyDescent="0.55000000000000004">
      <c r="B48" s="147"/>
      <c r="C48" s="57" t="s">
        <v>793</v>
      </c>
      <c r="D48" s="50">
        <f>COUNTIF('PF176'!U10:U185,"SCB0_SCL (0)")</f>
        <v>0</v>
      </c>
      <c r="E48" s="51">
        <f>COUNTIF('PF176'!U10:U185,"SCB1_SCL (0)")</f>
        <v>0</v>
      </c>
      <c r="F48" s="51">
        <f>COUNTIF('PF176'!U10:U185,"SCB2_SCL (0)")</f>
        <v>0</v>
      </c>
      <c r="G48" s="51">
        <f>COUNTIF('PF176'!U10:U185,"SCB3_SCL (0)")</f>
        <v>0</v>
      </c>
      <c r="H48" s="51">
        <f>COUNTIF('PF176'!U10:U185,"SCB4_SCL (0)")</f>
        <v>0</v>
      </c>
      <c r="I48" s="55">
        <f>COUNTIF('PF176'!U10:U185,"SCB5_SCL (0)")</f>
        <v>0</v>
      </c>
      <c r="J48" s="55">
        <f>COUNTIF('PF176'!U10:U185,"SCB6_SCL (0)")</f>
        <v>0</v>
      </c>
      <c r="K48" s="55">
        <f>COUNTIF('PF176'!U10:U185,"SCB7_SCL (0)")</f>
        <v>0</v>
      </c>
    </row>
    <row r="49" spans="2:66" x14ac:dyDescent="0.55000000000000004">
      <c r="B49" s="147"/>
      <c r="C49" s="57" t="s">
        <v>794</v>
      </c>
      <c r="D49" s="50">
        <f>COUNTIF('PF176'!U10:U185,"SCB0_SCL (1)")</f>
        <v>0</v>
      </c>
      <c r="E49" s="51">
        <f>COUNTIF('PF176'!U10:U185,"SCB1_SCL (1)")</f>
        <v>0</v>
      </c>
      <c r="F49" s="51">
        <f>COUNTIF('PF176'!U10:U185,"SCB2_SCL (1)")</f>
        <v>0</v>
      </c>
      <c r="G49" s="51">
        <f>COUNTIF('PF176'!U10:U185,"SCB3_SCL (1)")</f>
        <v>0</v>
      </c>
      <c r="H49" s="51">
        <f>COUNTIF('PF176'!U10:U185,"SCB4_SCL (1)")</f>
        <v>0</v>
      </c>
      <c r="I49" s="55">
        <f>COUNTIF('PF176'!U10:U185,"SCB5_SCL (1)")</f>
        <v>0</v>
      </c>
      <c r="J49" s="55">
        <f>COUNTIF('PF176'!U10:U185,"SCB6_SCL (1)")</f>
        <v>0</v>
      </c>
      <c r="K49" s="55">
        <f>COUNTIF('PF176'!U10:U185,"SCB7_SCL (1)")</f>
        <v>0</v>
      </c>
    </row>
    <row r="50" spans="2:66" x14ac:dyDescent="0.55000000000000004">
      <c r="B50" s="147"/>
      <c r="C50" s="57" t="s">
        <v>795</v>
      </c>
      <c r="D50" s="50">
        <f>COUNTIF('PF176'!U10:U185,"SCB0_SCL (2)")</f>
        <v>0</v>
      </c>
      <c r="E50" s="51">
        <f>COUNTIF('PF176'!U10:U185,"SCB1_SCL (2)")</f>
        <v>0</v>
      </c>
      <c r="F50" s="51">
        <f>COUNTIF('PF176'!U10:U185,"SCB2_SCL (2)")</f>
        <v>0</v>
      </c>
      <c r="G50" s="51">
        <f>COUNTIF('PF176'!U10:U185,"SCB3_SCL (2)")</f>
        <v>0</v>
      </c>
      <c r="H50" s="51">
        <f>COUNTIF('PF176'!U10:U185,"SCB4_SCL (2)")</f>
        <v>0</v>
      </c>
      <c r="I50" s="55">
        <f>COUNTIF('PF176'!U10:U185,"SCB5_SCL (2)")</f>
        <v>0</v>
      </c>
      <c r="J50" s="55">
        <f>COUNTIF('PF176'!U10:U185,"SCB6_SCL (2)")</f>
        <v>0</v>
      </c>
      <c r="K50" s="55">
        <f>COUNTIF('PF176'!U10:U185,"SCB7_SCL (2)")</f>
        <v>0</v>
      </c>
    </row>
    <row r="52" spans="2:66" hidden="1" x14ac:dyDescent="0.55000000000000004">
      <c r="B52" s="58" t="s">
        <v>386</v>
      </c>
      <c r="C52" s="58" t="s">
        <v>831</v>
      </c>
      <c r="D52" s="59" t="s">
        <v>387</v>
      </c>
      <c r="E52" s="59" t="s">
        <v>388</v>
      </c>
      <c r="F52" s="59" t="s">
        <v>389</v>
      </c>
      <c r="G52" s="59" t="s">
        <v>390</v>
      </c>
      <c r="H52" s="59" t="s">
        <v>394</v>
      </c>
      <c r="I52" s="59" t="s">
        <v>393</v>
      </c>
      <c r="J52" s="59" t="s">
        <v>392</v>
      </c>
      <c r="K52" s="59" t="s">
        <v>391</v>
      </c>
    </row>
    <row r="53" spans="2:66" hidden="1" x14ac:dyDescent="0.55000000000000004">
      <c r="B53" s="60" t="s">
        <v>830</v>
      </c>
      <c r="C53" s="61">
        <v>0</v>
      </c>
      <c r="D53" s="61">
        <f t="shared" ref="D53:K54" si="0">D23+D25+D27+D29+D31+D33+D35</f>
        <v>0</v>
      </c>
      <c r="E53" s="61">
        <f t="shared" si="0"/>
        <v>0</v>
      </c>
      <c r="F53" s="61">
        <f t="shared" si="0"/>
        <v>0</v>
      </c>
      <c r="G53" s="61">
        <f t="shared" si="0"/>
        <v>0</v>
      </c>
      <c r="H53" s="61">
        <f t="shared" si="0"/>
        <v>0</v>
      </c>
      <c r="I53" s="61">
        <f t="shared" si="0"/>
        <v>0</v>
      </c>
      <c r="J53" s="61">
        <f t="shared" si="0"/>
        <v>0</v>
      </c>
      <c r="K53" s="61">
        <f t="shared" si="0"/>
        <v>0</v>
      </c>
    </row>
    <row r="54" spans="2:66" hidden="1" x14ac:dyDescent="0.55000000000000004">
      <c r="B54" s="62"/>
      <c r="C54" s="61">
        <v>1</v>
      </c>
      <c r="D54" s="61">
        <f t="shared" si="0"/>
        <v>0</v>
      </c>
      <c r="E54" s="61">
        <f t="shared" si="0"/>
        <v>0</v>
      </c>
      <c r="F54" s="61">
        <f t="shared" si="0"/>
        <v>0</v>
      </c>
      <c r="G54" s="61">
        <f t="shared" si="0"/>
        <v>0</v>
      </c>
      <c r="H54" s="61">
        <f t="shared" si="0"/>
        <v>0</v>
      </c>
      <c r="I54" s="61">
        <f t="shared" si="0"/>
        <v>0</v>
      </c>
      <c r="J54" s="61">
        <f t="shared" si="0"/>
        <v>0</v>
      </c>
      <c r="K54" s="61">
        <f t="shared" si="0"/>
        <v>0</v>
      </c>
    </row>
    <row r="55" spans="2:66" hidden="1" x14ac:dyDescent="0.55000000000000004">
      <c r="B55" s="60" t="s">
        <v>832</v>
      </c>
      <c r="C55" s="61">
        <v>0</v>
      </c>
      <c r="D55" s="61">
        <f t="shared" ref="D55:K56" si="1">D37+D39+D41+D43</f>
        <v>0</v>
      </c>
      <c r="E55" s="61">
        <f t="shared" si="1"/>
        <v>0</v>
      </c>
      <c r="F55" s="61">
        <f t="shared" si="1"/>
        <v>0</v>
      </c>
      <c r="G55" s="61">
        <f t="shared" si="1"/>
        <v>0</v>
      </c>
      <c r="H55" s="61">
        <f t="shared" si="1"/>
        <v>0</v>
      </c>
      <c r="I55" s="61">
        <f t="shared" si="1"/>
        <v>0</v>
      </c>
      <c r="J55" s="61">
        <f t="shared" si="1"/>
        <v>0</v>
      </c>
      <c r="K55" s="61">
        <f t="shared" si="1"/>
        <v>0</v>
      </c>
    </row>
    <row r="56" spans="2:66" hidden="1" x14ac:dyDescent="0.55000000000000004">
      <c r="B56" s="62"/>
      <c r="C56" s="61">
        <v>1</v>
      </c>
      <c r="D56" s="61">
        <f t="shared" si="1"/>
        <v>0</v>
      </c>
      <c r="E56" s="61">
        <f t="shared" si="1"/>
        <v>0</v>
      </c>
      <c r="F56" s="61">
        <f t="shared" si="1"/>
        <v>0</v>
      </c>
      <c r="G56" s="61">
        <f t="shared" si="1"/>
        <v>0</v>
      </c>
      <c r="H56" s="61">
        <f t="shared" si="1"/>
        <v>0</v>
      </c>
      <c r="I56" s="61">
        <f t="shared" si="1"/>
        <v>0</v>
      </c>
      <c r="J56" s="61">
        <f t="shared" si="1"/>
        <v>0</v>
      </c>
      <c r="K56" s="61">
        <f t="shared" si="1"/>
        <v>0</v>
      </c>
    </row>
    <row r="57" spans="2:66" hidden="1" x14ac:dyDescent="0.55000000000000004">
      <c r="B57" s="60" t="s">
        <v>833</v>
      </c>
      <c r="C57" s="61">
        <v>0</v>
      </c>
      <c r="D57" s="61">
        <f>D45+D48</f>
        <v>0</v>
      </c>
      <c r="E57" s="61">
        <f>E45+E48</f>
        <v>0</v>
      </c>
      <c r="F57" s="61">
        <f>F45+F48</f>
        <v>0</v>
      </c>
      <c r="G57" s="61">
        <f t="shared" ref="G57:K57" si="2">G45+G48</f>
        <v>0</v>
      </c>
      <c r="H57" s="61">
        <f t="shared" si="2"/>
        <v>0</v>
      </c>
      <c r="I57" s="61">
        <f t="shared" si="2"/>
        <v>0</v>
      </c>
      <c r="J57" s="61">
        <f t="shared" si="2"/>
        <v>0</v>
      </c>
      <c r="K57" s="61">
        <f t="shared" si="2"/>
        <v>0</v>
      </c>
    </row>
    <row r="58" spans="2:66" hidden="1" x14ac:dyDescent="0.55000000000000004">
      <c r="B58" s="63"/>
      <c r="C58" s="61">
        <v>1</v>
      </c>
      <c r="D58" s="61">
        <f>D46+D49</f>
        <v>0</v>
      </c>
      <c r="E58" s="61">
        <f t="shared" ref="E58:K58" si="3">E46+E49</f>
        <v>0</v>
      </c>
      <c r="F58" s="61">
        <f t="shared" si="3"/>
        <v>0</v>
      </c>
      <c r="G58" s="61">
        <f t="shared" si="3"/>
        <v>0</v>
      </c>
      <c r="H58" s="61">
        <f t="shared" si="3"/>
        <v>0</v>
      </c>
      <c r="I58" s="61">
        <f t="shared" si="3"/>
        <v>0</v>
      </c>
      <c r="J58" s="61">
        <f t="shared" si="3"/>
        <v>0</v>
      </c>
      <c r="K58" s="61">
        <f t="shared" si="3"/>
        <v>0</v>
      </c>
    </row>
    <row r="59" spans="2:66" hidden="1" x14ac:dyDescent="0.55000000000000004">
      <c r="B59" s="62"/>
      <c r="C59" s="61">
        <v>2</v>
      </c>
      <c r="D59" s="61">
        <f>D47+D50</f>
        <v>0</v>
      </c>
      <c r="E59" s="61">
        <f t="shared" ref="E59:K59" si="4">E47+E50</f>
        <v>0</v>
      </c>
      <c r="F59" s="61">
        <f t="shared" si="4"/>
        <v>0</v>
      </c>
      <c r="G59" s="61">
        <f t="shared" si="4"/>
        <v>0</v>
      </c>
      <c r="H59" s="61">
        <f t="shared" si="4"/>
        <v>0</v>
      </c>
      <c r="I59" s="61">
        <f t="shared" si="4"/>
        <v>0</v>
      </c>
      <c r="J59" s="61">
        <f t="shared" si="4"/>
        <v>0</v>
      </c>
      <c r="K59" s="61">
        <f t="shared" si="4"/>
        <v>0</v>
      </c>
    </row>
    <row r="60" spans="2:66" hidden="1" x14ac:dyDescent="0.55000000000000004">
      <c r="B60" s="64" t="s">
        <v>834</v>
      </c>
      <c r="C60" s="65"/>
      <c r="D60" s="58">
        <f t="shared" ref="D60:K60" si="5">COUNTIF(D53:D59, "&lt;&gt;0")</f>
        <v>0</v>
      </c>
      <c r="E60" s="58">
        <f t="shared" si="5"/>
        <v>0</v>
      </c>
      <c r="F60" s="58">
        <f t="shared" si="5"/>
        <v>0</v>
      </c>
      <c r="G60" s="58">
        <f t="shared" si="5"/>
        <v>0</v>
      </c>
      <c r="H60" s="58">
        <f t="shared" si="5"/>
        <v>0</v>
      </c>
      <c r="I60" s="58">
        <f t="shared" si="5"/>
        <v>0</v>
      </c>
      <c r="J60" s="58">
        <f t="shared" si="5"/>
        <v>0</v>
      </c>
      <c r="K60" s="58">
        <f t="shared" si="5"/>
        <v>0</v>
      </c>
    </row>
    <row r="62" spans="2:66" x14ac:dyDescent="0.55000000000000004">
      <c r="B62" s="141" t="s">
        <v>442</v>
      </c>
      <c r="C62" s="142"/>
      <c r="D62" s="42" t="s">
        <v>431</v>
      </c>
      <c r="E62" s="42" t="s">
        <v>432</v>
      </c>
      <c r="F62" s="42" t="s">
        <v>433</v>
      </c>
      <c r="G62" s="42" t="s">
        <v>434</v>
      </c>
      <c r="H62" s="42" t="s">
        <v>436</v>
      </c>
      <c r="I62" s="42" t="s">
        <v>437</v>
      </c>
      <c r="J62" s="42" t="s">
        <v>438</v>
      </c>
      <c r="K62" s="42" t="s">
        <v>439</v>
      </c>
      <c r="L62" s="42" t="s">
        <v>440</v>
      </c>
      <c r="M62" s="42" t="s">
        <v>441</v>
      </c>
      <c r="N62" s="42" t="s">
        <v>443</v>
      </c>
      <c r="O62" s="42" t="s">
        <v>444</v>
      </c>
      <c r="P62" s="42" t="s">
        <v>447</v>
      </c>
      <c r="Q62" s="42" t="s">
        <v>448</v>
      </c>
      <c r="R62" s="42" t="s">
        <v>449</v>
      </c>
      <c r="S62" s="42" t="s">
        <v>450</v>
      </c>
      <c r="T62" s="42" t="s">
        <v>451</v>
      </c>
      <c r="U62" s="42" t="s">
        <v>452</v>
      </c>
      <c r="V62" s="42" t="s">
        <v>453</v>
      </c>
      <c r="W62" s="42" t="s">
        <v>454</v>
      </c>
      <c r="X62" s="42" t="s">
        <v>455</v>
      </c>
      <c r="Y62" s="42" t="s">
        <v>456</v>
      </c>
      <c r="Z62" s="42" t="s">
        <v>457</v>
      </c>
      <c r="AA62" s="42" t="s">
        <v>458</v>
      </c>
      <c r="AB62" s="42" t="s">
        <v>459</v>
      </c>
      <c r="AC62" s="42" t="s">
        <v>460</v>
      </c>
      <c r="AD62" s="42" t="s">
        <v>461</v>
      </c>
      <c r="AE62" s="42" t="s">
        <v>462</v>
      </c>
      <c r="AF62" s="42" t="s">
        <v>463</v>
      </c>
      <c r="AG62" s="42" t="s">
        <v>464</v>
      </c>
      <c r="AH62" s="42" t="s">
        <v>465</v>
      </c>
      <c r="AI62" s="42" t="s">
        <v>466</v>
      </c>
      <c r="AJ62" s="42" t="s">
        <v>467</v>
      </c>
      <c r="AK62" s="42" t="s">
        <v>468</v>
      </c>
      <c r="AL62" s="42" t="s">
        <v>469</v>
      </c>
      <c r="AM62" s="42" t="s">
        <v>470</v>
      </c>
      <c r="AN62" s="42" t="s">
        <v>471</v>
      </c>
      <c r="AO62" s="42" t="s">
        <v>472</v>
      </c>
      <c r="AP62" s="42" t="s">
        <v>473</v>
      </c>
      <c r="AQ62" s="42" t="s">
        <v>474</v>
      </c>
      <c r="AR62" s="42" t="s">
        <v>475</v>
      </c>
      <c r="AS62" s="42" t="s">
        <v>476</v>
      </c>
      <c r="AT62" s="42" t="s">
        <v>477</v>
      </c>
      <c r="AU62" s="42" t="s">
        <v>478</v>
      </c>
      <c r="AV62" s="42" t="s">
        <v>479</v>
      </c>
      <c r="AW62" s="42" t="s">
        <v>480</v>
      </c>
      <c r="AX62" s="42" t="s">
        <v>481</v>
      </c>
      <c r="AY62" s="42" t="s">
        <v>482</v>
      </c>
      <c r="AZ62" s="42" t="s">
        <v>483</v>
      </c>
      <c r="BA62" s="42" t="s">
        <v>484</v>
      </c>
      <c r="BB62" s="42" t="s">
        <v>485</v>
      </c>
      <c r="BC62" s="42" t="s">
        <v>486</v>
      </c>
      <c r="BD62" s="42" t="s">
        <v>487</v>
      </c>
      <c r="BE62" s="42" t="s">
        <v>488</v>
      </c>
      <c r="BF62" s="42" t="s">
        <v>489</v>
      </c>
      <c r="BG62" s="42" t="s">
        <v>490</v>
      </c>
      <c r="BH62" s="42" t="s">
        <v>491</v>
      </c>
      <c r="BI62" s="42" t="s">
        <v>492</v>
      </c>
      <c r="BJ62" s="42" t="s">
        <v>493</v>
      </c>
      <c r="BK62" s="42" t="s">
        <v>494</v>
      </c>
      <c r="BL62" s="42" t="s">
        <v>495</v>
      </c>
      <c r="BM62" s="42" t="s">
        <v>496</v>
      </c>
      <c r="BN62" s="42" t="s">
        <v>497</v>
      </c>
    </row>
    <row r="63" spans="2:66" x14ac:dyDescent="0.55000000000000004">
      <c r="B63" s="139" t="s">
        <v>428</v>
      </c>
      <c r="C63" s="43" t="s">
        <v>421</v>
      </c>
      <c r="D63" s="43">
        <f>COUNTIF('PF176'!U10:U185,"PWM0_0")</f>
        <v>0</v>
      </c>
      <c r="E63" s="43">
        <f>COUNTIF('PF176'!U10:U185,"PWM0_1")</f>
        <v>0</v>
      </c>
      <c r="F63" s="43">
        <f>COUNTIF('PF176'!U10:U185,"PWM0_2")</f>
        <v>0</v>
      </c>
      <c r="G63" s="43">
        <f>COUNTIF('PF176'!U10:U185,"PWM0_3")</f>
        <v>0</v>
      </c>
      <c r="H63" s="43">
        <f>COUNTIF('PF176'!U10:U185,"PWM0_4")</f>
        <v>0</v>
      </c>
      <c r="I63" s="43">
        <f>COUNTIF('PF176'!U10:U185,"PWM0_5")</f>
        <v>0</v>
      </c>
      <c r="J63" s="43">
        <f>COUNTIF('PF176'!U10:U185,"PWM0_6")</f>
        <v>0</v>
      </c>
      <c r="K63" s="43">
        <f>COUNTIF('PF176'!U10:U185,"PWM0_7")</f>
        <v>0</v>
      </c>
      <c r="L63" s="43">
        <f>COUNTIF('PF176'!U10:U185,"PWM0_8")</f>
        <v>0</v>
      </c>
      <c r="M63" s="43">
        <f>COUNTIF('PF176'!U10:U185,"PWM0_9")</f>
        <v>0</v>
      </c>
      <c r="N63" s="43">
        <f>COUNTIF('PF176'!U10:U185,"PWM0_10")</f>
        <v>0</v>
      </c>
      <c r="O63" s="43">
        <f>COUNTIF('PF176'!U10:U185,"PWM0_11")</f>
        <v>0</v>
      </c>
      <c r="P63" s="43">
        <f>COUNTIF('PF176'!U10:U185,"PWM0_12")</f>
        <v>0</v>
      </c>
      <c r="Q63" s="43">
        <f>COUNTIF('PF176'!U10:U185,"PWM0_13")</f>
        <v>0</v>
      </c>
      <c r="R63" s="43">
        <f>COUNTIF('PF176'!U10:U185,"PWM0_14")</f>
        <v>0</v>
      </c>
      <c r="S63" s="43">
        <f>COUNTIF('PF176'!U10:U185,"PWM0_15")</f>
        <v>0</v>
      </c>
      <c r="T63" s="43">
        <f>COUNTIF('PF176'!U10:U185,"PWM0_16")</f>
        <v>0</v>
      </c>
      <c r="U63" s="43">
        <f>COUNTIF('PF176'!U10:U185,"PWM0_17")</f>
        <v>0</v>
      </c>
      <c r="V63" s="43">
        <f>COUNTIF('PF176'!U10:U185,"PWM0_18")</f>
        <v>0</v>
      </c>
      <c r="W63" s="43">
        <f>COUNTIF('PF176'!U10:U185,"PWM0_19")</f>
        <v>0</v>
      </c>
      <c r="X63" s="43">
        <f>COUNTIF('PF176'!U10:U185,"PWM0_20")</f>
        <v>0</v>
      </c>
      <c r="Y63" s="43">
        <f>COUNTIF('PF176'!U10:U185,"PWM0_21")</f>
        <v>0</v>
      </c>
      <c r="Z63" s="43">
        <f>COUNTIF('PF176'!U10:U185,"PWM0_22")</f>
        <v>0</v>
      </c>
      <c r="AA63" s="43">
        <f>COUNTIF('PF176'!U10:U185,"PWM0_23")</f>
        <v>0</v>
      </c>
      <c r="AB63" s="43">
        <f>COUNTIF('PF176'!U10:U185,"PWM0_24")</f>
        <v>0</v>
      </c>
      <c r="AC63" s="43">
        <f>COUNTIF('PF176'!U10:U185,"PWM0_25")</f>
        <v>0</v>
      </c>
      <c r="AD63" s="43">
        <f>COUNTIF('PF176'!U10:U185,"PWM0_26")</f>
        <v>0</v>
      </c>
      <c r="AE63" s="43">
        <f>COUNTIF('PF176'!U10:U185,"PWM0_27")</f>
        <v>0</v>
      </c>
      <c r="AF63" s="43">
        <f>COUNTIF('PF176'!U10:U185,"PWM0_28")</f>
        <v>0</v>
      </c>
      <c r="AG63" s="43">
        <f>COUNTIF('PF176'!U10:U185,"PWM0_29")</f>
        <v>0</v>
      </c>
      <c r="AH63" s="43">
        <f>COUNTIF('PF176'!U10:U185,"PWM0_30")</f>
        <v>0</v>
      </c>
      <c r="AI63" s="43">
        <f>COUNTIF('PF176'!U10:U185,"PWM0_31")</f>
        <v>0</v>
      </c>
      <c r="AJ63" s="43">
        <f>COUNTIF('PF176'!U10:U185,"PWM0_32")</f>
        <v>0</v>
      </c>
      <c r="AK63" s="43">
        <f>COUNTIF('PF176'!U10:U185,"PWM0_33")</f>
        <v>0</v>
      </c>
      <c r="AL63" s="43">
        <f>COUNTIF('PF176'!U10:U185,"PWM0_34")</f>
        <v>0</v>
      </c>
      <c r="AM63" s="43">
        <f>COUNTIF('PF176'!U10:U185,"PWM0_35")</f>
        <v>0</v>
      </c>
      <c r="AN63" s="43">
        <f>COUNTIF('PF176'!U10:U185,"PWM0_36")</f>
        <v>0</v>
      </c>
      <c r="AO63" s="43">
        <f>COUNTIF('PF176'!U10:U185,"PWM0_37")</f>
        <v>0</v>
      </c>
      <c r="AP63" s="43">
        <f>COUNTIF('PF176'!U10:U185,"PWM0_38")</f>
        <v>0</v>
      </c>
      <c r="AQ63" s="43">
        <f>COUNTIF('PF176'!U10:U185,"PWM0_39")</f>
        <v>0</v>
      </c>
      <c r="AR63" s="43">
        <f>COUNTIF('PF176'!U10:U185,"PWM0_40")</f>
        <v>0</v>
      </c>
      <c r="AS63" s="43">
        <f>COUNTIF('PF176'!U10:U185,"PWM0_41")</f>
        <v>0</v>
      </c>
      <c r="AT63" s="43">
        <f>COUNTIF('PF176'!U10:U185,"PWM0_42")</f>
        <v>0</v>
      </c>
      <c r="AU63" s="43">
        <f>COUNTIF('PF176'!U10:U185,"PWM0_43")</f>
        <v>0</v>
      </c>
      <c r="AV63" s="43">
        <f>COUNTIF('PF176'!U10:U185,"PWM0_44")</f>
        <v>0</v>
      </c>
      <c r="AW63" s="43">
        <f>COUNTIF('PF176'!U10:U185,"PWM0_45")</f>
        <v>0</v>
      </c>
      <c r="AX63" s="43">
        <f>COUNTIF('PF176'!U10:U185,"PWM0_46")</f>
        <v>0</v>
      </c>
      <c r="AY63" s="43">
        <f>COUNTIF('PF176'!U10:U185,"PWM0_47")</f>
        <v>0</v>
      </c>
      <c r="AZ63" s="43">
        <f>COUNTIF('PF176'!U10:U185,"PWM0_48")</f>
        <v>0</v>
      </c>
      <c r="BA63" s="43">
        <f>COUNTIF('PF176'!U10:U185,"PWM0_49")</f>
        <v>0</v>
      </c>
      <c r="BB63" s="43">
        <f>COUNTIF('PF176'!U10:U185,"PWM0_50")</f>
        <v>0</v>
      </c>
      <c r="BC63" s="43">
        <f>COUNTIF('PF176'!U10:U185,"PWM0_51")</f>
        <v>0</v>
      </c>
      <c r="BD63" s="43">
        <f>COUNTIF('PF176'!U10:U185,"PWM0_52")</f>
        <v>0</v>
      </c>
      <c r="BE63" s="43">
        <f>COUNTIF('PF176'!U10:U185,"PWM0_53")</f>
        <v>0</v>
      </c>
      <c r="BF63" s="43">
        <f>COUNTIF('PF176'!U10:U185,"PWM0_54")</f>
        <v>0</v>
      </c>
      <c r="BG63" s="43">
        <f>COUNTIF('PF176'!U10:U185,"PWM0_55")</f>
        <v>0</v>
      </c>
      <c r="BH63" s="43">
        <f>COUNTIF('PF176'!U10:U185,"PWM0_56")</f>
        <v>0</v>
      </c>
      <c r="BI63" s="43">
        <f>COUNTIF('PF176'!U10:U185,"PWM0_57")</f>
        <v>0</v>
      </c>
      <c r="BJ63" s="43">
        <f>COUNTIF('PF176'!U10:U185,"PWM0_58")</f>
        <v>0</v>
      </c>
      <c r="BK63" s="43">
        <f>COUNTIF('PF176'!U10:U185,"PWM0_59")</f>
        <v>0</v>
      </c>
      <c r="BL63" s="43">
        <f>COUNTIF('PF176'!U10:U185,"PWM0_60")</f>
        <v>0</v>
      </c>
      <c r="BM63" s="43">
        <f>COUNTIF('PF176'!U10:U185,"PWM0_61")</f>
        <v>0</v>
      </c>
      <c r="BN63" s="43">
        <f>COUNTIF('PF176'!U10:U185,"PWM0_62")</f>
        <v>0</v>
      </c>
    </row>
    <row r="64" spans="2:66" x14ac:dyDescent="0.55000000000000004">
      <c r="B64" s="140"/>
      <c r="C64" s="43" t="s">
        <v>424</v>
      </c>
      <c r="D64" s="43">
        <f>COUNTIF('PF176'!U10:U185,"PWM0_0_N")</f>
        <v>0</v>
      </c>
      <c r="E64" s="43">
        <f>COUNTIF('PF176'!U10:U185,"PWM0_1_N")</f>
        <v>0</v>
      </c>
      <c r="F64" s="43">
        <f>COUNTIF('PF176'!U10:U185,"PWM0_2_N")</f>
        <v>0</v>
      </c>
      <c r="G64" s="43">
        <f>COUNTIF('PF176'!U10:U185,"PWM0_3_N")</f>
        <v>0</v>
      </c>
      <c r="H64" s="43">
        <f>COUNTIF('PF176'!U10:U185,"PWM0_4_N")</f>
        <v>0</v>
      </c>
      <c r="I64" s="43">
        <f>COUNTIF('PF176'!U10:U185,"PWM0_5_N")</f>
        <v>0</v>
      </c>
      <c r="J64" s="43">
        <f>COUNTIF('PF176'!U10:U185,"PWM0_6_N")</f>
        <v>0</v>
      </c>
      <c r="K64" s="43">
        <f>COUNTIF('PF176'!U10:U185,"PWM0_7_N")</f>
        <v>0</v>
      </c>
      <c r="L64" s="43">
        <f>COUNTIF('PF176'!U10:U185,"PWM0_8_N")</f>
        <v>0</v>
      </c>
      <c r="M64" s="43">
        <f>COUNTIF('PF176'!U10:U185,"PWM0_9_N")</f>
        <v>0</v>
      </c>
      <c r="N64" s="43">
        <f>COUNTIF('PF176'!U10:U185,"PWM0_10_N")</f>
        <v>0</v>
      </c>
      <c r="O64" s="43">
        <f>COUNTIF('PF176'!U10:U185,"PWM0_11_N")</f>
        <v>0</v>
      </c>
      <c r="P64" s="43">
        <f>COUNTIF('PF176'!U10:U185,"PWM0_12_N")</f>
        <v>0</v>
      </c>
      <c r="Q64" s="43">
        <f>COUNTIF('PF176'!U10:U185,"PWM0_13_N")</f>
        <v>0</v>
      </c>
      <c r="R64" s="43">
        <f>COUNTIF('PF176'!U10:U185,"PWM0_14_N")</f>
        <v>0</v>
      </c>
      <c r="S64" s="43">
        <f>COUNTIF('PF176'!U10:U185,"PWM0_15_N")</f>
        <v>0</v>
      </c>
      <c r="T64" s="43">
        <f>COUNTIF('PF176'!U10:U185,"PWM0_16_N")</f>
        <v>0</v>
      </c>
      <c r="U64" s="43">
        <f>COUNTIF('PF176'!U10:U185,"PWM0_17_N")</f>
        <v>0</v>
      </c>
      <c r="V64" s="43">
        <f>COUNTIF('PF176'!U10:U185,"PWM0_18_N")</f>
        <v>0</v>
      </c>
      <c r="W64" s="43">
        <f>COUNTIF('PF176'!U10:U185,"PWM0_19_N")</f>
        <v>0</v>
      </c>
      <c r="X64" s="43">
        <f>COUNTIF('PF176'!U10:U185,"PWM0_20_N")</f>
        <v>0</v>
      </c>
      <c r="Y64" s="43">
        <f>COUNTIF('PF176'!U10:U185,"PWM0_21_N")</f>
        <v>0</v>
      </c>
      <c r="Z64" s="43">
        <f>COUNTIF('PF176'!U10:U185,"PWM0_22_N")</f>
        <v>0</v>
      </c>
      <c r="AA64" s="43">
        <f>COUNTIF('PF176'!U10:U185,"PWM0_23_N")</f>
        <v>0</v>
      </c>
      <c r="AB64" s="43">
        <f>COUNTIF('PF176'!U10:U185,"PWM0_24_N")</f>
        <v>0</v>
      </c>
      <c r="AC64" s="43">
        <f>COUNTIF('PF176'!U10:U185,"PWM0_25_N")</f>
        <v>0</v>
      </c>
      <c r="AD64" s="43">
        <f>COUNTIF('PF176'!U10:U185,"PWM0_26_N")</f>
        <v>0</v>
      </c>
      <c r="AE64" s="43">
        <f>COUNTIF('PF176'!U10:U185,"PWM0_27_N")</f>
        <v>0</v>
      </c>
      <c r="AF64" s="43">
        <f>COUNTIF('PF176'!U10:U185,"PWM0_28_N")</f>
        <v>0</v>
      </c>
      <c r="AG64" s="43">
        <f>COUNTIF('PF176'!U10:U185,"PWM0_29_N")</f>
        <v>0</v>
      </c>
      <c r="AH64" s="43">
        <f>COUNTIF('PF176'!U10:U185,"PWM0_30_N")</f>
        <v>0</v>
      </c>
      <c r="AI64" s="43">
        <f>COUNTIF('PF176'!U10:U185,"PWM0_31_N")</f>
        <v>0</v>
      </c>
      <c r="AJ64" s="43">
        <f>COUNTIF('PF176'!U10:U185,"PWM0_32_N")</f>
        <v>0</v>
      </c>
      <c r="AK64" s="43">
        <f>COUNTIF('PF176'!U10:U185,"PWM0_33_N")</f>
        <v>0</v>
      </c>
      <c r="AL64" s="43">
        <f>COUNTIF('PF176'!U10:U185,"PWM0_34_N")</f>
        <v>0</v>
      </c>
      <c r="AM64" s="43">
        <f>COUNTIF('PF176'!U10:U185,"PWM0_35_N")</f>
        <v>0</v>
      </c>
      <c r="AN64" s="43">
        <f>COUNTIF('PF176'!U10:U185,"PWM0_36_N")</f>
        <v>0</v>
      </c>
      <c r="AO64" s="43">
        <f>COUNTIF('PF176'!U10:U185,"PWM0_37_N")</f>
        <v>0</v>
      </c>
      <c r="AP64" s="43">
        <f>COUNTIF('PF176'!U10:U185,"PWM0_38_N")</f>
        <v>0</v>
      </c>
      <c r="AQ64" s="43">
        <f>COUNTIF('PF176'!U10:U185,"PWM0_39_N")</f>
        <v>0</v>
      </c>
      <c r="AR64" s="43">
        <f>COUNTIF('PF176'!U10:U185,"PWM0_40_N")</f>
        <v>0</v>
      </c>
      <c r="AS64" s="43">
        <f>COUNTIF('PF176'!U10:U185,"PWM0_41_N")</f>
        <v>0</v>
      </c>
      <c r="AT64" s="43">
        <f>COUNTIF('PF176'!U10:U185,"PWM0_42_N")</f>
        <v>0</v>
      </c>
      <c r="AU64" s="43">
        <f>COUNTIF('PF176'!U10:U185,"PWM0_43_N")</f>
        <v>0</v>
      </c>
      <c r="AV64" s="43">
        <f>COUNTIF('PF176'!U10:U185,"PWM0_44_N")</f>
        <v>0</v>
      </c>
      <c r="AW64" s="43">
        <f>COUNTIF('PF176'!U10:U185,"PWM0_45_N")</f>
        <v>0</v>
      </c>
      <c r="AX64" s="43">
        <f>COUNTIF('PF176'!U10:U185,"PWM0_46_N")</f>
        <v>0</v>
      </c>
      <c r="AY64" s="43">
        <f>COUNTIF('PF176'!U10:U185,"PWM0_47_N")</f>
        <v>0</v>
      </c>
      <c r="AZ64" s="43">
        <f>COUNTIF('PF176'!U10:U185,"PWM0_48_N")</f>
        <v>0</v>
      </c>
      <c r="BA64" s="43">
        <f>COUNTIF('PF176'!U10:U185,"PWM0_49_N")</f>
        <v>0</v>
      </c>
      <c r="BB64" s="43">
        <f>COUNTIF('PF176'!U10:U185,"PWM0_50_N")</f>
        <v>0</v>
      </c>
      <c r="BC64" s="43">
        <f>COUNTIF('PF176'!U10:U185,"PWM0_51_N")</f>
        <v>0</v>
      </c>
      <c r="BD64" s="43">
        <f>COUNTIF('PF176'!U10:U185,"PWM0_52_N")</f>
        <v>0</v>
      </c>
      <c r="BE64" s="43">
        <f>COUNTIF('PF176'!U10:U185,"PWM0_53_N")</f>
        <v>0</v>
      </c>
      <c r="BF64" s="43">
        <f>COUNTIF('PF176'!U10:U185,"PWM0_54_N")</f>
        <v>0</v>
      </c>
      <c r="BG64" s="43">
        <f>COUNTIF('PF176'!U10:U185,"PWM0_55_N")</f>
        <v>0</v>
      </c>
      <c r="BH64" s="43">
        <f>COUNTIF('PF176'!U10:U185,"PWM0_56_N")</f>
        <v>0</v>
      </c>
      <c r="BI64" s="43">
        <f>COUNTIF('PF176'!U10:U185,"PWM0_57_N")</f>
        <v>0</v>
      </c>
      <c r="BJ64" s="43">
        <f>COUNTIF('PF176'!U10:U185,"PWM0_58_N")</f>
        <v>0</v>
      </c>
      <c r="BK64" s="43">
        <f>COUNTIF('PF176'!U10:U185,"PWM0_59_N")</f>
        <v>0</v>
      </c>
      <c r="BL64" s="43">
        <f>COUNTIF('PF176'!U10:U185,"PWM0_60_N")</f>
        <v>0</v>
      </c>
      <c r="BM64" s="43">
        <f>COUNTIF('PF176'!U10:U185,"PWM0_61_N")</f>
        <v>0</v>
      </c>
      <c r="BN64" s="43">
        <f>COUNTIF('PF176'!U10:U185,"PWM0_62_N")</f>
        <v>0</v>
      </c>
    </row>
    <row r="65" spans="2:66" x14ac:dyDescent="0.55000000000000004">
      <c r="B65" s="139" t="s">
        <v>429</v>
      </c>
      <c r="C65" s="43" t="s">
        <v>422</v>
      </c>
      <c r="D65" s="43">
        <f>COUNTIF('PF176'!U10:U185,"TC0_0_TR0")</f>
        <v>0</v>
      </c>
      <c r="E65" s="43">
        <f>COUNTIF('PF176'!U10:U185,"TC0_1_TR0")</f>
        <v>0</v>
      </c>
      <c r="F65" s="43">
        <f>COUNTIF('PF176'!U10:U185,"TC0_2_TR0")</f>
        <v>0</v>
      </c>
      <c r="G65" s="43">
        <f>COUNTIF('PF176'!U10:U185,"TC0_3_TR0")</f>
        <v>0</v>
      </c>
      <c r="H65" s="43">
        <f>COUNTIF('PF176'!U10:U185,"TC0_4_TR0")</f>
        <v>0</v>
      </c>
      <c r="I65" s="43">
        <f>COUNTIF('PF176'!U10:U185,"TC0_5_TR0")</f>
        <v>0</v>
      </c>
      <c r="J65" s="43">
        <f>COUNTIF('PF176'!U10:U185,"TC0_6_TR0")</f>
        <v>0</v>
      </c>
      <c r="K65" s="43">
        <f>COUNTIF('PF176'!U10:U185,"TC0_7_TR0")</f>
        <v>0</v>
      </c>
      <c r="L65" s="43">
        <f>COUNTIF('PF176'!U10:U185,"TC0_8_TR0")</f>
        <v>0</v>
      </c>
      <c r="M65" s="43">
        <f>COUNTIF('PF176'!U10:U185,"TC0_9_TR0")</f>
        <v>0</v>
      </c>
      <c r="N65" s="43">
        <f>COUNTIF('PF176'!U10:U185,"TC0_10_TR0")</f>
        <v>0</v>
      </c>
      <c r="O65" s="43">
        <f>COUNTIF('PF176'!U10:U185,"TC0_11_TR0")</f>
        <v>0</v>
      </c>
      <c r="P65" s="43">
        <f>COUNTIF('PF176'!U10:U185,"TC0_12_TR0")</f>
        <v>0</v>
      </c>
      <c r="Q65" s="43">
        <f>COUNTIF('PF176'!U10:U185,"TC0_13_TR0")</f>
        <v>0</v>
      </c>
      <c r="R65" s="43">
        <f>COUNTIF('PF176'!U10:U185,"TC0_14_TR0")</f>
        <v>0</v>
      </c>
      <c r="S65" s="43">
        <f>COUNTIF('PF176'!U10:U185,"TC0_15_TR0")</f>
        <v>0</v>
      </c>
      <c r="T65" s="43">
        <f>COUNTIF('PF176'!U10:U185,"TC0_16_TR0")</f>
        <v>0</v>
      </c>
      <c r="U65" s="43">
        <f>COUNTIF('PF176'!U10:U185,"TC0_17_TR0")</f>
        <v>0</v>
      </c>
      <c r="V65" s="43">
        <f>COUNTIF('PF176'!U10:U185,"TC0_18_TR0")</f>
        <v>0</v>
      </c>
      <c r="W65" s="43">
        <f>COUNTIF('PF176'!U10:U185,"TC0_19_TR0")</f>
        <v>0</v>
      </c>
      <c r="X65" s="43">
        <f>COUNTIF('PF176'!U10:U185,"TC0_20_TR0")</f>
        <v>0</v>
      </c>
      <c r="Y65" s="43">
        <f>COUNTIF('PF176'!U10:U185,"TC0_21_TR0")</f>
        <v>0</v>
      </c>
      <c r="Z65" s="43">
        <f>COUNTIF('PF176'!U10:U185,"TC0_22_TR0")</f>
        <v>0</v>
      </c>
      <c r="AA65" s="43">
        <f>COUNTIF('PF176'!U10:U185,"TC0_23_TR0")</f>
        <v>0</v>
      </c>
      <c r="AB65" s="43">
        <f>COUNTIF('PF176'!U10:U185,"TC0_24_TR0")</f>
        <v>0</v>
      </c>
      <c r="AC65" s="43">
        <f>COUNTIF('PF176'!U10:U185,"TC0_25_TR0")</f>
        <v>0</v>
      </c>
      <c r="AD65" s="43">
        <f>COUNTIF('PF176'!U10:U185,"TC0_26_TR0")</f>
        <v>0</v>
      </c>
      <c r="AE65" s="43">
        <f>COUNTIF('PF176'!U10:U185,"TC0_27_TR0")</f>
        <v>0</v>
      </c>
      <c r="AF65" s="43">
        <f>COUNTIF('PF176'!U10:U185,"TC0_28_TR0")</f>
        <v>0</v>
      </c>
      <c r="AG65" s="43">
        <f>COUNTIF('PF176'!U10:U185,"TC0_29_TR0")</f>
        <v>0</v>
      </c>
      <c r="AH65" s="43">
        <f>COUNTIF('PF176'!U10:U185,"TC0_30_TR0")</f>
        <v>0</v>
      </c>
      <c r="AI65" s="43">
        <f>COUNTIF('PF176'!U10:U185,"TC0_31_TR0")</f>
        <v>0</v>
      </c>
      <c r="AJ65" s="43">
        <f>COUNTIF('PF176'!U10:U185,"TC0_32_TR0")</f>
        <v>0</v>
      </c>
      <c r="AK65" s="43">
        <f>COUNTIF('PF176'!U10:U185,"TC0_33_TR0")</f>
        <v>0</v>
      </c>
      <c r="AL65" s="43">
        <f>COUNTIF('PF176'!U10:U185,"TC0_34_TR0")</f>
        <v>0</v>
      </c>
      <c r="AM65" s="43">
        <f>COUNTIF('PF176'!U10:U185,"TC0_35_TR0")</f>
        <v>0</v>
      </c>
      <c r="AN65" s="43">
        <f>COUNTIF('PF176'!U10:U185,"TC0_36_TR0")</f>
        <v>0</v>
      </c>
      <c r="AO65" s="43">
        <f>COUNTIF('PF176'!U10:U185,"TC0_37_TR0")</f>
        <v>0</v>
      </c>
      <c r="AP65" s="43">
        <f>COUNTIF('PF176'!U10:U185,"TC0_38_TR0")</f>
        <v>0</v>
      </c>
      <c r="AQ65" s="43">
        <f>COUNTIF('PF176'!U10:U185,"TC0_39_TR0")</f>
        <v>0</v>
      </c>
      <c r="AR65" s="43">
        <f>COUNTIF('PF176'!U10:U185,"TC0_40_TR0")</f>
        <v>0</v>
      </c>
      <c r="AS65" s="43">
        <f>COUNTIF('PF176'!U10:U185,"TC0_41_TR0")</f>
        <v>0</v>
      </c>
      <c r="AT65" s="43">
        <f>COUNTIF('PF176'!U10:U185,"TC0_42_TR0")</f>
        <v>0</v>
      </c>
      <c r="AU65" s="43">
        <f>COUNTIF('PF176'!U10:U185,"TC0_43_TR0")</f>
        <v>0</v>
      </c>
      <c r="AV65" s="43">
        <f>COUNTIF('PF176'!U10:U185,"TC0_44_TR0")</f>
        <v>0</v>
      </c>
      <c r="AW65" s="43">
        <f>COUNTIF('PF176'!U10:U185,"TC0_45_TR0")</f>
        <v>0</v>
      </c>
      <c r="AX65" s="43">
        <f>COUNTIF('PF176'!U10:U185,"TC0_46_TR0")</f>
        <v>0</v>
      </c>
      <c r="AY65" s="43">
        <f>COUNTIF('PF176'!U10:U185,"TC0_47_TR0")</f>
        <v>0</v>
      </c>
      <c r="AZ65" s="43">
        <f>COUNTIF('PF176'!U10:U185,"TC0_48_TR0")</f>
        <v>0</v>
      </c>
      <c r="BA65" s="43">
        <f>COUNTIF('PF176'!U10:U185,"TC0_49_TR0")</f>
        <v>0</v>
      </c>
      <c r="BB65" s="43">
        <f>COUNTIF('PF176'!U10:U185,"TC0_50_TR0")</f>
        <v>0</v>
      </c>
      <c r="BC65" s="43">
        <f>COUNTIF('PF176'!U10:U185,"TC0_51_TR0")</f>
        <v>0</v>
      </c>
      <c r="BD65" s="43">
        <f>COUNTIF('PF176'!U10:U185,"TC0_52_TR0")</f>
        <v>0</v>
      </c>
      <c r="BE65" s="43">
        <f>COUNTIF('PF176'!U10:U185,"TC0_53_TR0")</f>
        <v>0</v>
      </c>
      <c r="BF65" s="43">
        <f>COUNTIF('PF176'!U10:U185,"TC0_54_TR0")</f>
        <v>0</v>
      </c>
      <c r="BG65" s="43">
        <f>COUNTIF('PF176'!U10:U185,"TC0_55_TR0")</f>
        <v>0</v>
      </c>
      <c r="BH65" s="43">
        <f>COUNTIF('PF176'!U10:U185,"TC0_56_TR0")</f>
        <v>0</v>
      </c>
      <c r="BI65" s="43">
        <f>COUNTIF('PF176'!U10:U185,"TC0_57_TR0")</f>
        <v>0</v>
      </c>
      <c r="BJ65" s="43">
        <f>COUNTIF('PF176'!U10:U185,"TC0_58_TR0")</f>
        <v>0</v>
      </c>
      <c r="BK65" s="43">
        <f>COUNTIF('PF176'!U10:U185,"TC0_59_TR0")</f>
        <v>0</v>
      </c>
      <c r="BL65" s="43">
        <f>COUNTIF('PF176'!U10:U185,"TC0_60_TR0")</f>
        <v>0</v>
      </c>
      <c r="BM65" s="43">
        <f>COUNTIF('PF176'!U10:U185,"TC0_61_TR0")</f>
        <v>0</v>
      </c>
      <c r="BN65" s="43">
        <f>COUNTIF('PF176'!U10:U185,"TC0_62_TR0")</f>
        <v>0</v>
      </c>
    </row>
    <row r="66" spans="2:66" x14ac:dyDescent="0.55000000000000004">
      <c r="B66" s="140"/>
      <c r="C66" s="43" t="s">
        <v>423</v>
      </c>
      <c r="D66" s="43">
        <f>COUNTIF('PF176'!U10:U185,"TC0_0_TR1")</f>
        <v>0</v>
      </c>
      <c r="E66" s="43">
        <f>COUNTIF('PF176'!U10:U185,"TC0_1_TR1")</f>
        <v>0</v>
      </c>
      <c r="F66" s="43">
        <f>COUNTIF('PF176'!U10:U185,"TC0_2_TR1")</f>
        <v>0</v>
      </c>
      <c r="G66" s="43">
        <f>COUNTIF('PF176'!U10:U185,"TC0_3_TR1")</f>
        <v>0</v>
      </c>
      <c r="H66" s="43">
        <f>COUNTIF('PF176'!U10:U185,"TC0_4_TR1")</f>
        <v>0</v>
      </c>
      <c r="I66" s="43">
        <f>COUNTIF('PF176'!U10:U185,"TC0_5_TR1")</f>
        <v>0</v>
      </c>
      <c r="J66" s="43">
        <f>COUNTIF('PF176'!U10:U185,"TC0_6_TR1")</f>
        <v>0</v>
      </c>
      <c r="K66" s="43">
        <f>COUNTIF('PF176'!U10:U185,"TC0_7_TR1")</f>
        <v>0</v>
      </c>
      <c r="L66" s="43">
        <f>COUNTIF('PF176'!U10:U185,"TC0_8_TR1")</f>
        <v>0</v>
      </c>
      <c r="M66" s="43">
        <f>COUNTIF('PF176'!U10:U185,"TC0_9_TR1")</f>
        <v>0</v>
      </c>
      <c r="N66" s="43">
        <f>COUNTIF('PF176'!U10:U185,"TC0_10_TR1")</f>
        <v>0</v>
      </c>
      <c r="O66" s="43">
        <f>COUNTIF('PF176'!U10:U185,"TC0_11_TR1")</f>
        <v>0</v>
      </c>
      <c r="P66" s="43">
        <f>COUNTIF('PF176'!U10:U185,"TC0_12_TR1")</f>
        <v>0</v>
      </c>
      <c r="Q66" s="43">
        <f>COUNTIF('PF176'!U10:U185,"TC0_13_TR1")</f>
        <v>0</v>
      </c>
      <c r="R66" s="43">
        <f>COUNTIF('PF176'!U10:U185,"TC0_14_TR1")</f>
        <v>0</v>
      </c>
      <c r="S66" s="43">
        <f>COUNTIF('PF176'!U10:U185,"TC0_15_TR1")</f>
        <v>0</v>
      </c>
      <c r="T66" s="43">
        <f>COUNTIF('PF176'!U10:U185,"TC0_16_TR1")</f>
        <v>0</v>
      </c>
      <c r="U66" s="43">
        <f>COUNTIF('PF176'!U10:U185,"TC0_17_TR1")</f>
        <v>0</v>
      </c>
      <c r="V66" s="43">
        <f>COUNTIF('PF176'!U10:U185,"TC0_18_TR1")</f>
        <v>0</v>
      </c>
      <c r="W66" s="43">
        <f>COUNTIF('PF176'!U10:U185,"TC0_19_TR1")</f>
        <v>0</v>
      </c>
      <c r="X66" s="43">
        <f>COUNTIF('PF176'!U10:U185,"TC0_20_TR1")</f>
        <v>0</v>
      </c>
      <c r="Y66" s="43">
        <f>COUNTIF('PF176'!U10:U185,"TC0_21_TR1")</f>
        <v>0</v>
      </c>
      <c r="Z66" s="43">
        <f>COUNTIF('PF176'!U10:U185,"TC0_22_TR1")</f>
        <v>0</v>
      </c>
      <c r="AA66" s="43">
        <f>COUNTIF('PF176'!U10:U185,"TC0_23_TR1")</f>
        <v>0</v>
      </c>
      <c r="AB66" s="43">
        <f>COUNTIF('PF176'!U10:U185,"TC0_24_TR1")</f>
        <v>0</v>
      </c>
      <c r="AC66" s="43">
        <f>COUNTIF('PF176'!U10:U185,"TC0_25_TR1")</f>
        <v>0</v>
      </c>
      <c r="AD66" s="43">
        <f>COUNTIF('PF176'!U10:U185,"TC0_26_TR1")</f>
        <v>0</v>
      </c>
      <c r="AE66" s="43">
        <f>COUNTIF('PF176'!U10:U185,"TC0_27_TR1")</f>
        <v>0</v>
      </c>
      <c r="AF66" s="43">
        <f>COUNTIF('PF176'!U10:U185,"TC0_28_TR1")</f>
        <v>0</v>
      </c>
      <c r="AG66" s="43">
        <f>COUNTIF('PF176'!U10:U185,"TC0_29_TR1")</f>
        <v>0</v>
      </c>
      <c r="AH66" s="43">
        <f>COUNTIF('PF176'!U10:U185,"TC0_30_TR1")</f>
        <v>0</v>
      </c>
      <c r="AI66" s="43">
        <f>COUNTIF('PF176'!U10:U185,"TC0_31_TR1")</f>
        <v>0</v>
      </c>
      <c r="AJ66" s="43">
        <f>COUNTIF('PF176'!U10:U185,"TC0_32_TR1")</f>
        <v>0</v>
      </c>
      <c r="AK66" s="43">
        <f>COUNTIF('PF176'!U10:U185,"TC0_33_TR1")</f>
        <v>0</v>
      </c>
      <c r="AL66" s="43">
        <f>COUNTIF('PF176'!U10:U185,"TC0_34_TR1")</f>
        <v>0</v>
      </c>
      <c r="AM66" s="43">
        <f>COUNTIF('PF176'!U10:U185,"TC0_35_TR1")</f>
        <v>0</v>
      </c>
      <c r="AN66" s="43">
        <f>COUNTIF('PF176'!U10:U185,"TC0_36_TR1")</f>
        <v>0</v>
      </c>
      <c r="AO66" s="43">
        <f>COUNTIF('PF176'!U10:U185,"TC0_37_TR1")</f>
        <v>0</v>
      </c>
      <c r="AP66" s="43">
        <f>COUNTIF('PF176'!U10:U185,"TC0_38_TR1")</f>
        <v>0</v>
      </c>
      <c r="AQ66" s="43">
        <f>COUNTIF('PF176'!U10:U185,"TC0_39_TR1")</f>
        <v>0</v>
      </c>
      <c r="AR66" s="43">
        <f>COUNTIF('PF176'!U10:U185,"TC0_40_TR1")</f>
        <v>0</v>
      </c>
      <c r="AS66" s="43">
        <f>COUNTIF('PF176'!U10:U185,"TC0_41_TR1")</f>
        <v>0</v>
      </c>
      <c r="AT66" s="43">
        <f>COUNTIF('PF176'!U10:U185,"TC0_42_TR1")</f>
        <v>0</v>
      </c>
      <c r="AU66" s="43">
        <f>COUNTIF('PF176'!U10:U185,"TC0_43_TR1")</f>
        <v>0</v>
      </c>
      <c r="AV66" s="43">
        <f>COUNTIF('PF176'!U10:U185,"TC0_44_TR1")</f>
        <v>0</v>
      </c>
      <c r="AW66" s="43">
        <f>COUNTIF('PF176'!U10:U185,"TC0_45_TR1")</f>
        <v>0</v>
      </c>
      <c r="AX66" s="43">
        <f>COUNTIF('PF176'!U10:U185,"TC0_46_TR1")</f>
        <v>0</v>
      </c>
      <c r="AY66" s="43">
        <f>COUNTIF('PF176'!U10:U185,"TC0_47_TR1")</f>
        <v>0</v>
      </c>
      <c r="AZ66" s="43">
        <f>COUNTIF('PF176'!U10:U185,"TC0_48_TR1")</f>
        <v>0</v>
      </c>
      <c r="BA66" s="43">
        <f>COUNTIF('PF176'!U10:U185,"TC0_49_TR1")</f>
        <v>0</v>
      </c>
      <c r="BB66" s="43">
        <f>COUNTIF('PF176'!U10:U185,"TC0_50_TR1")</f>
        <v>0</v>
      </c>
      <c r="BC66" s="43">
        <f>COUNTIF('PF176'!U10:U185,"TC0_51_TR1")</f>
        <v>0</v>
      </c>
      <c r="BD66" s="43">
        <f>COUNTIF('PF176'!U10:U185,"TC0_52_TR1")</f>
        <v>0</v>
      </c>
      <c r="BE66" s="43">
        <f>COUNTIF('PF176'!U10:U185,"TC0_53_TR1")</f>
        <v>0</v>
      </c>
      <c r="BF66" s="43">
        <f>COUNTIF('PF176'!U10:U185,"TC0_54_TR1")</f>
        <v>0</v>
      </c>
      <c r="BG66" s="43">
        <f>COUNTIF('PF176'!U10:U185,"TC0_55_TR1")</f>
        <v>0</v>
      </c>
      <c r="BH66" s="43">
        <f>COUNTIF('PF176'!U10:U185,"TC0_56_TR1")</f>
        <v>0</v>
      </c>
      <c r="BI66" s="43">
        <f>COUNTIF('PF176'!U10:U185,"TC0_57_TR1")</f>
        <v>0</v>
      </c>
      <c r="BJ66" s="43">
        <f>COUNTIF('PF176'!U10:U185,"TC0_58_TR1")</f>
        <v>0</v>
      </c>
      <c r="BK66" s="43">
        <f>COUNTIF('PF176'!U10:U185,"TC0_59_TR1")</f>
        <v>0</v>
      </c>
      <c r="BL66" s="43">
        <f>COUNTIF('PF176'!U10:U185,"TC0_60_TR1")</f>
        <v>0</v>
      </c>
      <c r="BM66" s="43">
        <f>COUNTIF('PF176'!U10:U185,"TC0_61_TR1")</f>
        <v>0</v>
      </c>
      <c r="BN66" s="43">
        <f>COUNTIF('PF176'!U10:U185,"TC0_62_TR1")</f>
        <v>0</v>
      </c>
    </row>
    <row r="68" spans="2:66" x14ac:dyDescent="0.55000000000000004">
      <c r="B68" s="141" t="s">
        <v>445</v>
      </c>
      <c r="C68" s="142"/>
      <c r="D68" s="42" t="s">
        <v>431</v>
      </c>
      <c r="E68" s="42" t="s">
        <v>432</v>
      </c>
      <c r="F68" s="42" t="s">
        <v>433</v>
      </c>
      <c r="G68" s="42" t="s">
        <v>434</v>
      </c>
      <c r="H68" s="42" t="s">
        <v>436</v>
      </c>
      <c r="I68" s="42" t="s">
        <v>437</v>
      </c>
      <c r="J68" s="42" t="s">
        <v>438</v>
      </c>
      <c r="K68" s="42" t="s">
        <v>439</v>
      </c>
      <c r="L68" s="42" t="s">
        <v>440</v>
      </c>
      <c r="M68" s="42" t="s">
        <v>441</v>
      </c>
      <c r="N68" s="42" t="s">
        <v>443</v>
      </c>
      <c r="O68" s="42" t="s">
        <v>444</v>
      </c>
      <c r="P68" s="66"/>
      <c r="Q68" s="44"/>
      <c r="R68" s="44"/>
      <c r="S68" s="44"/>
      <c r="T68" s="44"/>
      <c r="U68" s="44"/>
      <c r="V68" s="44"/>
      <c r="W68" s="44"/>
      <c r="X68" s="44"/>
      <c r="Y68" s="44"/>
      <c r="Z68" s="44"/>
      <c r="AA68" s="44"/>
      <c r="AB68" s="44"/>
      <c r="AC68" s="44"/>
      <c r="AD68" s="44"/>
      <c r="AE68" s="44"/>
      <c r="AF68" s="44"/>
      <c r="AG68" s="44"/>
      <c r="AH68" s="44"/>
      <c r="AI68" s="44"/>
      <c r="AJ68" s="44"/>
      <c r="AK68" s="44"/>
      <c r="AL68" s="44"/>
      <c r="AM68" s="44"/>
      <c r="AN68" s="44"/>
      <c r="AO68" s="44"/>
      <c r="AP68" s="44"/>
      <c r="AQ68" s="44"/>
      <c r="AR68" s="44"/>
      <c r="AS68" s="44"/>
      <c r="AT68" s="44"/>
      <c r="AU68" s="44"/>
      <c r="AV68" s="44"/>
      <c r="AW68" s="44"/>
      <c r="AX68" s="44"/>
      <c r="AY68" s="44"/>
      <c r="AZ68" s="44"/>
      <c r="BA68" s="44"/>
      <c r="BB68" s="44"/>
      <c r="BC68" s="44"/>
      <c r="BD68" s="44"/>
      <c r="BE68" s="44"/>
      <c r="BF68" s="44"/>
    </row>
    <row r="69" spans="2:66" x14ac:dyDescent="0.55000000000000004">
      <c r="B69" s="139" t="s">
        <v>428</v>
      </c>
      <c r="C69" s="43" t="s">
        <v>421</v>
      </c>
      <c r="D69" s="43">
        <f>COUNTIF('PF176'!U10:U185,"PWM0_M_0")</f>
        <v>0</v>
      </c>
      <c r="E69" s="43">
        <f>COUNTIF('PF176'!U10:U185,"PWM0_M_1")</f>
        <v>0</v>
      </c>
      <c r="F69" s="43">
        <f>COUNTIF('PF176'!U10:U185,"PWM0_M_2")</f>
        <v>0</v>
      </c>
      <c r="G69" s="43">
        <f>COUNTIF('PF176'!U10:U185,"PWM0_M_3")</f>
        <v>0</v>
      </c>
      <c r="H69" s="43">
        <f>COUNTIF('PF176'!U10:U185,"PWM0_M_4")</f>
        <v>0</v>
      </c>
      <c r="I69" s="43">
        <f>COUNTIF('PF176'!U10:U185,"PWM0_M_5")</f>
        <v>0</v>
      </c>
      <c r="J69" s="43">
        <f>COUNTIF('PF176'!U10:U185,"PWM0_M_6")</f>
        <v>0</v>
      </c>
      <c r="K69" s="43">
        <f>COUNTIF('PF176'!U10:U185,"PWM0_M_7")</f>
        <v>0</v>
      </c>
      <c r="L69" s="43">
        <f>COUNTIF('PF176'!U10:U185,"PWM0_M_8")</f>
        <v>0</v>
      </c>
      <c r="M69" s="43">
        <f>COUNTIF('PF176'!U10:U185,"PWM0_M_9")</f>
        <v>0</v>
      </c>
      <c r="N69" s="43">
        <f>COUNTIF('PF176'!U10:U185,"PWM0_M_10")</f>
        <v>0</v>
      </c>
      <c r="O69" s="43">
        <f>COUNTIF('PF176'!U10:U185,"PWM0_M_11")</f>
        <v>0</v>
      </c>
      <c r="P69" s="67"/>
      <c r="Q69" s="45"/>
      <c r="R69" s="45"/>
      <c r="S69" s="45"/>
      <c r="T69" s="45"/>
      <c r="U69" s="45"/>
      <c r="V69" s="45"/>
      <c r="W69" s="45"/>
      <c r="X69" s="45"/>
      <c r="Y69" s="45"/>
      <c r="Z69" s="45"/>
      <c r="AA69" s="45"/>
      <c r="AB69" s="45"/>
      <c r="AC69" s="45"/>
      <c r="AD69" s="45"/>
      <c r="AE69" s="45"/>
      <c r="AF69" s="45"/>
      <c r="AG69" s="45"/>
      <c r="AH69" s="45"/>
      <c r="AI69" s="45"/>
      <c r="AJ69" s="45"/>
      <c r="AK69" s="45"/>
      <c r="AL69" s="45"/>
      <c r="AM69" s="45"/>
      <c r="AN69" s="45"/>
      <c r="AO69" s="45"/>
      <c r="AP69" s="45"/>
      <c r="AQ69" s="45"/>
      <c r="AR69" s="45"/>
      <c r="AS69" s="45"/>
      <c r="AT69" s="45"/>
      <c r="AU69" s="45"/>
      <c r="AV69" s="45"/>
      <c r="AW69" s="45"/>
      <c r="AX69" s="45"/>
      <c r="AY69" s="45"/>
      <c r="AZ69" s="45"/>
      <c r="BA69" s="45"/>
      <c r="BB69" s="45"/>
      <c r="BC69" s="45"/>
      <c r="BD69" s="45"/>
      <c r="BE69" s="45"/>
      <c r="BF69" s="45"/>
    </row>
    <row r="70" spans="2:66" x14ac:dyDescent="0.55000000000000004">
      <c r="B70" s="140"/>
      <c r="C70" s="43" t="s">
        <v>424</v>
      </c>
      <c r="D70" s="43">
        <f>COUNTIF('PF176'!U10:U185,"PWM0_M_0_N")</f>
        <v>0</v>
      </c>
      <c r="E70" s="43">
        <f>COUNTIF('PF176'!U10:U185,"PWM0_M_1_N")</f>
        <v>0</v>
      </c>
      <c r="F70" s="43">
        <f>COUNTIF('PF176'!U10:U185,"PWM0_M_2_N")</f>
        <v>0</v>
      </c>
      <c r="G70" s="43">
        <f>COUNTIF('PF176'!U10:U185,"PWM0_M_3_N")</f>
        <v>0</v>
      </c>
      <c r="H70" s="43">
        <f>COUNTIF('PF176'!U10:U185,"PWM0_M_4_N")</f>
        <v>0</v>
      </c>
      <c r="I70" s="43">
        <f>COUNTIF('PF176'!U10:U185,"PWM0_M_5_N")</f>
        <v>0</v>
      </c>
      <c r="J70" s="43">
        <f>COUNTIF('PF176'!U10:U185,"PWM0_M_6_N")</f>
        <v>0</v>
      </c>
      <c r="K70" s="43">
        <f>COUNTIF('PF176'!U10:U185,"PWM0_M_7_N")</f>
        <v>0</v>
      </c>
      <c r="L70" s="43">
        <f>COUNTIF('PF176'!U10:U185,"PWM0_M_8_N")</f>
        <v>0</v>
      </c>
      <c r="M70" s="43">
        <f>COUNTIF('PF176'!U10:U185,"PWM0_M_9_N")</f>
        <v>0</v>
      </c>
      <c r="N70" s="43">
        <f>COUNTIF('PF176'!U10:U185,"PWM0_M_10_N")</f>
        <v>0</v>
      </c>
      <c r="O70" s="43">
        <f>COUNTIF('PF176'!U10:U185,"PWM0_M_11_N")</f>
        <v>0</v>
      </c>
      <c r="P70" s="67"/>
      <c r="Q70" s="45"/>
      <c r="R70" s="45"/>
      <c r="S70" s="45"/>
      <c r="T70" s="45"/>
      <c r="U70" s="45"/>
      <c r="V70" s="45"/>
      <c r="W70" s="45"/>
      <c r="X70" s="45"/>
      <c r="Y70" s="45"/>
      <c r="Z70" s="45"/>
      <c r="AA70" s="45"/>
      <c r="AB70" s="45"/>
      <c r="AC70" s="45"/>
      <c r="AD70" s="45"/>
      <c r="AE70" s="45"/>
      <c r="AF70" s="45"/>
      <c r="AG70" s="45"/>
      <c r="AH70" s="45"/>
      <c r="AI70" s="45"/>
      <c r="AJ70" s="45"/>
      <c r="AK70" s="45"/>
      <c r="AL70" s="45"/>
      <c r="AM70" s="45"/>
      <c r="AN70" s="45"/>
      <c r="AO70" s="45"/>
      <c r="AP70" s="45"/>
      <c r="AQ70" s="45"/>
      <c r="AR70" s="45"/>
      <c r="AS70" s="45"/>
      <c r="AT70" s="45"/>
      <c r="AU70" s="45"/>
      <c r="AV70" s="45"/>
      <c r="AW70" s="45"/>
      <c r="AX70" s="45"/>
      <c r="AY70" s="45"/>
      <c r="AZ70" s="45"/>
      <c r="BA70" s="45"/>
      <c r="BB70" s="45"/>
      <c r="BC70" s="45"/>
      <c r="BD70" s="45"/>
      <c r="BE70" s="45"/>
      <c r="BF70" s="45"/>
    </row>
    <row r="71" spans="2:66" x14ac:dyDescent="0.55000000000000004">
      <c r="B71" s="139" t="s">
        <v>429</v>
      </c>
      <c r="C71" s="43" t="s">
        <v>422</v>
      </c>
      <c r="D71" s="43">
        <f>COUNTIF('PF176'!U10:U185,"TC0_M_0_TR0")</f>
        <v>0</v>
      </c>
      <c r="E71" s="43">
        <f>COUNTIF('PF176'!U10:U185,"TC0_M_1_TR0")</f>
        <v>0</v>
      </c>
      <c r="F71" s="43">
        <f>COUNTIF('PF176'!U10:U185,"TC0_M_2_TR0")</f>
        <v>0</v>
      </c>
      <c r="G71" s="43">
        <f>COUNTIF('PF176'!U10:U185,"TC0_M_3_TR0")</f>
        <v>0</v>
      </c>
      <c r="H71" s="43">
        <f>COUNTIF('PF176'!U10:U185,"TC0_M_4_TR0")</f>
        <v>0</v>
      </c>
      <c r="I71" s="43">
        <f>COUNTIF('PF176'!U10:U185,"TC0_M_5_TR0")</f>
        <v>0</v>
      </c>
      <c r="J71" s="43">
        <f>COUNTIF('PF176'!U10:U185,"TC0_M_6_TR0")</f>
        <v>0</v>
      </c>
      <c r="K71" s="43">
        <f>COUNTIF('PF176'!U10:U185,"TC0_M_7_TR0")</f>
        <v>0</v>
      </c>
      <c r="L71" s="43">
        <f>COUNTIF('PF176'!U10:U185,"TC0_M_8_TR0")</f>
        <v>0</v>
      </c>
      <c r="M71" s="43">
        <f>COUNTIF('PF176'!U10:U185,"TC0_M_9_TR0")</f>
        <v>0</v>
      </c>
      <c r="N71" s="43">
        <f>COUNTIF('PF176'!U10:U185,"TC0_M_10_TR0")</f>
        <v>0</v>
      </c>
      <c r="O71" s="43">
        <f>COUNTIF('PF176'!U10:U185,"TC0_M_11_TR0")</f>
        <v>0</v>
      </c>
      <c r="P71" s="67"/>
      <c r="Q71" s="45"/>
      <c r="R71" s="45"/>
      <c r="S71" s="45"/>
      <c r="T71" s="45"/>
      <c r="U71" s="45"/>
      <c r="V71" s="45"/>
      <c r="W71" s="45"/>
      <c r="X71" s="45"/>
      <c r="Y71" s="45"/>
      <c r="Z71" s="45"/>
      <c r="AA71" s="45"/>
      <c r="AB71" s="45"/>
      <c r="AC71" s="45"/>
      <c r="AD71" s="45"/>
      <c r="AE71" s="45"/>
      <c r="AF71" s="45"/>
      <c r="AG71" s="45"/>
      <c r="AH71" s="45"/>
      <c r="AI71" s="45"/>
      <c r="AJ71" s="45"/>
      <c r="AK71" s="45"/>
      <c r="AL71" s="45"/>
      <c r="AM71" s="45"/>
      <c r="AN71" s="45"/>
      <c r="AO71" s="45"/>
      <c r="AP71" s="45"/>
      <c r="AQ71" s="45"/>
      <c r="AR71" s="45"/>
      <c r="AS71" s="45"/>
      <c r="AT71" s="45"/>
      <c r="AU71" s="45"/>
      <c r="AV71" s="45"/>
      <c r="AW71" s="45"/>
      <c r="AX71" s="45"/>
      <c r="AY71" s="45"/>
      <c r="AZ71" s="45"/>
      <c r="BA71" s="45"/>
      <c r="BB71" s="45"/>
      <c r="BC71" s="45"/>
      <c r="BD71" s="45"/>
      <c r="BE71" s="45"/>
      <c r="BF71" s="45"/>
    </row>
    <row r="72" spans="2:66" x14ac:dyDescent="0.55000000000000004">
      <c r="B72" s="140"/>
      <c r="C72" s="43" t="s">
        <v>423</v>
      </c>
      <c r="D72" s="43">
        <f>COUNTIF('PF176'!U10:U185,"TC0_M_0_TR1")</f>
        <v>0</v>
      </c>
      <c r="E72" s="43">
        <f>COUNTIF('PF176'!U10:U185,"TC0_M_1_TR1")</f>
        <v>0</v>
      </c>
      <c r="F72" s="43">
        <f>COUNTIF('PF176'!U10:U185,"TC0_M_2_TR1")</f>
        <v>0</v>
      </c>
      <c r="G72" s="43">
        <f>COUNTIF('PF176'!U10:U185,"TC0_M_3_TR1")</f>
        <v>0</v>
      </c>
      <c r="H72" s="43">
        <f>COUNTIF('PF176'!U10:U185,"TC0_M_4_TR1")</f>
        <v>0</v>
      </c>
      <c r="I72" s="43">
        <f>COUNTIF('PF176'!U10:U185,"TC0_M_5_TR1")</f>
        <v>0</v>
      </c>
      <c r="J72" s="43">
        <f>COUNTIF('PF176'!U10:U185,"TC0_M_6_TR1")</f>
        <v>0</v>
      </c>
      <c r="K72" s="43">
        <f>COUNTIF('PF176'!U10:U185,"TC0_M_7_TR1")</f>
        <v>0</v>
      </c>
      <c r="L72" s="43">
        <f>COUNTIF('PF176'!U10:U185,"TC0_M_8_TR1")</f>
        <v>0</v>
      </c>
      <c r="M72" s="43">
        <f>COUNTIF('PF176'!U10:U185,"TC0_M_9_TR1")</f>
        <v>0</v>
      </c>
      <c r="N72" s="43">
        <f>COUNTIF('PF176'!U10:U185,"TC0_M_10_TR1")</f>
        <v>0</v>
      </c>
      <c r="O72" s="43">
        <f>COUNTIF('PF176'!U10:U185,"TC0_M_11_TR1")</f>
        <v>0</v>
      </c>
      <c r="P72" s="67"/>
      <c r="Q72" s="45"/>
      <c r="R72" s="45"/>
      <c r="S72" s="45"/>
      <c r="T72" s="45"/>
      <c r="U72" s="45"/>
      <c r="V72" s="45"/>
      <c r="W72" s="45"/>
      <c r="X72" s="45"/>
      <c r="Y72" s="45"/>
      <c r="Z72" s="45"/>
      <c r="AA72" s="45"/>
      <c r="AB72" s="45"/>
      <c r="AC72" s="45"/>
      <c r="AD72" s="45"/>
      <c r="AE72" s="45"/>
      <c r="AF72" s="45"/>
      <c r="AG72" s="45"/>
      <c r="AH72" s="45"/>
      <c r="AI72" s="45"/>
      <c r="AJ72" s="45"/>
      <c r="AK72" s="45"/>
      <c r="AL72" s="45"/>
      <c r="AM72" s="45"/>
      <c r="AN72" s="45"/>
      <c r="AO72" s="45"/>
      <c r="AP72" s="45"/>
      <c r="AQ72" s="45"/>
      <c r="AR72" s="45"/>
      <c r="AS72" s="45"/>
      <c r="AT72" s="45"/>
      <c r="AU72" s="45"/>
      <c r="AV72" s="45"/>
      <c r="AW72" s="45"/>
      <c r="AX72" s="45"/>
      <c r="AY72" s="45"/>
      <c r="AZ72" s="45"/>
      <c r="BA72" s="45"/>
      <c r="BB72" s="45"/>
      <c r="BC72" s="45"/>
      <c r="BD72" s="45"/>
      <c r="BE72" s="45"/>
      <c r="BF72" s="45"/>
    </row>
    <row r="73" spans="2:66" x14ac:dyDescent="0.55000000000000004">
      <c r="Q73" s="45"/>
      <c r="R73" s="45"/>
      <c r="S73" s="45"/>
      <c r="T73" s="45"/>
      <c r="U73" s="45"/>
      <c r="V73" s="45"/>
      <c r="W73" s="45"/>
      <c r="X73" s="45"/>
      <c r="Y73" s="45"/>
      <c r="Z73" s="45"/>
      <c r="AA73" s="45"/>
      <c r="AB73" s="45"/>
      <c r="AC73" s="45"/>
      <c r="AD73" s="45"/>
      <c r="AE73" s="45"/>
      <c r="AF73" s="45"/>
      <c r="AG73" s="45"/>
      <c r="AH73" s="45"/>
      <c r="AI73" s="45"/>
      <c r="AJ73" s="45"/>
      <c r="AK73" s="45"/>
      <c r="AL73" s="45"/>
      <c r="AM73" s="45"/>
      <c r="AN73" s="45"/>
      <c r="AO73" s="45"/>
      <c r="AP73" s="45"/>
      <c r="AQ73" s="45"/>
      <c r="AR73" s="45"/>
      <c r="AS73" s="45"/>
      <c r="AT73" s="45"/>
      <c r="AU73" s="45"/>
      <c r="AV73" s="45"/>
      <c r="AW73" s="45"/>
      <c r="AX73" s="45"/>
      <c r="AY73" s="45"/>
      <c r="AZ73" s="45"/>
      <c r="BA73" s="45"/>
      <c r="BB73" s="45"/>
      <c r="BC73" s="45"/>
      <c r="BD73" s="45"/>
      <c r="BE73" s="45"/>
      <c r="BF73" s="45"/>
    </row>
    <row r="74" spans="2:66" x14ac:dyDescent="0.55000000000000004">
      <c r="B74" s="141" t="s">
        <v>446</v>
      </c>
      <c r="C74" s="142"/>
      <c r="D74" s="42" t="s">
        <v>431</v>
      </c>
      <c r="E74" s="42" t="s">
        <v>432</v>
      </c>
      <c r="F74" s="42" t="s">
        <v>433</v>
      </c>
      <c r="G74" s="42" t="s">
        <v>434</v>
      </c>
      <c r="Q74" s="45"/>
      <c r="R74" s="45"/>
      <c r="S74" s="45"/>
      <c r="T74" s="45"/>
      <c r="U74" s="45"/>
      <c r="V74" s="45"/>
      <c r="W74" s="45"/>
      <c r="X74" s="45"/>
      <c r="Y74" s="45"/>
      <c r="Z74" s="45"/>
      <c r="AA74" s="45"/>
      <c r="AB74" s="45"/>
      <c r="AC74" s="45"/>
      <c r="AD74" s="45"/>
      <c r="AE74" s="45"/>
      <c r="AF74" s="45"/>
      <c r="AG74" s="45"/>
      <c r="AH74" s="44"/>
      <c r="AI74" s="44"/>
      <c r="AJ74" s="44"/>
      <c r="AK74" s="44"/>
      <c r="AL74" s="44"/>
      <c r="AM74" s="44"/>
      <c r="AN74" s="44"/>
      <c r="AO74" s="44"/>
      <c r="AP74" s="44"/>
      <c r="AQ74" s="44"/>
      <c r="AR74" s="44"/>
      <c r="AS74" s="44"/>
      <c r="AT74" s="44"/>
      <c r="AU74" s="44"/>
      <c r="AV74" s="44"/>
      <c r="AW74" s="44"/>
      <c r="AX74" s="44"/>
      <c r="AY74" s="44"/>
      <c r="AZ74" s="44"/>
      <c r="BA74" s="44"/>
      <c r="BB74" s="44"/>
      <c r="BC74" s="44"/>
      <c r="BD74" s="44"/>
      <c r="BE74" s="44"/>
      <c r="BF74" s="44"/>
    </row>
    <row r="75" spans="2:66" x14ac:dyDescent="0.55000000000000004">
      <c r="B75" s="139" t="s">
        <v>428</v>
      </c>
      <c r="C75" s="43" t="s">
        <v>421</v>
      </c>
      <c r="D75" s="43">
        <f>COUNTIF('PF176'!U10:U185,"PWM0_H_0")</f>
        <v>0</v>
      </c>
      <c r="E75" s="43">
        <f>COUNTIF('PF176'!U10:U185,"PWM0_H_1")</f>
        <v>0</v>
      </c>
      <c r="F75" s="43">
        <f>COUNTIF('PF176'!U10:U185,"PWM0_H_2")</f>
        <v>0</v>
      </c>
      <c r="G75" s="43">
        <f>COUNTIF('PF176'!U10:U185,"PWM0_H_3")</f>
        <v>0</v>
      </c>
      <c r="Q75" s="45"/>
      <c r="R75" s="45"/>
      <c r="S75" s="45"/>
      <c r="T75" s="45"/>
      <c r="U75" s="45"/>
      <c r="V75" s="45"/>
      <c r="W75" s="45"/>
      <c r="X75" s="45"/>
      <c r="Y75" s="45"/>
      <c r="Z75" s="45"/>
      <c r="AA75" s="45"/>
      <c r="AB75" s="45"/>
      <c r="AC75" s="45"/>
      <c r="AD75" s="45"/>
      <c r="AE75" s="45"/>
      <c r="AF75" s="45"/>
      <c r="AG75" s="45"/>
      <c r="AH75" s="45"/>
      <c r="AI75" s="45"/>
      <c r="AJ75" s="45"/>
      <c r="AK75" s="45"/>
      <c r="AL75" s="45"/>
      <c r="AM75" s="45"/>
      <c r="AN75" s="45"/>
      <c r="AO75" s="45"/>
      <c r="AP75" s="45"/>
      <c r="AQ75" s="45"/>
      <c r="AR75" s="45"/>
      <c r="AS75" s="45"/>
      <c r="AT75" s="45"/>
      <c r="AU75" s="45"/>
      <c r="AV75" s="45"/>
      <c r="AW75" s="45"/>
      <c r="AX75" s="45"/>
      <c r="AY75" s="45"/>
      <c r="AZ75" s="45"/>
      <c r="BA75" s="45"/>
      <c r="BB75" s="45"/>
      <c r="BC75" s="45"/>
      <c r="BD75" s="45"/>
      <c r="BE75" s="45"/>
      <c r="BF75" s="45"/>
    </row>
    <row r="76" spans="2:66" x14ac:dyDescent="0.55000000000000004">
      <c r="B76" s="140"/>
      <c r="C76" s="43" t="s">
        <v>424</v>
      </c>
      <c r="D76" s="43">
        <f>COUNTIF('PF176'!U10:U185,"PWM0_H_0_N")</f>
        <v>0</v>
      </c>
      <c r="E76" s="43">
        <f>COUNTIF('PF176'!U10:U185,"PWM0_H_1_N")</f>
        <v>0</v>
      </c>
      <c r="F76" s="43">
        <f>COUNTIF('PF176'!U10:U185,"PWM0_H_2_N")</f>
        <v>0</v>
      </c>
      <c r="G76" s="43">
        <f>COUNTIF('PF176'!U10:U185,"PWM0_H_3_N")</f>
        <v>0</v>
      </c>
      <c r="Q76" s="45"/>
      <c r="R76" s="45"/>
      <c r="S76" s="45"/>
      <c r="T76" s="45"/>
      <c r="U76" s="45"/>
      <c r="V76" s="45"/>
      <c r="W76" s="45"/>
      <c r="X76" s="45"/>
      <c r="Y76" s="45"/>
      <c r="Z76" s="45"/>
      <c r="AA76" s="45"/>
      <c r="AB76" s="45"/>
      <c r="AC76" s="45"/>
      <c r="AD76" s="45"/>
      <c r="AE76" s="45"/>
      <c r="AF76" s="45"/>
      <c r="AG76" s="45"/>
      <c r="AH76" s="45"/>
      <c r="AI76" s="45"/>
      <c r="AJ76" s="45"/>
      <c r="AK76" s="45"/>
      <c r="AL76" s="45"/>
      <c r="AM76" s="45"/>
      <c r="AN76" s="45"/>
      <c r="AO76" s="45"/>
      <c r="AP76" s="45"/>
      <c r="AQ76" s="45"/>
      <c r="AR76" s="45"/>
      <c r="AS76" s="45"/>
      <c r="AT76" s="45"/>
      <c r="AU76" s="45"/>
      <c r="AV76" s="45"/>
      <c r="AW76" s="45"/>
      <c r="AX76" s="45"/>
      <c r="AY76" s="45"/>
      <c r="AZ76" s="45"/>
      <c r="BA76" s="45"/>
      <c r="BB76" s="45"/>
      <c r="BC76" s="45"/>
      <c r="BD76" s="45"/>
      <c r="BE76" s="45"/>
      <c r="BF76" s="45"/>
    </row>
    <row r="77" spans="2:66" x14ac:dyDescent="0.55000000000000004">
      <c r="B77" s="139" t="s">
        <v>429</v>
      </c>
      <c r="C77" s="43" t="s">
        <v>422</v>
      </c>
      <c r="D77" s="43">
        <f>COUNTIF('PF176'!U10:U185,"TC0_H_0_TR0")</f>
        <v>0</v>
      </c>
      <c r="E77" s="43">
        <f>COUNTIF('PF176'!U10:U185,"TC0_H_1_TR0")</f>
        <v>0</v>
      </c>
      <c r="F77" s="43">
        <f>COUNTIF('PF176'!U10:U185,"TC0_H_2_TR0")</f>
        <v>0</v>
      </c>
      <c r="G77" s="43">
        <f>COUNTIF('PF176'!U10:U185,"TC0_H_3_TR0")</f>
        <v>0</v>
      </c>
      <c r="Q77" s="45"/>
      <c r="R77" s="45"/>
      <c r="S77" s="45"/>
      <c r="T77" s="45"/>
      <c r="U77" s="45"/>
      <c r="V77" s="45"/>
      <c r="W77" s="45"/>
      <c r="X77" s="45"/>
      <c r="Y77" s="45"/>
      <c r="Z77" s="45"/>
      <c r="AA77" s="45"/>
      <c r="AB77" s="45"/>
      <c r="AC77" s="45"/>
      <c r="AD77" s="45"/>
      <c r="AE77" s="45"/>
      <c r="AF77" s="45"/>
      <c r="AG77" s="45"/>
      <c r="AH77" s="45"/>
      <c r="AI77" s="45"/>
      <c r="AJ77" s="45"/>
      <c r="AK77" s="45"/>
      <c r="AL77" s="45"/>
      <c r="AM77" s="45"/>
      <c r="AN77" s="45"/>
      <c r="AO77" s="45"/>
      <c r="AP77" s="45"/>
      <c r="AQ77" s="45"/>
      <c r="AR77" s="45"/>
      <c r="AS77" s="45"/>
      <c r="AT77" s="45"/>
      <c r="AU77" s="45"/>
      <c r="AV77" s="45"/>
      <c r="AW77" s="45"/>
      <c r="AX77" s="45"/>
      <c r="AY77" s="45"/>
      <c r="AZ77" s="45"/>
      <c r="BA77" s="45"/>
      <c r="BB77" s="45"/>
      <c r="BC77" s="45"/>
      <c r="BD77" s="45"/>
      <c r="BE77" s="45"/>
      <c r="BF77" s="45"/>
    </row>
    <row r="78" spans="2:66" x14ac:dyDescent="0.55000000000000004">
      <c r="B78" s="140"/>
      <c r="C78" s="43" t="s">
        <v>423</v>
      </c>
      <c r="D78" s="43">
        <f>COUNTIF('PF176'!U10:U185,"TC0_H_0_TR1")</f>
        <v>0</v>
      </c>
      <c r="E78" s="43">
        <f>COUNTIF('PF176'!U10:U185,"TC0_H_1_TR1")</f>
        <v>0</v>
      </c>
      <c r="F78" s="43">
        <f>COUNTIF('PF176'!U10:U185,"TC0_H_2_TR1")</f>
        <v>0</v>
      </c>
      <c r="G78" s="43">
        <f>COUNTIF('PF176'!U10:U185,"TC0_H_3_TR1")</f>
        <v>0</v>
      </c>
      <c r="H78" s="67"/>
      <c r="I78" s="45"/>
      <c r="J78" s="45"/>
      <c r="K78" s="45"/>
      <c r="L78" s="45"/>
      <c r="M78" s="45"/>
      <c r="N78" s="45"/>
      <c r="O78" s="45"/>
      <c r="P78" s="45"/>
      <c r="Q78" s="45"/>
      <c r="R78" s="45"/>
      <c r="S78" s="45"/>
      <c r="T78" s="45"/>
      <c r="U78" s="45"/>
      <c r="V78" s="45"/>
      <c r="W78" s="45"/>
      <c r="X78" s="45"/>
      <c r="Y78" s="45"/>
      <c r="Z78" s="45"/>
      <c r="AA78" s="45"/>
      <c r="AB78" s="45"/>
      <c r="AC78" s="45"/>
      <c r="AD78" s="45"/>
      <c r="AE78" s="45"/>
      <c r="AF78" s="45"/>
      <c r="AG78" s="45"/>
      <c r="AH78" s="45"/>
      <c r="AI78" s="45"/>
      <c r="AJ78" s="45"/>
      <c r="AK78" s="45"/>
      <c r="AL78" s="45"/>
      <c r="AM78" s="45"/>
      <c r="AN78" s="45"/>
      <c r="AO78" s="45"/>
      <c r="AP78" s="45"/>
      <c r="AQ78" s="45"/>
      <c r="AR78" s="45"/>
      <c r="AS78" s="45"/>
      <c r="AT78" s="45"/>
      <c r="AU78" s="45"/>
      <c r="AV78" s="45"/>
      <c r="AW78" s="45"/>
      <c r="AX78" s="45"/>
      <c r="AY78" s="45"/>
      <c r="AZ78" s="45"/>
      <c r="BA78" s="45"/>
      <c r="BB78" s="45"/>
      <c r="BC78" s="45"/>
      <c r="BD78" s="45"/>
      <c r="BE78" s="45"/>
      <c r="BF78" s="45"/>
    </row>
    <row r="79" spans="2:66" ht="10" customHeight="1" x14ac:dyDescent="0.55000000000000004"/>
    <row r="80" spans="2:66" x14ac:dyDescent="0.55000000000000004">
      <c r="B80" s="141" t="s">
        <v>416</v>
      </c>
      <c r="C80" s="142"/>
      <c r="D80" s="42" t="s">
        <v>418</v>
      </c>
      <c r="E80" s="42" t="s">
        <v>419</v>
      </c>
      <c r="F80" s="42" t="s">
        <v>420</v>
      </c>
    </row>
    <row r="81" spans="2:6" x14ac:dyDescent="0.55000000000000004">
      <c r="B81" s="143" t="s">
        <v>407</v>
      </c>
      <c r="C81" s="43" t="s">
        <v>499</v>
      </c>
      <c r="D81" s="43">
        <f>COUNTIF('PF176'!U10:U185,"ADC[0]_0")</f>
        <v>0</v>
      </c>
      <c r="E81" s="43">
        <f>COUNTIF('PF176'!U10:U185,"ADC[1]_0")</f>
        <v>0</v>
      </c>
      <c r="F81" s="43">
        <f>COUNTIF('PF176'!U10:U185,"ADC[2]_0")</f>
        <v>0</v>
      </c>
    </row>
    <row r="82" spans="2:6" x14ac:dyDescent="0.55000000000000004">
      <c r="B82" s="146"/>
      <c r="C82" s="43" t="s">
        <v>500</v>
      </c>
      <c r="D82" s="43">
        <f>COUNTIF('PF176'!U10:U185,"ADC[0]_1")</f>
        <v>0</v>
      </c>
      <c r="E82" s="43">
        <f>COUNTIF('PF176'!U10:U185,"ADC[1]_1")</f>
        <v>0</v>
      </c>
      <c r="F82" s="43">
        <f>COUNTIF('PF176'!U10:U185,"ADC[2]_1")</f>
        <v>0</v>
      </c>
    </row>
    <row r="83" spans="2:6" x14ac:dyDescent="0.55000000000000004">
      <c r="B83" s="146"/>
      <c r="C83" s="43" t="s">
        <v>501</v>
      </c>
      <c r="D83" s="43">
        <f>COUNTIF('PF176'!U10:U185,"ADC[0]_2")</f>
        <v>0</v>
      </c>
      <c r="E83" s="43">
        <f>COUNTIF('PF176'!U10:U185,"ADC[1]_2")</f>
        <v>0</v>
      </c>
      <c r="F83" s="43">
        <f>COUNTIF('PF176'!U10:U185,"ADC[2]_2")</f>
        <v>0</v>
      </c>
    </row>
    <row r="84" spans="2:6" x14ac:dyDescent="0.55000000000000004">
      <c r="B84" s="146"/>
      <c r="C84" s="43" t="s">
        <v>502</v>
      </c>
      <c r="D84" s="43">
        <f>COUNTIF('PF176'!U10:U185,"ADC[0]_3")</f>
        <v>0</v>
      </c>
      <c r="E84" s="43">
        <f>COUNTIF('PF176'!U10:U185,"ADC[1]_3")</f>
        <v>0</v>
      </c>
      <c r="F84" s="43">
        <f>COUNTIF('PF176'!U10:U185,"ADC[2]_3")</f>
        <v>0</v>
      </c>
    </row>
    <row r="85" spans="2:6" x14ac:dyDescent="0.55000000000000004">
      <c r="B85" s="146"/>
      <c r="C85" s="43" t="s">
        <v>503</v>
      </c>
      <c r="D85" s="43">
        <f>COUNTIF('PF176'!U10:U185,"ADC[0]_4")</f>
        <v>0</v>
      </c>
      <c r="E85" s="43">
        <f>COUNTIF('PF176'!U10:U185,"ADC[1]_4")</f>
        <v>0</v>
      </c>
      <c r="F85" s="43">
        <f>COUNTIF('PF176'!U10:U185,"ADC[2]_4")</f>
        <v>0</v>
      </c>
    </row>
    <row r="86" spans="2:6" x14ac:dyDescent="0.55000000000000004">
      <c r="B86" s="146"/>
      <c r="C86" s="43" t="s">
        <v>504</v>
      </c>
      <c r="D86" s="43">
        <f>COUNTIF('PF176'!U10:U185,"ADC[0]_5")</f>
        <v>0</v>
      </c>
      <c r="E86" s="43">
        <f>COUNTIF('PF176'!U10:U185,"ADC[1]_5")</f>
        <v>0</v>
      </c>
      <c r="F86" s="43">
        <f>COUNTIF('PF176'!U10:U185,"ADC[2]_5")</f>
        <v>0</v>
      </c>
    </row>
    <row r="87" spans="2:6" x14ac:dyDescent="0.55000000000000004">
      <c r="B87" s="146"/>
      <c r="C87" s="43" t="s">
        <v>505</v>
      </c>
      <c r="D87" s="43">
        <f>COUNTIF('PF176'!U10:U185,"ADC[0]_6")</f>
        <v>0</v>
      </c>
      <c r="E87" s="43">
        <f>COUNTIF('PF176'!U10:U185,"ADC[1]_6")</f>
        <v>0</v>
      </c>
      <c r="F87" s="43">
        <f>COUNTIF('PF176'!U10:U185,"ADC[2]_6")</f>
        <v>0</v>
      </c>
    </row>
    <row r="88" spans="2:6" x14ac:dyDescent="0.55000000000000004">
      <c r="B88" s="146"/>
      <c r="C88" s="43" t="s">
        <v>506</v>
      </c>
      <c r="D88" s="43">
        <f>COUNTIF('PF176'!U10:U185,"ADC[0]_7")</f>
        <v>0</v>
      </c>
      <c r="E88" s="43">
        <f>COUNTIF('PF176'!U10:U185,"ADC[1]_7")</f>
        <v>0</v>
      </c>
      <c r="F88" s="43">
        <f>COUNTIF('PF176'!U10:U185,"ADC[2]_7")</f>
        <v>0</v>
      </c>
    </row>
    <row r="89" spans="2:6" x14ac:dyDescent="0.55000000000000004">
      <c r="B89" s="146"/>
      <c r="C89" s="43" t="s">
        <v>507</v>
      </c>
      <c r="D89" s="43">
        <f>COUNTIF('PF176'!U10:U185,"ADC[0]_8")</f>
        <v>0</v>
      </c>
      <c r="E89" s="43">
        <f>COUNTIF('PF176'!U10:U185,"ADC[1]_8")</f>
        <v>0</v>
      </c>
      <c r="F89" s="43">
        <f>COUNTIF('PF176'!U10:U185,"ADC[2]_8")</f>
        <v>0</v>
      </c>
    </row>
    <row r="90" spans="2:6" x14ac:dyDescent="0.55000000000000004">
      <c r="B90" s="146"/>
      <c r="C90" s="43" t="s">
        <v>508</v>
      </c>
      <c r="D90" s="43">
        <f>COUNTIF('PF176'!U10:U185,"ADC[0]_9")</f>
        <v>0</v>
      </c>
      <c r="E90" s="43">
        <f>COUNTIF('PF176'!U10:U185,"ADC[1]_9")</f>
        <v>0</v>
      </c>
      <c r="F90" s="43">
        <f>COUNTIF('PF176'!U10:U185,"ADC[2]_9")</f>
        <v>0</v>
      </c>
    </row>
    <row r="91" spans="2:6" x14ac:dyDescent="0.55000000000000004">
      <c r="B91" s="146"/>
      <c r="C91" s="43" t="s">
        <v>509</v>
      </c>
      <c r="D91" s="43">
        <f>COUNTIF('PF176'!U10:U185,"ADC[0]_10")</f>
        <v>0</v>
      </c>
      <c r="E91" s="43">
        <f>COUNTIF('PF176'!U10:U185,"ADC[1]_10")</f>
        <v>0</v>
      </c>
      <c r="F91" s="43">
        <f>COUNTIF('PF176'!U10:U185,"ADC[2]_10")</f>
        <v>0</v>
      </c>
    </row>
    <row r="92" spans="2:6" x14ac:dyDescent="0.55000000000000004">
      <c r="B92" s="146"/>
      <c r="C92" s="43" t="s">
        <v>510</v>
      </c>
      <c r="D92" s="43">
        <f>COUNTIF('PF176'!U10:U185,"ADC[0]_11")</f>
        <v>0</v>
      </c>
      <c r="E92" s="43">
        <f>COUNTIF('PF176'!U10:U185,"ADC[1]_11")</f>
        <v>0</v>
      </c>
      <c r="F92" s="43">
        <f>COUNTIF('PF176'!U10:U185,"ADC[2]_11")</f>
        <v>0</v>
      </c>
    </row>
    <row r="93" spans="2:6" x14ac:dyDescent="0.55000000000000004">
      <c r="B93" s="146"/>
      <c r="C93" s="43" t="s">
        <v>511</v>
      </c>
      <c r="D93" s="43">
        <f>COUNTIF('PF176'!U10:U185,"ADC[0]_12")</f>
        <v>0</v>
      </c>
      <c r="E93" s="43">
        <f>COUNTIF('PF176'!U10:U185,"ADC[1]_12")</f>
        <v>0</v>
      </c>
      <c r="F93" s="43">
        <f>COUNTIF('PF176'!U10:U185,"ADC[2]_12")</f>
        <v>0</v>
      </c>
    </row>
    <row r="94" spans="2:6" x14ac:dyDescent="0.55000000000000004">
      <c r="B94" s="146"/>
      <c r="C94" s="43" t="s">
        <v>512</v>
      </c>
      <c r="D94" s="43">
        <f>COUNTIF('PF176'!U10:U185,"ADC[0]_13")</f>
        <v>0</v>
      </c>
      <c r="E94" s="43">
        <f>COUNTIF('PF176'!U10:U185,"ADC[1]_13")</f>
        <v>0</v>
      </c>
      <c r="F94" s="43">
        <f>COUNTIF('PF176'!U10:U185,"ADC[2]_13")</f>
        <v>0</v>
      </c>
    </row>
    <row r="95" spans="2:6" x14ac:dyDescent="0.55000000000000004">
      <c r="B95" s="146"/>
      <c r="C95" s="43" t="s">
        <v>513</v>
      </c>
      <c r="D95" s="43">
        <f>COUNTIF('PF176'!U10:U185,"ADC[0]_14")</f>
        <v>0</v>
      </c>
      <c r="E95" s="43">
        <f>COUNTIF('PF176'!U10:U185,"ADC[1]_14")</f>
        <v>0</v>
      </c>
      <c r="F95" s="43">
        <f>COUNTIF('PF176'!U10:U185,"ADC[2]_14")</f>
        <v>0</v>
      </c>
    </row>
    <row r="96" spans="2:6" x14ac:dyDescent="0.55000000000000004">
      <c r="B96" s="146"/>
      <c r="C96" s="43" t="s">
        <v>514</v>
      </c>
      <c r="D96" s="43">
        <f>COUNTIF('PF176'!U10:U185,"ADC[0]_15")</f>
        <v>0</v>
      </c>
      <c r="E96" s="43">
        <f>COUNTIF('PF176'!U10:U185,"ADC[1]_15")</f>
        <v>0</v>
      </c>
      <c r="F96" s="43">
        <f>COUNTIF('PF176'!U10:U185,"ADC[2]_15")</f>
        <v>0</v>
      </c>
    </row>
    <row r="97" spans="2:6" x14ac:dyDescent="0.55000000000000004">
      <c r="B97" s="146"/>
      <c r="C97" s="43" t="s">
        <v>515</v>
      </c>
      <c r="D97" s="43">
        <f>COUNTIF('PF176'!U10:U185,"ADC[0]_16")</f>
        <v>0</v>
      </c>
      <c r="E97" s="43">
        <f>COUNTIF('PF176'!U10:U185,"ADC[1]_16")</f>
        <v>0</v>
      </c>
      <c r="F97" s="43">
        <f>COUNTIF('PF176'!U10:U185,"ADC[2]_16")</f>
        <v>0</v>
      </c>
    </row>
    <row r="98" spans="2:6" x14ac:dyDescent="0.55000000000000004">
      <c r="B98" s="146"/>
      <c r="C98" s="43" t="s">
        <v>516</v>
      </c>
      <c r="D98" s="43">
        <f>COUNTIF('PF176'!U10:U185,"ADC[0]_17")</f>
        <v>0</v>
      </c>
      <c r="E98" s="43">
        <f>COUNTIF('PF176'!U10:U185,"ADC[1]_17")</f>
        <v>0</v>
      </c>
      <c r="F98" s="43">
        <f>COUNTIF('PF176'!U10:U185,"ADC[2]_17")</f>
        <v>0</v>
      </c>
    </row>
    <row r="99" spans="2:6" x14ac:dyDescent="0.55000000000000004">
      <c r="B99" s="146"/>
      <c r="C99" s="43" t="s">
        <v>517</v>
      </c>
      <c r="D99" s="43">
        <f>COUNTIF('PF176'!U10:U185,"ADC[0]_18")</f>
        <v>0</v>
      </c>
      <c r="E99" s="43">
        <f>COUNTIF('PF176'!U10:U185,"ADC[1]_18")</f>
        <v>0</v>
      </c>
      <c r="F99" s="43">
        <f>COUNTIF('PF176'!U10:U185,"ADC[2]_18")</f>
        <v>0</v>
      </c>
    </row>
    <row r="100" spans="2:6" x14ac:dyDescent="0.55000000000000004">
      <c r="B100" s="146"/>
      <c r="C100" s="43" t="s">
        <v>518</v>
      </c>
      <c r="D100" s="43">
        <f>COUNTIF('PF176'!U10:U185,"ADC[0]_19")</f>
        <v>0</v>
      </c>
      <c r="E100" s="43">
        <f>COUNTIF('PF176'!U10:U185,"ADC[1]_19")</f>
        <v>0</v>
      </c>
      <c r="F100" s="43">
        <f>COUNTIF('PF176'!U10:U185,"ADC[2]_19")</f>
        <v>0</v>
      </c>
    </row>
    <row r="101" spans="2:6" x14ac:dyDescent="0.55000000000000004">
      <c r="B101" s="146"/>
      <c r="C101" s="43" t="s">
        <v>519</v>
      </c>
      <c r="D101" s="43">
        <f>COUNTIF('PF176'!U10:U185,"ADC[0]_20")</f>
        <v>0</v>
      </c>
      <c r="E101" s="43">
        <f>COUNTIF('PF176'!U10:U185,"ADC[1]_20")</f>
        <v>0</v>
      </c>
      <c r="F101" s="43">
        <f>COUNTIF('PF176'!U10:U185,"ADC[2]_20")</f>
        <v>0</v>
      </c>
    </row>
    <row r="102" spans="2:6" x14ac:dyDescent="0.55000000000000004">
      <c r="B102" s="146"/>
      <c r="C102" s="43" t="s">
        <v>520</v>
      </c>
      <c r="D102" s="43">
        <f>COUNTIF('PF176'!U10:U185,"ADC[0]_21")</f>
        <v>0</v>
      </c>
      <c r="E102" s="43">
        <f>COUNTIF('PF176'!U10:U185,"ADC[1]_21")</f>
        <v>0</v>
      </c>
      <c r="F102" s="43">
        <f>COUNTIF('PF176'!U10:U185,"ADC[2]_21")</f>
        <v>0</v>
      </c>
    </row>
    <row r="103" spans="2:6" x14ac:dyDescent="0.55000000000000004">
      <c r="B103" s="146"/>
      <c r="C103" s="43" t="s">
        <v>521</v>
      </c>
      <c r="D103" s="43">
        <f>COUNTIF('PF176'!U10:U185,"ADC[0]_22")</f>
        <v>0</v>
      </c>
      <c r="E103" s="43">
        <f>COUNTIF('PF176'!U10:U185,"ADC[1]_22")</f>
        <v>0</v>
      </c>
      <c r="F103" s="43">
        <f>COUNTIF('PF176'!U10:U185,"ADC[2]_22")</f>
        <v>0</v>
      </c>
    </row>
    <row r="104" spans="2:6" x14ac:dyDescent="0.55000000000000004">
      <c r="B104" s="146"/>
      <c r="C104" s="43" t="s">
        <v>522</v>
      </c>
      <c r="D104" s="43">
        <f>COUNTIF('PF176'!U10:U185,"ADC[0]_23")</f>
        <v>0</v>
      </c>
      <c r="E104" s="43">
        <f>COUNTIF('PF176'!U10:U185,"ADC[1]_23")</f>
        <v>0</v>
      </c>
      <c r="F104" s="43">
        <f>COUNTIF('PF176'!U10:U185,"ADC[2]_23")</f>
        <v>0</v>
      </c>
    </row>
    <row r="105" spans="2:6" x14ac:dyDescent="0.55000000000000004">
      <c r="B105" s="146"/>
      <c r="C105" s="43" t="s">
        <v>523</v>
      </c>
      <c r="D105" s="43">
        <f>COUNTIF('PF176'!U10:U185,"ADC[0]_24")</f>
        <v>0</v>
      </c>
      <c r="E105" s="43">
        <f>COUNTIF('PF176'!U10:U185,"ADC[1]_24")</f>
        <v>0</v>
      </c>
      <c r="F105" s="43">
        <f>COUNTIF('PF176'!U10:U185,"ADC[2]_24")</f>
        <v>0</v>
      </c>
    </row>
    <row r="106" spans="2:6" x14ac:dyDescent="0.55000000000000004">
      <c r="B106" s="146"/>
      <c r="C106" s="43" t="s">
        <v>524</v>
      </c>
      <c r="D106" s="43">
        <f>COUNTIF('PF176'!U10:U185,"ADC[0]_25")</f>
        <v>0</v>
      </c>
      <c r="E106" s="43">
        <f>COUNTIF('PF176'!U10:U185,"ADC[1]_25")</f>
        <v>0</v>
      </c>
      <c r="F106" s="43">
        <f>COUNTIF('PF176'!U10:U185,"ADC[2]_25")</f>
        <v>0</v>
      </c>
    </row>
    <row r="107" spans="2:6" x14ac:dyDescent="0.55000000000000004">
      <c r="B107" s="146"/>
      <c r="C107" s="43" t="s">
        <v>525</v>
      </c>
      <c r="D107" s="43">
        <f>COUNTIF('PF176'!U10:U185,"ADC[0]_26")</f>
        <v>0</v>
      </c>
      <c r="E107" s="43">
        <f>COUNTIF('PF176'!U10:U185,"ADC[1]_26")</f>
        <v>0</v>
      </c>
      <c r="F107" s="43">
        <f>COUNTIF('PF176'!U10:U185,"ADC[2]_26")</f>
        <v>0</v>
      </c>
    </row>
    <row r="108" spans="2:6" x14ac:dyDescent="0.55000000000000004">
      <c r="B108" s="146"/>
      <c r="C108" s="43" t="s">
        <v>526</v>
      </c>
      <c r="D108" s="43">
        <f>COUNTIF('PF176'!U10:U185,"ADC[0]_27")</f>
        <v>0</v>
      </c>
      <c r="E108" s="43">
        <f>COUNTIF('PF176'!U10:U185,"ADC[1]_27")</f>
        <v>0</v>
      </c>
      <c r="F108" s="43">
        <f>COUNTIF('PF176'!U10:U185,"ADC[2]_27")</f>
        <v>0</v>
      </c>
    </row>
    <row r="109" spans="2:6" x14ac:dyDescent="0.55000000000000004">
      <c r="B109" s="146"/>
      <c r="C109" s="43" t="s">
        <v>527</v>
      </c>
      <c r="D109" s="43">
        <f>COUNTIF('PF176'!U10:U185,"ADC[0]_28")</f>
        <v>0</v>
      </c>
      <c r="E109" s="43">
        <f>COUNTIF('PF176'!U10:U185,"ADC[1]_28")</f>
        <v>0</v>
      </c>
      <c r="F109" s="43">
        <f>COUNTIF('PF176'!U10:U185,"ADC[2]_28")</f>
        <v>0</v>
      </c>
    </row>
    <row r="110" spans="2:6" x14ac:dyDescent="0.55000000000000004">
      <c r="B110" s="146"/>
      <c r="C110" s="43" t="s">
        <v>528</v>
      </c>
      <c r="D110" s="43">
        <f>COUNTIF('PF176'!U10:U185,"ADC[0]_29")</f>
        <v>0</v>
      </c>
      <c r="E110" s="43">
        <f>COUNTIF('PF176'!U10:U185,"ADC[1]_29")</f>
        <v>0</v>
      </c>
      <c r="F110" s="43">
        <f>COUNTIF('PF176'!U10:U185,"ADC[2]_29")</f>
        <v>0</v>
      </c>
    </row>
    <row r="111" spans="2:6" x14ac:dyDescent="0.55000000000000004">
      <c r="B111" s="146"/>
      <c r="C111" s="43" t="s">
        <v>529</v>
      </c>
      <c r="D111" s="43">
        <f>COUNTIF('PF176'!U10:U185,"ADC[0]_30")</f>
        <v>0</v>
      </c>
      <c r="E111" s="43">
        <f>COUNTIF('PF176'!U10:U185,"ADC[1]_30")</f>
        <v>0</v>
      </c>
      <c r="F111" s="43">
        <f>COUNTIF('PF176'!U10:U185,"ADC[2]_30")</f>
        <v>0</v>
      </c>
    </row>
    <row r="112" spans="2:6" x14ac:dyDescent="0.55000000000000004">
      <c r="B112" s="144"/>
      <c r="C112" s="43" t="s">
        <v>530</v>
      </c>
      <c r="D112" s="43">
        <f>COUNTIF('PF176'!U10:U185,"ADC[0]_31")</f>
        <v>0</v>
      </c>
      <c r="E112" s="43">
        <f>COUNTIF('PF176'!U10:U185,"ADC[1]_31")</f>
        <v>0</v>
      </c>
      <c r="F112" s="43">
        <f>COUNTIF('PF176'!U10:U185,"ADC[2]_31")</f>
        <v>0</v>
      </c>
    </row>
    <row r="113" spans="2:21" ht="20" x14ac:dyDescent="0.55000000000000004">
      <c r="B113" s="68" t="s">
        <v>531</v>
      </c>
      <c r="C113" s="69" t="s">
        <v>430</v>
      </c>
      <c r="D113" s="43">
        <f>COUNTIF('PF176'!U10:U185,"ADC[0]_M")</f>
        <v>0</v>
      </c>
      <c r="E113" s="43">
        <f>COUNTIF('PF176'!U10:U185,"ADC[1]_M")</f>
        <v>0</v>
      </c>
      <c r="F113" s="43">
        <f>COUNTIF('PF176'!U10:U185,"ADC[2]_M")</f>
        <v>0</v>
      </c>
    </row>
    <row r="124" spans="2:21" ht="15" customHeight="1" x14ac:dyDescent="0.35">
      <c r="B124" s="117" t="s">
        <v>847</v>
      </c>
      <c r="C124" s="117"/>
      <c r="D124" s="117"/>
      <c r="E124" s="117"/>
      <c r="F124" s="117"/>
      <c r="G124" s="117"/>
      <c r="H124" s="117"/>
      <c r="I124" s="117"/>
      <c r="J124" s="117"/>
      <c r="K124" s="117"/>
      <c r="L124" s="117"/>
      <c r="M124" s="117"/>
      <c r="N124" s="117"/>
      <c r="O124" s="117"/>
      <c r="P124" s="117"/>
      <c r="Q124" s="117"/>
      <c r="R124" s="117"/>
      <c r="S124" s="117"/>
      <c r="T124" s="117"/>
      <c r="U124" s="117"/>
    </row>
    <row r="125" spans="2:21" ht="172" customHeight="1" x14ac:dyDescent="0.55000000000000004">
      <c r="B125" s="116" t="s">
        <v>848</v>
      </c>
      <c r="C125" s="116"/>
      <c r="D125" s="116"/>
      <c r="E125" s="116"/>
      <c r="F125" s="116"/>
      <c r="G125" s="116"/>
      <c r="H125" s="116"/>
      <c r="I125" s="116"/>
      <c r="J125" s="116"/>
      <c r="K125" s="116"/>
      <c r="L125" s="116"/>
      <c r="M125" s="116"/>
      <c r="N125" s="116"/>
      <c r="O125" s="116"/>
      <c r="P125" s="116"/>
      <c r="Q125" s="116"/>
      <c r="R125" s="116"/>
      <c r="S125" s="116"/>
      <c r="T125" s="116"/>
      <c r="U125" s="116"/>
    </row>
  </sheetData>
  <sheetProtection algorithmName="SHA-512" hashValue="tUVbUZhJMIfrzPj5nmgpwJSC8dqeMok750c1TZpqGrkjdTvuVkoWW3O+huajoni8Oo80gkmxecMPqbxEJkajDg==" saltValue="xr+hIC+cKwFhujJfxuKpNw==" spinCount="100000" sheet="1" objects="1" formatCells="0" formatColumns="0" formatRows="0" insertColumns="0" insertRows="0" insertHyperlinks="0" deleteColumns="0" deleteRows="0" selectLockedCells="1" sort="0" autoFilter="0" pivotTables="0"/>
  <mergeCells count="23">
    <mergeCell ref="B81:B112"/>
    <mergeCell ref="B65:B66"/>
    <mergeCell ref="B68:C68"/>
    <mergeCell ref="B69:B70"/>
    <mergeCell ref="B71:B72"/>
    <mergeCell ref="B74:C74"/>
    <mergeCell ref="B75:B76"/>
    <mergeCell ref="B125:U125"/>
    <mergeCell ref="B124:U124"/>
    <mergeCell ref="B63:B64"/>
    <mergeCell ref="B7:C7"/>
    <mergeCell ref="B8:B9"/>
    <mergeCell ref="B11:C11"/>
    <mergeCell ref="B12:B13"/>
    <mergeCell ref="B16:C16"/>
    <mergeCell ref="B17:B19"/>
    <mergeCell ref="B22:C22"/>
    <mergeCell ref="B62:C62"/>
    <mergeCell ref="B37:B44"/>
    <mergeCell ref="B45:B50"/>
    <mergeCell ref="B23:B36"/>
    <mergeCell ref="B77:B78"/>
    <mergeCell ref="B80:C80"/>
  </mergeCells>
  <phoneticPr fontId="3"/>
  <conditionalFormatting sqref="D23:K50">
    <cfRule type="cellIs" dxfId="18" priority="148" operator="notEqual">
      <formula>0</formula>
    </cfRule>
  </conditionalFormatting>
  <conditionalFormatting sqref="D17:K20 D8:F9 D12:F14 D75:G78 D69:O72 D63:BN66 D81:F113">
    <cfRule type="cellIs" dxfId="17" priority="119" operator="greaterThanOrEqual">
      <formula>2</formula>
    </cfRule>
    <cfRule type="cellIs" dxfId="16" priority="133" operator="notEqual">
      <formula>0</formula>
    </cfRule>
  </conditionalFormatting>
  <pageMargins left="0.7" right="0.7" top="0.75" bottom="0.75" header="0.3" footer="0.3"/>
  <pageSetup paperSize="9" orientation="portrait" r:id="rId1"/>
  <ignoredErrors>
    <ignoredError sqref="D8:F9 D12:F13 D17:K19 D23:K50 D53:K60 D81:F113" unlockedFormula="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0B33D-F6B0-4702-B836-95070DBAC3C3}">
  <dimension ref="A1:BC68"/>
  <sheetViews>
    <sheetView topLeftCell="A58" zoomScale="70" zoomScaleNormal="70" workbookViewId="0">
      <selection activeCell="BB50" sqref="BB50"/>
    </sheetView>
  </sheetViews>
  <sheetFormatPr defaultRowHeight="10" x14ac:dyDescent="0.55000000000000004"/>
  <cols>
    <col min="1" max="2" width="8.58203125" style="40"/>
    <col min="3" max="3" width="18.58203125" style="40" customWidth="1"/>
    <col min="4" max="5" width="3.33203125" style="40" customWidth="1"/>
    <col min="6" max="49" width="2.33203125" style="40" customWidth="1"/>
    <col min="50" max="51" width="3.33203125" style="40" customWidth="1"/>
    <col min="52" max="52" width="18.58203125" style="40" customWidth="1"/>
    <col min="53" max="55" width="8.58203125" style="40" customWidth="1"/>
    <col min="56" max="277" width="8.58203125" style="40"/>
    <col min="278" max="278" width="14.33203125" style="40" customWidth="1"/>
    <col min="279" max="280" width="3.33203125" style="40" customWidth="1"/>
    <col min="281" max="305" width="2.33203125" style="40" customWidth="1"/>
    <col min="306" max="307" width="3.33203125" style="40" customWidth="1"/>
    <col min="308" max="308" width="14.33203125" style="40" customWidth="1"/>
    <col min="309" max="533" width="8.58203125" style="40"/>
    <col min="534" max="534" width="14.33203125" style="40" customWidth="1"/>
    <col min="535" max="536" width="3.33203125" style="40" customWidth="1"/>
    <col min="537" max="561" width="2.33203125" style="40" customWidth="1"/>
    <col min="562" max="563" width="3.33203125" style="40" customWidth="1"/>
    <col min="564" max="564" width="14.33203125" style="40" customWidth="1"/>
    <col min="565" max="789" width="8.58203125" style="40"/>
    <col min="790" max="790" width="14.33203125" style="40" customWidth="1"/>
    <col min="791" max="792" width="3.33203125" style="40" customWidth="1"/>
    <col min="793" max="817" width="2.33203125" style="40" customWidth="1"/>
    <col min="818" max="819" width="3.33203125" style="40" customWidth="1"/>
    <col min="820" max="820" width="14.33203125" style="40" customWidth="1"/>
    <col min="821" max="1045" width="8.58203125" style="40"/>
    <col min="1046" max="1046" width="14.33203125" style="40" customWidth="1"/>
    <col min="1047" max="1048" width="3.33203125" style="40" customWidth="1"/>
    <col min="1049" max="1073" width="2.33203125" style="40" customWidth="1"/>
    <col min="1074" max="1075" width="3.33203125" style="40" customWidth="1"/>
    <col min="1076" max="1076" width="14.33203125" style="40" customWidth="1"/>
    <col min="1077" max="1301" width="8.58203125" style="40"/>
    <col min="1302" max="1302" width="14.33203125" style="40" customWidth="1"/>
    <col min="1303" max="1304" width="3.33203125" style="40" customWidth="1"/>
    <col min="1305" max="1329" width="2.33203125" style="40" customWidth="1"/>
    <col min="1330" max="1331" width="3.33203125" style="40" customWidth="1"/>
    <col min="1332" max="1332" width="14.33203125" style="40" customWidth="1"/>
    <col min="1333" max="1557" width="8.58203125" style="40"/>
    <col min="1558" max="1558" width="14.33203125" style="40" customWidth="1"/>
    <col min="1559" max="1560" width="3.33203125" style="40" customWidth="1"/>
    <col min="1561" max="1585" width="2.33203125" style="40" customWidth="1"/>
    <col min="1586" max="1587" width="3.33203125" style="40" customWidth="1"/>
    <col min="1588" max="1588" width="14.33203125" style="40" customWidth="1"/>
    <col min="1589" max="1813" width="8.58203125" style="40"/>
    <col min="1814" max="1814" width="14.33203125" style="40" customWidth="1"/>
    <col min="1815" max="1816" width="3.33203125" style="40" customWidth="1"/>
    <col min="1817" max="1841" width="2.33203125" style="40" customWidth="1"/>
    <col min="1842" max="1843" width="3.33203125" style="40" customWidth="1"/>
    <col min="1844" max="1844" width="14.33203125" style="40" customWidth="1"/>
    <col min="1845" max="2069" width="8.58203125" style="40"/>
    <col min="2070" max="2070" width="14.33203125" style="40" customWidth="1"/>
    <col min="2071" max="2072" width="3.33203125" style="40" customWidth="1"/>
    <col min="2073" max="2097" width="2.33203125" style="40" customWidth="1"/>
    <col min="2098" max="2099" width="3.33203125" style="40" customWidth="1"/>
    <col min="2100" max="2100" width="14.33203125" style="40" customWidth="1"/>
    <col min="2101" max="2325" width="8.58203125" style="40"/>
    <col min="2326" max="2326" width="14.33203125" style="40" customWidth="1"/>
    <col min="2327" max="2328" width="3.33203125" style="40" customWidth="1"/>
    <col min="2329" max="2353" width="2.33203125" style="40" customWidth="1"/>
    <col min="2354" max="2355" width="3.33203125" style="40" customWidth="1"/>
    <col min="2356" max="2356" width="14.33203125" style="40" customWidth="1"/>
    <col min="2357" max="2581" width="8.58203125" style="40"/>
    <col min="2582" max="2582" width="14.33203125" style="40" customWidth="1"/>
    <col min="2583" max="2584" width="3.33203125" style="40" customWidth="1"/>
    <col min="2585" max="2609" width="2.33203125" style="40" customWidth="1"/>
    <col min="2610" max="2611" width="3.33203125" style="40" customWidth="1"/>
    <col min="2612" max="2612" width="14.33203125" style="40" customWidth="1"/>
    <col min="2613" max="2837" width="8.58203125" style="40"/>
    <col min="2838" max="2838" width="14.33203125" style="40" customWidth="1"/>
    <col min="2839" max="2840" width="3.33203125" style="40" customWidth="1"/>
    <col min="2841" max="2865" width="2.33203125" style="40" customWidth="1"/>
    <col min="2866" max="2867" width="3.33203125" style="40" customWidth="1"/>
    <col min="2868" max="2868" width="14.33203125" style="40" customWidth="1"/>
    <col min="2869" max="3093" width="8.58203125" style="40"/>
    <col min="3094" max="3094" width="14.33203125" style="40" customWidth="1"/>
    <col min="3095" max="3096" width="3.33203125" style="40" customWidth="1"/>
    <col min="3097" max="3121" width="2.33203125" style="40" customWidth="1"/>
    <col min="3122" max="3123" width="3.33203125" style="40" customWidth="1"/>
    <col min="3124" max="3124" width="14.33203125" style="40" customWidth="1"/>
    <col min="3125" max="3349" width="8.58203125" style="40"/>
    <col min="3350" max="3350" width="14.33203125" style="40" customWidth="1"/>
    <col min="3351" max="3352" width="3.33203125" style="40" customWidth="1"/>
    <col min="3353" max="3377" width="2.33203125" style="40" customWidth="1"/>
    <col min="3378" max="3379" width="3.33203125" style="40" customWidth="1"/>
    <col min="3380" max="3380" width="14.33203125" style="40" customWidth="1"/>
    <col min="3381" max="3605" width="8.58203125" style="40"/>
    <col min="3606" max="3606" width="14.33203125" style="40" customWidth="1"/>
    <col min="3607" max="3608" width="3.33203125" style="40" customWidth="1"/>
    <col min="3609" max="3633" width="2.33203125" style="40" customWidth="1"/>
    <col min="3634" max="3635" width="3.33203125" style="40" customWidth="1"/>
    <col min="3636" max="3636" width="14.33203125" style="40" customWidth="1"/>
    <col min="3637" max="3861" width="8.58203125" style="40"/>
    <col min="3862" max="3862" width="14.33203125" style="40" customWidth="1"/>
    <col min="3863" max="3864" width="3.33203125" style="40" customWidth="1"/>
    <col min="3865" max="3889" width="2.33203125" style="40" customWidth="1"/>
    <col min="3890" max="3891" width="3.33203125" style="40" customWidth="1"/>
    <col min="3892" max="3892" width="14.33203125" style="40" customWidth="1"/>
    <col min="3893" max="4117" width="8.58203125" style="40"/>
    <col min="4118" max="4118" width="14.33203125" style="40" customWidth="1"/>
    <col min="4119" max="4120" width="3.33203125" style="40" customWidth="1"/>
    <col min="4121" max="4145" width="2.33203125" style="40" customWidth="1"/>
    <col min="4146" max="4147" width="3.33203125" style="40" customWidth="1"/>
    <col min="4148" max="4148" width="14.33203125" style="40" customWidth="1"/>
    <col min="4149" max="4373" width="8.58203125" style="40"/>
    <col min="4374" max="4374" width="14.33203125" style="40" customWidth="1"/>
    <col min="4375" max="4376" width="3.33203125" style="40" customWidth="1"/>
    <col min="4377" max="4401" width="2.33203125" style="40" customWidth="1"/>
    <col min="4402" max="4403" width="3.33203125" style="40" customWidth="1"/>
    <col min="4404" max="4404" width="14.33203125" style="40" customWidth="1"/>
    <col min="4405" max="4629" width="8.58203125" style="40"/>
    <col min="4630" max="4630" width="14.33203125" style="40" customWidth="1"/>
    <col min="4631" max="4632" width="3.33203125" style="40" customWidth="1"/>
    <col min="4633" max="4657" width="2.33203125" style="40" customWidth="1"/>
    <col min="4658" max="4659" width="3.33203125" style="40" customWidth="1"/>
    <col min="4660" max="4660" width="14.33203125" style="40" customWidth="1"/>
    <col min="4661" max="4885" width="8.58203125" style="40"/>
    <col min="4886" max="4886" width="14.33203125" style="40" customWidth="1"/>
    <col min="4887" max="4888" width="3.33203125" style="40" customWidth="1"/>
    <col min="4889" max="4913" width="2.33203125" style="40" customWidth="1"/>
    <col min="4914" max="4915" width="3.33203125" style="40" customWidth="1"/>
    <col min="4916" max="4916" width="14.33203125" style="40" customWidth="1"/>
    <col min="4917" max="5141" width="8.58203125" style="40"/>
    <col min="5142" max="5142" width="14.33203125" style="40" customWidth="1"/>
    <col min="5143" max="5144" width="3.33203125" style="40" customWidth="1"/>
    <col min="5145" max="5169" width="2.33203125" style="40" customWidth="1"/>
    <col min="5170" max="5171" width="3.33203125" style="40" customWidth="1"/>
    <col min="5172" max="5172" width="14.33203125" style="40" customWidth="1"/>
    <col min="5173" max="5397" width="8.58203125" style="40"/>
    <col min="5398" max="5398" width="14.33203125" style="40" customWidth="1"/>
    <col min="5399" max="5400" width="3.33203125" style="40" customWidth="1"/>
    <col min="5401" max="5425" width="2.33203125" style="40" customWidth="1"/>
    <col min="5426" max="5427" width="3.33203125" style="40" customWidth="1"/>
    <col min="5428" max="5428" width="14.33203125" style="40" customWidth="1"/>
    <col min="5429" max="5653" width="8.58203125" style="40"/>
    <col min="5654" max="5654" width="14.33203125" style="40" customWidth="1"/>
    <col min="5655" max="5656" width="3.33203125" style="40" customWidth="1"/>
    <col min="5657" max="5681" width="2.33203125" style="40" customWidth="1"/>
    <col min="5682" max="5683" width="3.33203125" style="40" customWidth="1"/>
    <col min="5684" max="5684" width="14.33203125" style="40" customWidth="1"/>
    <col min="5685" max="5909" width="8.58203125" style="40"/>
    <col min="5910" max="5910" width="14.33203125" style="40" customWidth="1"/>
    <col min="5911" max="5912" width="3.33203125" style="40" customWidth="1"/>
    <col min="5913" max="5937" width="2.33203125" style="40" customWidth="1"/>
    <col min="5938" max="5939" width="3.33203125" style="40" customWidth="1"/>
    <col min="5940" max="5940" width="14.33203125" style="40" customWidth="1"/>
    <col min="5941" max="6165" width="8.58203125" style="40"/>
    <col min="6166" max="6166" width="14.33203125" style="40" customWidth="1"/>
    <col min="6167" max="6168" width="3.33203125" style="40" customWidth="1"/>
    <col min="6169" max="6193" width="2.33203125" style="40" customWidth="1"/>
    <col min="6194" max="6195" width="3.33203125" style="40" customWidth="1"/>
    <col min="6196" max="6196" width="14.33203125" style="40" customWidth="1"/>
    <col min="6197" max="6421" width="8.58203125" style="40"/>
    <col min="6422" max="6422" width="14.33203125" style="40" customWidth="1"/>
    <col min="6423" max="6424" width="3.33203125" style="40" customWidth="1"/>
    <col min="6425" max="6449" width="2.33203125" style="40" customWidth="1"/>
    <col min="6450" max="6451" width="3.33203125" style="40" customWidth="1"/>
    <col min="6452" max="6452" width="14.33203125" style="40" customWidth="1"/>
    <col min="6453" max="6677" width="8.58203125" style="40"/>
    <col min="6678" max="6678" width="14.33203125" style="40" customWidth="1"/>
    <col min="6679" max="6680" width="3.33203125" style="40" customWidth="1"/>
    <col min="6681" max="6705" width="2.33203125" style="40" customWidth="1"/>
    <col min="6706" max="6707" width="3.33203125" style="40" customWidth="1"/>
    <col min="6708" max="6708" width="14.33203125" style="40" customWidth="1"/>
    <col min="6709" max="6933" width="8.58203125" style="40"/>
    <col min="6934" max="6934" width="14.33203125" style="40" customWidth="1"/>
    <col min="6935" max="6936" width="3.33203125" style="40" customWidth="1"/>
    <col min="6937" max="6961" width="2.33203125" style="40" customWidth="1"/>
    <col min="6962" max="6963" width="3.33203125" style="40" customWidth="1"/>
    <col min="6964" max="6964" width="14.33203125" style="40" customWidth="1"/>
    <col min="6965" max="7189" width="8.58203125" style="40"/>
    <col min="7190" max="7190" width="14.33203125" style="40" customWidth="1"/>
    <col min="7191" max="7192" width="3.33203125" style="40" customWidth="1"/>
    <col min="7193" max="7217" width="2.33203125" style="40" customWidth="1"/>
    <col min="7218" max="7219" width="3.33203125" style="40" customWidth="1"/>
    <col min="7220" max="7220" width="14.33203125" style="40" customWidth="1"/>
    <col min="7221" max="7445" width="8.58203125" style="40"/>
    <col min="7446" max="7446" width="14.33203125" style="40" customWidth="1"/>
    <col min="7447" max="7448" width="3.33203125" style="40" customWidth="1"/>
    <col min="7449" max="7473" width="2.33203125" style="40" customWidth="1"/>
    <col min="7474" max="7475" width="3.33203125" style="40" customWidth="1"/>
    <col min="7476" max="7476" width="14.33203125" style="40" customWidth="1"/>
    <col min="7477" max="7701" width="8.58203125" style="40"/>
    <col min="7702" max="7702" width="14.33203125" style="40" customWidth="1"/>
    <col min="7703" max="7704" width="3.33203125" style="40" customWidth="1"/>
    <col min="7705" max="7729" width="2.33203125" style="40" customWidth="1"/>
    <col min="7730" max="7731" width="3.33203125" style="40" customWidth="1"/>
    <col min="7732" max="7732" width="14.33203125" style="40" customWidth="1"/>
    <col min="7733" max="7957" width="8.58203125" style="40"/>
    <col min="7958" max="7958" width="14.33203125" style="40" customWidth="1"/>
    <col min="7959" max="7960" width="3.33203125" style="40" customWidth="1"/>
    <col min="7961" max="7985" width="2.33203125" style="40" customWidth="1"/>
    <col min="7986" max="7987" width="3.33203125" style="40" customWidth="1"/>
    <col min="7988" max="7988" width="14.33203125" style="40" customWidth="1"/>
    <col min="7989" max="8213" width="8.58203125" style="40"/>
    <col min="8214" max="8214" width="14.33203125" style="40" customWidth="1"/>
    <col min="8215" max="8216" width="3.33203125" style="40" customWidth="1"/>
    <col min="8217" max="8241" width="2.33203125" style="40" customWidth="1"/>
    <col min="8242" max="8243" width="3.33203125" style="40" customWidth="1"/>
    <col min="8244" max="8244" width="14.33203125" style="40" customWidth="1"/>
    <col min="8245" max="8469" width="8.58203125" style="40"/>
    <col min="8470" max="8470" width="14.33203125" style="40" customWidth="1"/>
    <col min="8471" max="8472" width="3.33203125" style="40" customWidth="1"/>
    <col min="8473" max="8497" width="2.33203125" style="40" customWidth="1"/>
    <col min="8498" max="8499" width="3.33203125" style="40" customWidth="1"/>
    <col min="8500" max="8500" width="14.33203125" style="40" customWidth="1"/>
    <col min="8501" max="8725" width="8.58203125" style="40"/>
    <col min="8726" max="8726" width="14.33203125" style="40" customWidth="1"/>
    <col min="8727" max="8728" width="3.33203125" style="40" customWidth="1"/>
    <col min="8729" max="8753" width="2.33203125" style="40" customWidth="1"/>
    <col min="8754" max="8755" width="3.33203125" style="40" customWidth="1"/>
    <col min="8756" max="8756" width="14.33203125" style="40" customWidth="1"/>
    <col min="8757" max="8981" width="8.58203125" style="40"/>
    <col min="8982" max="8982" width="14.33203125" style="40" customWidth="1"/>
    <col min="8983" max="8984" width="3.33203125" style="40" customWidth="1"/>
    <col min="8985" max="9009" width="2.33203125" style="40" customWidth="1"/>
    <col min="9010" max="9011" width="3.33203125" style="40" customWidth="1"/>
    <col min="9012" max="9012" width="14.33203125" style="40" customWidth="1"/>
    <col min="9013" max="9237" width="8.58203125" style="40"/>
    <col min="9238" max="9238" width="14.33203125" style="40" customWidth="1"/>
    <col min="9239" max="9240" width="3.33203125" style="40" customWidth="1"/>
    <col min="9241" max="9265" width="2.33203125" style="40" customWidth="1"/>
    <col min="9266" max="9267" width="3.33203125" style="40" customWidth="1"/>
    <col min="9268" max="9268" width="14.33203125" style="40" customWidth="1"/>
    <col min="9269" max="9493" width="8.58203125" style="40"/>
    <col min="9494" max="9494" width="14.33203125" style="40" customWidth="1"/>
    <col min="9495" max="9496" width="3.33203125" style="40" customWidth="1"/>
    <col min="9497" max="9521" width="2.33203125" style="40" customWidth="1"/>
    <col min="9522" max="9523" width="3.33203125" style="40" customWidth="1"/>
    <col min="9524" max="9524" width="14.33203125" style="40" customWidth="1"/>
    <col min="9525" max="9749" width="8.58203125" style="40"/>
    <col min="9750" max="9750" width="14.33203125" style="40" customWidth="1"/>
    <col min="9751" max="9752" width="3.33203125" style="40" customWidth="1"/>
    <col min="9753" max="9777" width="2.33203125" style="40" customWidth="1"/>
    <col min="9778" max="9779" width="3.33203125" style="40" customWidth="1"/>
    <col min="9780" max="9780" width="14.33203125" style="40" customWidth="1"/>
    <col min="9781" max="10005" width="8.58203125" style="40"/>
    <col min="10006" max="10006" width="14.33203125" style="40" customWidth="1"/>
    <col min="10007" max="10008" width="3.33203125" style="40" customWidth="1"/>
    <col min="10009" max="10033" width="2.33203125" style="40" customWidth="1"/>
    <col min="10034" max="10035" width="3.33203125" style="40" customWidth="1"/>
    <col min="10036" max="10036" width="14.33203125" style="40" customWidth="1"/>
    <col min="10037" max="10261" width="8.58203125" style="40"/>
    <col min="10262" max="10262" width="14.33203125" style="40" customWidth="1"/>
    <col min="10263" max="10264" width="3.33203125" style="40" customWidth="1"/>
    <col min="10265" max="10289" width="2.33203125" style="40" customWidth="1"/>
    <col min="10290" max="10291" width="3.33203125" style="40" customWidth="1"/>
    <col min="10292" max="10292" width="14.33203125" style="40" customWidth="1"/>
    <col min="10293" max="10517" width="8.58203125" style="40"/>
    <col min="10518" max="10518" width="14.33203125" style="40" customWidth="1"/>
    <col min="10519" max="10520" width="3.33203125" style="40" customWidth="1"/>
    <col min="10521" max="10545" width="2.33203125" style="40" customWidth="1"/>
    <col min="10546" max="10547" width="3.33203125" style="40" customWidth="1"/>
    <col min="10548" max="10548" width="14.33203125" style="40" customWidth="1"/>
    <col min="10549" max="10773" width="8.58203125" style="40"/>
    <col min="10774" max="10774" width="14.33203125" style="40" customWidth="1"/>
    <col min="10775" max="10776" width="3.33203125" style="40" customWidth="1"/>
    <col min="10777" max="10801" width="2.33203125" style="40" customWidth="1"/>
    <col min="10802" max="10803" width="3.33203125" style="40" customWidth="1"/>
    <col min="10804" max="10804" width="14.33203125" style="40" customWidth="1"/>
    <col min="10805" max="11029" width="8.58203125" style="40"/>
    <col min="11030" max="11030" width="14.33203125" style="40" customWidth="1"/>
    <col min="11031" max="11032" width="3.33203125" style="40" customWidth="1"/>
    <col min="11033" max="11057" width="2.33203125" style="40" customWidth="1"/>
    <col min="11058" max="11059" width="3.33203125" style="40" customWidth="1"/>
    <col min="11060" max="11060" width="14.33203125" style="40" customWidth="1"/>
    <col min="11061" max="11285" width="8.58203125" style="40"/>
    <col min="11286" max="11286" width="14.33203125" style="40" customWidth="1"/>
    <col min="11287" max="11288" width="3.33203125" style="40" customWidth="1"/>
    <col min="11289" max="11313" width="2.33203125" style="40" customWidth="1"/>
    <col min="11314" max="11315" width="3.33203125" style="40" customWidth="1"/>
    <col min="11316" max="11316" width="14.33203125" style="40" customWidth="1"/>
    <col min="11317" max="11541" width="8.58203125" style="40"/>
    <col min="11542" max="11542" width="14.33203125" style="40" customWidth="1"/>
    <col min="11543" max="11544" width="3.33203125" style="40" customWidth="1"/>
    <col min="11545" max="11569" width="2.33203125" style="40" customWidth="1"/>
    <col min="11570" max="11571" width="3.33203125" style="40" customWidth="1"/>
    <col min="11572" max="11572" width="14.33203125" style="40" customWidth="1"/>
    <col min="11573" max="11797" width="8.58203125" style="40"/>
    <col min="11798" max="11798" width="14.33203125" style="40" customWidth="1"/>
    <col min="11799" max="11800" width="3.33203125" style="40" customWidth="1"/>
    <col min="11801" max="11825" width="2.33203125" style="40" customWidth="1"/>
    <col min="11826" max="11827" width="3.33203125" style="40" customWidth="1"/>
    <col min="11828" max="11828" width="14.33203125" style="40" customWidth="1"/>
    <col min="11829" max="12053" width="8.58203125" style="40"/>
    <col min="12054" max="12054" width="14.33203125" style="40" customWidth="1"/>
    <col min="12055" max="12056" width="3.33203125" style="40" customWidth="1"/>
    <col min="12057" max="12081" width="2.33203125" style="40" customWidth="1"/>
    <col min="12082" max="12083" width="3.33203125" style="40" customWidth="1"/>
    <col min="12084" max="12084" width="14.33203125" style="40" customWidth="1"/>
    <col min="12085" max="12309" width="8.58203125" style="40"/>
    <col min="12310" max="12310" width="14.33203125" style="40" customWidth="1"/>
    <col min="12311" max="12312" width="3.33203125" style="40" customWidth="1"/>
    <col min="12313" max="12337" width="2.33203125" style="40" customWidth="1"/>
    <col min="12338" max="12339" width="3.33203125" style="40" customWidth="1"/>
    <col min="12340" max="12340" width="14.33203125" style="40" customWidth="1"/>
    <col min="12341" max="12565" width="8.58203125" style="40"/>
    <col min="12566" max="12566" width="14.33203125" style="40" customWidth="1"/>
    <col min="12567" max="12568" width="3.33203125" style="40" customWidth="1"/>
    <col min="12569" max="12593" width="2.33203125" style="40" customWidth="1"/>
    <col min="12594" max="12595" width="3.33203125" style="40" customWidth="1"/>
    <col min="12596" max="12596" width="14.33203125" style="40" customWidth="1"/>
    <col min="12597" max="12821" width="8.58203125" style="40"/>
    <col min="12822" max="12822" width="14.33203125" style="40" customWidth="1"/>
    <col min="12823" max="12824" width="3.33203125" style="40" customWidth="1"/>
    <col min="12825" max="12849" width="2.33203125" style="40" customWidth="1"/>
    <col min="12850" max="12851" width="3.33203125" style="40" customWidth="1"/>
    <col min="12852" max="12852" width="14.33203125" style="40" customWidth="1"/>
    <col min="12853" max="13077" width="8.58203125" style="40"/>
    <col min="13078" max="13078" width="14.33203125" style="40" customWidth="1"/>
    <col min="13079" max="13080" width="3.33203125" style="40" customWidth="1"/>
    <col min="13081" max="13105" width="2.33203125" style="40" customWidth="1"/>
    <col min="13106" max="13107" width="3.33203125" style="40" customWidth="1"/>
    <col min="13108" max="13108" width="14.33203125" style="40" customWidth="1"/>
    <col min="13109" max="13333" width="8.58203125" style="40"/>
    <col min="13334" max="13334" width="14.33203125" style="40" customWidth="1"/>
    <col min="13335" max="13336" width="3.33203125" style="40" customWidth="1"/>
    <col min="13337" max="13361" width="2.33203125" style="40" customWidth="1"/>
    <col min="13362" max="13363" width="3.33203125" style="40" customWidth="1"/>
    <col min="13364" max="13364" width="14.33203125" style="40" customWidth="1"/>
    <col min="13365" max="13589" width="8.58203125" style="40"/>
    <col min="13590" max="13590" width="14.33203125" style="40" customWidth="1"/>
    <col min="13591" max="13592" width="3.33203125" style="40" customWidth="1"/>
    <col min="13593" max="13617" width="2.33203125" style="40" customWidth="1"/>
    <col min="13618" max="13619" width="3.33203125" style="40" customWidth="1"/>
    <col min="13620" max="13620" width="14.33203125" style="40" customWidth="1"/>
    <col min="13621" max="13845" width="8.58203125" style="40"/>
    <col min="13846" max="13846" width="14.33203125" style="40" customWidth="1"/>
    <col min="13847" max="13848" width="3.33203125" style="40" customWidth="1"/>
    <col min="13849" max="13873" width="2.33203125" style="40" customWidth="1"/>
    <col min="13874" max="13875" width="3.33203125" style="40" customWidth="1"/>
    <col min="13876" max="13876" width="14.33203125" style="40" customWidth="1"/>
    <col min="13877" max="14101" width="8.58203125" style="40"/>
    <col min="14102" max="14102" width="14.33203125" style="40" customWidth="1"/>
    <col min="14103" max="14104" width="3.33203125" style="40" customWidth="1"/>
    <col min="14105" max="14129" width="2.33203125" style="40" customWidth="1"/>
    <col min="14130" max="14131" width="3.33203125" style="40" customWidth="1"/>
    <col min="14132" max="14132" width="14.33203125" style="40" customWidth="1"/>
    <col min="14133" max="14357" width="8.58203125" style="40"/>
    <col min="14358" max="14358" width="14.33203125" style="40" customWidth="1"/>
    <col min="14359" max="14360" width="3.33203125" style="40" customWidth="1"/>
    <col min="14361" max="14385" width="2.33203125" style="40" customWidth="1"/>
    <col min="14386" max="14387" width="3.33203125" style="40" customWidth="1"/>
    <col min="14388" max="14388" width="14.33203125" style="40" customWidth="1"/>
    <col min="14389" max="14613" width="8.58203125" style="40"/>
    <col min="14614" max="14614" width="14.33203125" style="40" customWidth="1"/>
    <col min="14615" max="14616" width="3.33203125" style="40" customWidth="1"/>
    <col min="14617" max="14641" width="2.33203125" style="40" customWidth="1"/>
    <col min="14642" max="14643" width="3.33203125" style="40" customWidth="1"/>
    <col min="14644" max="14644" width="14.33203125" style="40" customWidth="1"/>
    <col min="14645" max="14869" width="8.58203125" style="40"/>
    <col min="14870" max="14870" width="14.33203125" style="40" customWidth="1"/>
    <col min="14871" max="14872" width="3.33203125" style="40" customWidth="1"/>
    <col min="14873" max="14897" width="2.33203125" style="40" customWidth="1"/>
    <col min="14898" max="14899" width="3.33203125" style="40" customWidth="1"/>
    <col min="14900" max="14900" width="14.33203125" style="40" customWidth="1"/>
    <col min="14901" max="15125" width="8.58203125" style="40"/>
    <col min="15126" max="15126" width="14.33203125" style="40" customWidth="1"/>
    <col min="15127" max="15128" width="3.33203125" style="40" customWidth="1"/>
    <col min="15129" max="15153" width="2.33203125" style="40" customWidth="1"/>
    <col min="15154" max="15155" width="3.33203125" style="40" customWidth="1"/>
    <col min="15156" max="15156" width="14.33203125" style="40" customWidth="1"/>
    <col min="15157" max="15381" width="8.58203125" style="40"/>
    <col min="15382" max="15382" width="14.33203125" style="40" customWidth="1"/>
    <col min="15383" max="15384" width="3.33203125" style="40" customWidth="1"/>
    <col min="15385" max="15409" width="2.33203125" style="40" customWidth="1"/>
    <col min="15410" max="15411" width="3.33203125" style="40" customWidth="1"/>
    <col min="15412" max="15412" width="14.33203125" style="40" customWidth="1"/>
    <col min="15413" max="15637" width="8.58203125" style="40"/>
    <col min="15638" max="15638" width="14.33203125" style="40" customWidth="1"/>
    <col min="15639" max="15640" width="3.33203125" style="40" customWidth="1"/>
    <col min="15641" max="15665" width="2.33203125" style="40" customWidth="1"/>
    <col min="15666" max="15667" width="3.33203125" style="40" customWidth="1"/>
    <col min="15668" max="15668" width="14.33203125" style="40" customWidth="1"/>
    <col min="15669" max="15893" width="8.58203125" style="40"/>
    <col min="15894" max="15894" width="14.33203125" style="40" customWidth="1"/>
    <col min="15895" max="15896" width="3.33203125" style="40" customWidth="1"/>
    <col min="15897" max="15921" width="2.33203125" style="40" customWidth="1"/>
    <col min="15922" max="15923" width="3.33203125" style="40" customWidth="1"/>
    <col min="15924" max="15924" width="14.33203125" style="40" customWidth="1"/>
    <col min="15925" max="16149" width="8.58203125" style="40"/>
    <col min="16150" max="16150" width="14.33203125" style="40" customWidth="1"/>
    <col min="16151" max="16152" width="3.33203125" style="40" customWidth="1"/>
    <col min="16153" max="16177" width="2.33203125" style="40" customWidth="1"/>
    <col min="16178" max="16179" width="3.33203125" style="40" customWidth="1"/>
    <col min="16180" max="16180" width="14.33203125" style="40" customWidth="1"/>
    <col min="16181" max="16384" width="8.58203125" style="40"/>
  </cols>
  <sheetData>
    <row r="1" spans="1:55" ht="25" customHeight="1" x14ac:dyDescent="0.55000000000000004">
      <c r="A1" s="39" t="s">
        <v>375</v>
      </c>
      <c r="BA1" s="36"/>
      <c r="BB1" s="36"/>
      <c r="BC1" s="36"/>
    </row>
    <row r="2" spans="1:55" ht="25" customHeight="1" x14ac:dyDescent="0.55000000000000004">
      <c r="A2" s="39"/>
      <c r="BA2" s="36"/>
      <c r="BB2" s="36"/>
      <c r="BC2" s="36"/>
    </row>
    <row r="3" spans="1:55" ht="25" customHeight="1" x14ac:dyDescent="0.55000000000000004">
      <c r="A3" s="39"/>
      <c r="BA3" s="36"/>
      <c r="BB3" s="36"/>
      <c r="BC3" s="36"/>
    </row>
    <row r="4" spans="1:55" ht="25" customHeight="1" x14ac:dyDescent="0.55000000000000004">
      <c r="A4" s="39"/>
      <c r="BA4" s="36"/>
      <c r="BB4" s="36"/>
      <c r="BC4" s="36"/>
    </row>
    <row r="5" spans="1:55" ht="25" customHeight="1" x14ac:dyDescent="0.55000000000000004">
      <c r="A5" s="39"/>
      <c r="BA5" s="36"/>
      <c r="BB5" s="36"/>
      <c r="BC5" s="37" t="s">
        <v>814</v>
      </c>
    </row>
    <row r="7" spans="1:55" ht="105" customHeight="1" x14ac:dyDescent="0.55000000000000004">
      <c r="F7" s="71" t="str">
        <f>'PF176'!U185</f>
        <v>VDDD</v>
      </c>
      <c r="G7" s="72">
        <f>'PF176'!U184</f>
        <v>0</v>
      </c>
      <c r="H7" s="72">
        <f>'PF176'!U183</f>
        <v>0</v>
      </c>
      <c r="I7" s="72">
        <f>'PF176'!U182</f>
        <v>0</v>
      </c>
      <c r="J7" s="72">
        <f>'PF176'!U181</f>
        <v>0</v>
      </c>
      <c r="K7" s="72">
        <f>'PF176'!U180</f>
        <v>0</v>
      </c>
      <c r="L7" s="72">
        <f>'PF176'!U179</f>
        <v>0</v>
      </c>
      <c r="M7" s="72">
        <f>'PF176'!U178</f>
        <v>0</v>
      </c>
      <c r="N7" s="72">
        <f>'PF176'!U177</f>
        <v>0</v>
      </c>
      <c r="O7" s="72">
        <f>'PF176'!U176</f>
        <v>0</v>
      </c>
      <c r="P7" s="72">
        <f>'PF176'!U175</f>
        <v>0</v>
      </c>
      <c r="Q7" s="72">
        <f>'PF176'!U174</f>
        <v>0</v>
      </c>
      <c r="R7" s="72">
        <f>'PF176'!U173</f>
        <v>0</v>
      </c>
      <c r="S7" s="72">
        <f>'PF176'!U172</f>
        <v>0</v>
      </c>
      <c r="T7" s="72">
        <f>'PF176'!U171</f>
        <v>0</v>
      </c>
      <c r="U7" s="72">
        <f>'PF176'!U170</f>
        <v>0</v>
      </c>
      <c r="V7" s="72">
        <f>'PF176'!U169</f>
        <v>0</v>
      </c>
      <c r="W7" s="72">
        <f>'PF176'!U168</f>
        <v>0</v>
      </c>
      <c r="X7" s="72">
        <f>'PF176'!U167</f>
        <v>0</v>
      </c>
      <c r="Y7" s="72">
        <f>'PF176'!U166</f>
        <v>0</v>
      </c>
      <c r="Z7" s="71" t="str">
        <f>'PF176'!U165</f>
        <v>VCCD</v>
      </c>
      <c r="AA7" s="73" t="str">
        <f>'PF176'!U164</f>
        <v>VSSD</v>
      </c>
      <c r="AB7" s="73" t="str">
        <f>'PF176'!U163</f>
        <v>VSSD</v>
      </c>
      <c r="AC7" s="71" t="str">
        <f>'PF176'!U162</f>
        <v>VDDD</v>
      </c>
      <c r="AD7" s="74" t="str">
        <f>'PF176'!U161</f>
        <v>XRES_L</v>
      </c>
      <c r="AE7" s="72">
        <f>'PF176'!U160</f>
        <v>0</v>
      </c>
      <c r="AF7" s="72">
        <f>'PF176'!U159</f>
        <v>0</v>
      </c>
      <c r="AG7" s="72">
        <f>'PF176'!U158</f>
        <v>0</v>
      </c>
      <c r="AH7" s="72">
        <f>'PF176'!U157</f>
        <v>0</v>
      </c>
      <c r="AI7" s="72">
        <f>'PF176'!U156</f>
        <v>0</v>
      </c>
      <c r="AJ7" s="72">
        <f>'PF176'!U155</f>
        <v>0</v>
      </c>
      <c r="AK7" s="72">
        <f>'PF176'!U154</f>
        <v>0</v>
      </c>
      <c r="AL7" s="72">
        <f>'PF176'!U153</f>
        <v>0</v>
      </c>
      <c r="AM7" s="72">
        <f>'PF176'!U152</f>
        <v>0</v>
      </c>
      <c r="AN7" s="72">
        <f>'PF176'!U151</f>
        <v>0</v>
      </c>
      <c r="AO7" s="72">
        <f>'PF176'!U150</f>
        <v>0</v>
      </c>
      <c r="AP7" s="72">
        <f>'PF176'!U149</f>
        <v>0</v>
      </c>
      <c r="AQ7" s="72">
        <f>'PF176'!U148</f>
        <v>0</v>
      </c>
      <c r="AR7" s="72">
        <f>'PF176'!U147</f>
        <v>0</v>
      </c>
      <c r="AS7" s="72">
        <f>'PF176'!U146</f>
        <v>0</v>
      </c>
      <c r="AT7" s="72">
        <f>'PF176'!U145</f>
        <v>0</v>
      </c>
      <c r="AU7" s="72">
        <f>'PF176'!U144</f>
        <v>0</v>
      </c>
      <c r="AV7" s="72">
        <f>'PF176'!U143</f>
        <v>0</v>
      </c>
      <c r="AW7" s="73" t="str">
        <f>'PF176'!U142</f>
        <v>VSSD</v>
      </c>
    </row>
    <row r="8" spans="1:55" ht="15" customHeight="1" x14ac:dyDescent="0.55000000000000004">
      <c r="D8" s="75"/>
      <c r="E8" s="76"/>
      <c r="F8" s="76">
        <v>176</v>
      </c>
      <c r="G8" s="76">
        <v>175</v>
      </c>
      <c r="H8" s="76">
        <v>174</v>
      </c>
      <c r="I8" s="76">
        <v>173</v>
      </c>
      <c r="J8" s="76">
        <v>172</v>
      </c>
      <c r="K8" s="76">
        <v>171</v>
      </c>
      <c r="L8" s="76">
        <v>170</v>
      </c>
      <c r="M8" s="76">
        <v>169</v>
      </c>
      <c r="N8" s="76">
        <v>168</v>
      </c>
      <c r="O8" s="76">
        <v>167</v>
      </c>
      <c r="P8" s="76">
        <v>166</v>
      </c>
      <c r="Q8" s="76">
        <v>165</v>
      </c>
      <c r="R8" s="76">
        <v>164</v>
      </c>
      <c r="S8" s="76">
        <v>163</v>
      </c>
      <c r="T8" s="76">
        <v>162</v>
      </c>
      <c r="U8" s="76">
        <v>161</v>
      </c>
      <c r="V8" s="76">
        <v>160</v>
      </c>
      <c r="W8" s="76">
        <v>159</v>
      </c>
      <c r="X8" s="76">
        <v>158</v>
      </c>
      <c r="Y8" s="76">
        <v>157</v>
      </c>
      <c r="Z8" s="76">
        <v>156</v>
      </c>
      <c r="AA8" s="76">
        <v>155</v>
      </c>
      <c r="AB8" s="76">
        <v>154</v>
      </c>
      <c r="AC8" s="76">
        <v>153</v>
      </c>
      <c r="AD8" s="76">
        <v>152</v>
      </c>
      <c r="AE8" s="76">
        <v>151</v>
      </c>
      <c r="AF8" s="76">
        <v>150</v>
      </c>
      <c r="AG8" s="76">
        <v>149</v>
      </c>
      <c r="AH8" s="76">
        <v>148</v>
      </c>
      <c r="AI8" s="76">
        <v>147</v>
      </c>
      <c r="AJ8" s="76">
        <v>146</v>
      </c>
      <c r="AK8" s="76">
        <v>145</v>
      </c>
      <c r="AL8" s="76">
        <v>144</v>
      </c>
      <c r="AM8" s="76">
        <v>143</v>
      </c>
      <c r="AN8" s="76">
        <v>142</v>
      </c>
      <c r="AO8" s="76">
        <v>141</v>
      </c>
      <c r="AP8" s="76">
        <v>140</v>
      </c>
      <c r="AQ8" s="76">
        <v>139</v>
      </c>
      <c r="AR8" s="76">
        <v>138</v>
      </c>
      <c r="AS8" s="76">
        <v>137</v>
      </c>
      <c r="AT8" s="76">
        <v>136</v>
      </c>
      <c r="AU8" s="76">
        <v>135</v>
      </c>
      <c r="AV8" s="76">
        <v>134</v>
      </c>
      <c r="AW8" s="76">
        <v>133</v>
      </c>
      <c r="AX8" s="76"/>
      <c r="AY8" s="77"/>
    </row>
    <row r="9" spans="1:55" ht="15" customHeight="1" x14ac:dyDescent="0.55000000000000004">
      <c r="D9" s="78"/>
      <c r="E9" s="79"/>
      <c r="F9" s="79"/>
      <c r="G9" s="79"/>
      <c r="H9" s="79"/>
      <c r="I9" s="79"/>
      <c r="J9" s="79"/>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80"/>
    </row>
    <row r="10" spans="1:55" ht="15" customHeight="1" x14ac:dyDescent="0.55000000000000004">
      <c r="B10" s="81"/>
      <c r="C10" s="82" t="str">
        <f>'PF176'!U10</f>
        <v>VSSD</v>
      </c>
      <c r="D10" s="78">
        <v>1</v>
      </c>
      <c r="E10" s="79"/>
      <c r="F10" s="151" t="s">
        <v>367</v>
      </c>
      <c r="G10" s="151"/>
      <c r="H10" s="151"/>
      <c r="I10" s="151"/>
      <c r="J10" s="151"/>
      <c r="K10" s="151"/>
      <c r="L10" s="151"/>
      <c r="M10" s="151"/>
      <c r="N10" s="151"/>
      <c r="O10" s="151"/>
      <c r="P10" s="151"/>
      <c r="Q10" s="151"/>
      <c r="R10" s="151"/>
      <c r="S10" s="151"/>
      <c r="T10" s="151"/>
      <c r="U10" s="151"/>
      <c r="V10" s="151"/>
      <c r="W10" s="151"/>
      <c r="X10" s="151"/>
      <c r="Y10" s="151"/>
      <c r="Z10" s="151"/>
      <c r="AA10" s="151"/>
      <c r="AB10" s="151"/>
      <c r="AC10" s="151"/>
      <c r="AD10" s="151"/>
      <c r="AE10" s="151"/>
      <c r="AF10" s="151"/>
      <c r="AG10" s="151"/>
      <c r="AH10" s="151"/>
      <c r="AI10" s="151"/>
      <c r="AJ10" s="151"/>
      <c r="AK10" s="151"/>
      <c r="AL10" s="151"/>
      <c r="AM10" s="151"/>
      <c r="AN10" s="151"/>
      <c r="AO10" s="151"/>
      <c r="AP10" s="151"/>
      <c r="AQ10" s="151"/>
      <c r="AR10" s="151"/>
      <c r="AS10" s="151"/>
      <c r="AT10" s="151"/>
      <c r="AU10" s="151"/>
      <c r="AV10" s="151"/>
      <c r="AW10" s="151"/>
      <c r="AX10" s="79"/>
      <c r="AY10" s="80">
        <v>132</v>
      </c>
      <c r="AZ10" s="83" t="str">
        <f>'PF176'!U141</f>
        <v>VDDD</v>
      </c>
    </row>
    <row r="11" spans="1:55" ht="15" customHeight="1" x14ac:dyDescent="0.55000000000000004">
      <c r="B11" s="81"/>
      <c r="C11" s="84">
        <f>'PF176'!U11</f>
        <v>0</v>
      </c>
      <c r="D11" s="78">
        <v>2</v>
      </c>
      <c r="E11" s="79"/>
      <c r="F11" s="151"/>
      <c r="G11" s="151"/>
      <c r="H11" s="151"/>
      <c r="I11" s="151"/>
      <c r="J11" s="151"/>
      <c r="K11" s="151"/>
      <c r="L11" s="151"/>
      <c r="M11" s="151"/>
      <c r="N11" s="151"/>
      <c r="O11" s="151"/>
      <c r="P11" s="151"/>
      <c r="Q11" s="151"/>
      <c r="R11" s="151"/>
      <c r="S11" s="151"/>
      <c r="T11" s="151"/>
      <c r="U11" s="151"/>
      <c r="V11" s="151"/>
      <c r="W11" s="151"/>
      <c r="X11" s="151"/>
      <c r="Y11" s="151"/>
      <c r="Z11" s="151"/>
      <c r="AA11" s="151"/>
      <c r="AB11" s="151"/>
      <c r="AC11" s="151"/>
      <c r="AD11" s="151"/>
      <c r="AE11" s="151"/>
      <c r="AF11" s="151"/>
      <c r="AG11" s="151"/>
      <c r="AH11" s="151"/>
      <c r="AI11" s="151"/>
      <c r="AJ11" s="151"/>
      <c r="AK11" s="151"/>
      <c r="AL11" s="151"/>
      <c r="AM11" s="151"/>
      <c r="AN11" s="151"/>
      <c r="AO11" s="151"/>
      <c r="AP11" s="151"/>
      <c r="AQ11" s="151"/>
      <c r="AR11" s="151"/>
      <c r="AS11" s="151"/>
      <c r="AT11" s="151"/>
      <c r="AU11" s="151"/>
      <c r="AV11" s="151"/>
      <c r="AW11" s="151"/>
      <c r="AX11" s="79"/>
      <c r="AY11" s="80">
        <v>131</v>
      </c>
      <c r="AZ11" s="85">
        <f>'PF176'!U140</f>
        <v>0</v>
      </c>
    </row>
    <row r="12" spans="1:55" ht="15" customHeight="1" x14ac:dyDescent="0.55000000000000004">
      <c r="B12" s="81"/>
      <c r="C12" s="84">
        <f>'PF176'!U12</f>
        <v>0</v>
      </c>
      <c r="D12" s="78">
        <v>3</v>
      </c>
      <c r="E12" s="79"/>
      <c r="F12" s="151"/>
      <c r="G12" s="151"/>
      <c r="H12" s="151"/>
      <c r="I12" s="151"/>
      <c r="J12" s="151"/>
      <c r="K12" s="151"/>
      <c r="L12" s="151"/>
      <c r="M12" s="151"/>
      <c r="N12" s="151"/>
      <c r="O12" s="151"/>
      <c r="P12" s="151"/>
      <c r="Q12" s="151"/>
      <c r="R12" s="151"/>
      <c r="S12" s="151"/>
      <c r="T12" s="151"/>
      <c r="U12" s="151"/>
      <c r="V12" s="151"/>
      <c r="W12" s="151"/>
      <c r="X12" s="151"/>
      <c r="Y12" s="151"/>
      <c r="Z12" s="151"/>
      <c r="AA12" s="151"/>
      <c r="AB12" s="151"/>
      <c r="AC12" s="151"/>
      <c r="AD12" s="151"/>
      <c r="AE12" s="151"/>
      <c r="AF12" s="151"/>
      <c r="AG12" s="151"/>
      <c r="AH12" s="151"/>
      <c r="AI12" s="151"/>
      <c r="AJ12" s="151"/>
      <c r="AK12" s="151"/>
      <c r="AL12" s="151"/>
      <c r="AM12" s="151"/>
      <c r="AN12" s="151"/>
      <c r="AO12" s="151"/>
      <c r="AP12" s="151"/>
      <c r="AQ12" s="151"/>
      <c r="AR12" s="151"/>
      <c r="AS12" s="151"/>
      <c r="AT12" s="151"/>
      <c r="AU12" s="151"/>
      <c r="AV12" s="151"/>
      <c r="AW12" s="151"/>
      <c r="AX12" s="79"/>
      <c r="AY12" s="80">
        <v>130</v>
      </c>
      <c r="AZ12" s="85">
        <f>'PF176'!U139</f>
        <v>0</v>
      </c>
    </row>
    <row r="13" spans="1:55" ht="15" customHeight="1" x14ac:dyDescent="0.55000000000000004">
      <c r="B13" s="81"/>
      <c r="C13" s="84">
        <f>'PF176'!U13</f>
        <v>0</v>
      </c>
      <c r="D13" s="78">
        <v>4</v>
      </c>
      <c r="E13" s="79"/>
      <c r="F13" s="151"/>
      <c r="G13" s="151"/>
      <c r="H13" s="151"/>
      <c r="I13" s="151"/>
      <c r="J13" s="151"/>
      <c r="K13" s="151"/>
      <c r="L13" s="151"/>
      <c r="M13" s="151"/>
      <c r="N13" s="151"/>
      <c r="O13" s="151"/>
      <c r="P13" s="151"/>
      <c r="Q13" s="151"/>
      <c r="R13" s="151"/>
      <c r="S13" s="151"/>
      <c r="T13" s="151"/>
      <c r="U13" s="151"/>
      <c r="V13" s="151"/>
      <c r="W13" s="151"/>
      <c r="X13" s="151"/>
      <c r="Y13" s="151"/>
      <c r="Z13" s="151"/>
      <c r="AA13" s="151"/>
      <c r="AB13" s="151"/>
      <c r="AC13" s="151"/>
      <c r="AD13" s="151"/>
      <c r="AE13" s="151"/>
      <c r="AF13" s="151"/>
      <c r="AG13" s="151"/>
      <c r="AH13" s="151"/>
      <c r="AI13" s="151"/>
      <c r="AJ13" s="151"/>
      <c r="AK13" s="151"/>
      <c r="AL13" s="151"/>
      <c r="AM13" s="151"/>
      <c r="AN13" s="151"/>
      <c r="AO13" s="151"/>
      <c r="AP13" s="151"/>
      <c r="AQ13" s="151"/>
      <c r="AR13" s="151"/>
      <c r="AS13" s="151"/>
      <c r="AT13" s="151"/>
      <c r="AU13" s="151"/>
      <c r="AV13" s="151"/>
      <c r="AW13" s="151"/>
      <c r="AX13" s="79"/>
      <c r="AY13" s="80">
        <v>129</v>
      </c>
      <c r="AZ13" s="85">
        <f>'PF176'!U138</f>
        <v>0</v>
      </c>
    </row>
    <row r="14" spans="1:55" ht="15" customHeight="1" x14ac:dyDescent="0.55000000000000004">
      <c r="B14" s="81"/>
      <c r="C14" s="84">
        <f>'PF176'!U14</f>
        <v>0</v>
      </c>
      <c r="D14" s="78">
        <v>5</v>
      </c>
      <c r="E14" s="79"/>
      <c r="F14" s="151"/>
      <c r="G14" s="151"/>
      <c r="H14" s="151"/>
      <c r="I14" s="151"/>
      <c r="J14" s="151"/>
      <c r="K14" s="151"/>
      <c r="L14" s="151"/>
      <c r="M14" s="151"/>
      <c r="N14" s="151"/>
      <c r="O14" s="151"/>
      <c r="P14" s="151"/>
      <c r="Q14" s="151"/>
      <c r="R14" s="151"/>
      <c r="S14" s="151"/>
      <c r="T14" s="151"/>
      <c r="U14" s="151"/>
      <c r="V14" s="151"/>
      <c r="W14" s="151"/>
      <c r="X14" s="151"/>
      <c r="Y14" s="151"/>
      <c r="Z14" s="151"/>
      <c r="AA14" s="151"/>
      <c r="AB14" s="151"/>
      <c r="AC14" s="151"/>
      <c r="AD14" s="151"/>
      <c r="AE14" s="151"/>
      <c r="AF14" s="151"/>
      <c r="AG14" s="151"/>
      <c r="AH14" s="151"/>
      <c r="AI14" s="151"/>
      <c r="AJ14" s="151"/>
      <c r="AK14" s="151"/>
      <c r="AL14" s="151"/>
      <c r="AM14" s="151"/>
      <c r="AN14" s="151"/>
      <c r="AO14" s="151"/>
      <c r="AP14" s="151"/>
      <c r="AQ14" s="151"/>
      <c r="AR14" s="151"/>
      <c r="AS14" s="151"/>
      <c r="AT14" s="151"/>
      <c r="AU14" s="151"/>
      <c r="AV14" s="151"/>
      <c r="AW14" s="151"/>
      <c r="AX14" s="79"/>
      <c r="AY14" s="80">
        <v>128</v>
      </c>
      <c r="AZ14" s="85">
        <f>'PF176'!U137</f>
        <v>0</v>
      </c>
    </row>
    <row r="15" spans="1:55" ht="15" customHeight="1" x14ac:dyDescent="0.55000000000000004">
      <c r="B15" s="81"/>
      <c r="C15" s="84">
        <f>'PF176'!U15</f>
        <v>0</v>
      </c>
      <c r="D15" s="78">
        <v>6</v>
      </c>
      <c r="E15" s="79"/>
      <c r="F15" s="151"/>
      <c r="G15" s="151"/>
      <c r="H15" s="151"/>
      <c r="I15" s="151"/>
      <c r="J15" s="151"/>
      <c r="K15" s="151"/>
      <c r="L15" s="151"/>
      <c r="M15" s="151"/>
      <c r="N15" s="151"/>
      <c r="O15" s="151"/>
      <c r="P15" s="151"/>
      <c r="Q15" s="151"/>
      <c r="R15" s="151"/>
      <c r="S15" s="151"/>
      <c r="T15" s="151"/>
      <c r="U15" s="151"/>
      <c r="V15" s="151"/>
      <c r="W15" s="151"/>
      <c r="X15" s="151"/>
      <c r="Y15" s="151"/>
      <c r="Z15" s="151"/>
      <c r="AA15" s="151"/>
      <c r="AB15" s="151"/>
      <c r="AC15" s="151"/>
      <c r="AD15" s="151"/>
      <c r="AE15" s="151"/>
      <c r="AF15" s="151"/>
      <c r="AG15" s="151"/>
      <c r="AH15" s="151"/>
      <c r="AI15" s="151"/>
      <c r="AJ15" s="151"/>
      <c r="AK15" s="151"/>
      <c r="AL15" s="151"/>
      <c r="AM15" s="151"/>
      <c r="AN15" s="151"/>
      <c r="AO15" s="151"/>
      <c r="AP15" s="151"/>
      <c r="AQ15" s="151"/>
      <c r="AR15" s="151"/>
      <c r="AS15" s="151"/>
      <c r="AT15" s="151"/>
      <c r="AU15" s="151"/>
      <c r="AV15" s="151"/>
      <c r="AW15" s="151"/>
      <c r="AX15" s="79"/>
      <c r="AY15" s="80">
        <v>127</v>
      </c>
      <c r="AZ15" s="85">
        <f>'PF176'!U136</f>
        <v>0</v>
      </c>
    </row>
    <row r="16" spans="1:55" ht="15" customHeight="1" x14ac:dyDescent="0.55000000000000004">
      <c r="B16" s="81"/>
      <c r="C16" s="84">
        <f>'PF176'!U16</f>
        <v>0</v>
      </c>
      <c r="D16" s="78">
        <v>7</v>
      </c>
      <c r="E16" s="79"/>
      <c r="F16" s="151"/>
      <c r="G16" s="151"/>
      <c r="H16" s="151"/>
      <c r="I16" s="151"/>
      <c r="J16" s="151"/>
      <c r="K16" s="151"/>
      <c r="L16" s="151"/>
      <c r="M16" s="151"/>
      <c r="N16" s="151"/>
      <c r="O16" s="151"/>
      <c r="P16" s="151"/>
      <c r="Q16" s="151"/>
      <c r="R16" s="151"/>
      <c r="S16" s="151"/>
      <c r="T16" s="151"/>
      <c r="U16" s="151"/>
      <c r="V16" s="151"/>
      <c r="W16" s="151"/>
      <c r="X16" s="151"/>
      <c r="Y16" s="151"/>
      <c r="Z16" s="151"/>
      <c r="AA16" s="151"/>
      <c r="AB16" s="151"/>
      <c r="AC16" s="151"/>
      <c r="AD16" s="151"/>
      <c r="AE16" s="151"/>
      <c r="AF16" s="151"/>
      <c r="AG16" s="151"/>
      <c r="AH16" s="151"/>
      <c r="AI16" s="151"/>
      <c r="AJ16" s="151"/>
      <c r="AK16" s="151"/>
      <c r="AL16" s="151"/>
      <c r="AM16" s="151"/>
      <c r="AN16" s="151"/>
      <c r="AO16" s="151"/>
      <c r="AP16" s="151"/>
      <c r="AQ16" s="151"/>
      <c r="AR16" s="151"/>
      <c r="AS16" s="151"/>
      <c r="AT16" s="151"/>
      <c r="AU16" s="151"/>
      <c r="AV16" s="151"/>
      <c r="AW16" s="151"/>
      <c r="AX16" s="79"/>
      <c r="AY16" s="80">
        <v>126</v>
      </c>
      <c r="AZ16" s="85">
        <f>'PF176'!U135</f>
        <v>0</v>
      </c>
    </row>
    <row r="17" spans="2:52" ht="15" customHeight="1" x14ac:dyDescent="0.55000000000000004">
      <c r="B17" s="81"/>
      <c r="C17" s="84">
        <f>'PF176'!U17</f>
        <v>0</v>
      </c>
      <c r="D17" s="78">
        <v>8</v>
      </c>
      <c r="E17" s="79"/>
      <c r="F17" s="151"/>
      <c r="G17" s="151"/>
      <c r="H17" s="151"/>
      <c r="I17" s="151"/>
      <c r="J17" s="151"/>
      <c r="K17" s="151"/>
      <c r="L17" s="151"/>
      <c r="M17" s="151"/>
      <c r="N17" s="151"/>
      <c r="O17" s="151"/>
      <c r="P17" s="151"/>
      <c r="Q17" s="151"/>
      <c r="R17" s="151"/>
      <c r="S17" s="151"/>
      <c r="T17" s="151"/>
      <c r="U17" s="151"/>
      <c r="V17" s="151"/>
      <c r="W17" s="151"/>
      <c r="X17" s="151"/>
      <c r="Y17" s="151"/>
      <c r="Z17" s="151"/>
      <c r="AA17" s="151"/>
      <c r="AB17" s="151"/>
      <c r="AC17" s="151"/>
      <c r="AD17" s="151"/>
      <c r="AE17" s="151"/>
      <c r="AF17" s="151"/>
      <c r="AG17" s="151"/>
      <c r="AH17" s="151"/>
      <c r="AI17" s="151"/>
      <c r="AJ17" s="151"/>
      <c r="AK17" s="151"/>
      <c r="AL17" s="151"/>
      <c r="AM17" s="151"/>
      <c r="AN17" s="151"/>
      <c r="AO17" s="151"/>
      <c r="AP17" s="151"/>
      <c r="AQ17" s="151"/>
      <c r="AR17" s="151"/>
      <c r="AS17" s="151"/>
      <c r="AT17" s="151"/>
      <c r="AU17" s="151"/>
      <c r="AV17" s="151"/>
      <c r="AW17" s="151"/>
      <c r="AX17" s="79"/>
      <c r="AY17" s="80">
        <v>125</v>
      </c>
      <c r="AZ17" s="85">
        <f>'PF176'!U134</f>
        <v>0</v>
      </c>
    </row>
    <row r="18" spans="2:52" ht="15" customHeight="1" x14ac:dyDescent="0.55000000000000004">
      <c r="B18" s="81"/>
      <c r="C18" s="84">
        <f>'PF176'!U18</f>
        <v>0</v>
      </c>
      <c r="D18" s="78">
        <v>9</v>
      </c>
      <c r="E18" s="79"/>
      <c r="F18" s="151"/>
      <c r="G18" s="151"/>
      <c r="H18" s="151"/>
      <c r="I18" s="151"/>
      <c r="J18" s="151"/>
      <c r="K18" s="151"/>
      <c r="L18" s="151"/>
      <c r="M18" s="151"/>
      <c r="N18" s="151"/>
      <c r="O18" s="151"/>
      <c r="P18" s="151"/>
      <c r="Q18" s="151"/>
      <c r="R18" s="151"/>
      <c r="S18" s="151"/>
      <c r="T18" s="151"/>
      <c r="U18" s="151"/>
      <c r="V18" s="151"/>
      <c r="W18" s="151"/>
      <c r="X18" s="151"/>
      <c r="Y18" s="151"/>
      <c r="Z18" s="151"/>
      <c r="AA18" s="151"/>
      <c r="AB18" s="151"/>
      <c r="AC18" s="151"/>
      <c r="AD18" s="151"/>
      <c r="AE18" s="151"/>
      <c r="AF18" s="151"/>
      <c r="AG18" s="151"/>
      <c r="AH18" s="151"/>
      <c r="AI18" s="151"/>
      <c r="AJ18" s="151"/>
      <c r="AK18" s="151"/>
      <c r="AL18" s="151"/>
      <c r="AM18" s="151"/>
      <c r="AN18" s="151"/>
      <c r="AO18" s="151"/>
      <c r="AP18" s="151"/>
      <c r="AQ18" s="151"/>
      <c r="AR18" s="151"/>
      <c r="AS18" s="151"/>
      <c r="AT18" s="151"/>
      <c r="AU18" s="151"/>
      <c r="AV18" s="151"/>
      <c r="AW18" s="151"/>
      <c r="AX18" s="79"/>
      <c r="AY18" s="80">
        <v>124</v>
      </c>
      <c r="AZ18" s="85">
        <f>'PF176'!U133</f>
        <v>0</v>
      </c>
    </row>
    <row r="19" spans="2:52" ht="15" customHeight="1" x14ac:dyDescent="0.55000000000000004">
      <c r="B19" s="81"/>
      <c r="C19" s="84">
        <f>'PF176'!U19</f>
        <v>0</v>
      </c>
      <c r="D19" s="78">
        <v>10</v>
      </c>
      <c r="E19" s="79"/>
      <c r="F19" s="151"/>
      <c r="G19" s="151"/>
      <c r="H19" s="151"/>
      <c r="I19" s="151"/>
      <c r="J19" s="151"/>
      <c r="K19" s="151"/>
      <c r="L19" s="151"/>
      <c r="M19" s="151"/>
      <c r="N19" s="151"/>
      <c r="O19" s="151"/>
      <c r="P19" s="151"/>
      <c r="Q19" s="151"/>
      <c r="R19" s="151"/>
      <c r="S19" s="151"/>
      <c r="T19" s="151"/>
      <c r="U19" s="151"/>
      <c r="V19" s="151"/>
      <c r="W19" s="151"/>
      <c r="X19" s="151"/>
      <c r="Y19" s="151"/>
      <c r="Z19" s="151"/>
      <c r="AA19" s="151"/>
      <c r="AB19" s="151"/>
      <c r="AC19" s="151"/>
      <c r="AD19" s="151"/>
      <c r="AE19" s="151"/>
      <c r="AF19" s="151"/>
      <c r="AG19" s="151"/>
      <c r="AH19" s="151"/>
      <c r="AI19" s="151"/>
      <c r="AJ19" s="151"/>
      <c r="AK19" s="151"/>
      <c r="AL19" s="151"/>
      <c r="AM19" s="151"/>
      <c r="AN19" s="151"/>
      <c r="AO19" s="151"/>
      <c r="AP19" s="151"/>
      <c r="AQ19" s="151"/>
      <c r="AR19" s="151"/>
      <c r="AS19" s="151"/>
      <c r="AT19" s="151"/>
      <c r="AU19" s="151"/>
      <c r="AV19" s="151"/>
      <c r="AW19" s="151"/>
      <c r="AX19" s="79"/>
      <c r="AY19" s="80">
        <v>123</v>
      </c>
      <c r="AZ19" s="85">
        <f>'PF176'!U132</f>
        <v>0</v>
      </c>
    </row>
    <row r="20" spans="2:52" ht="15" customHeight="1" x14ac:dyDescent="0.55000000000000004">
      <c r="B20" s="81"/>
      <c r="C20" s="84">
        <f>'PF176'!U20</f>
        <v>0</v>
      </c>
      <c r="D20" s="78">
        <v>11</v>
      </c>
      <c r="E20" s="79"/>
      <c r="F20" s="151"/>
      <c r="G20" s="151"/>
      <c r="H20" s="151"/>
      <c r="I20" s="151"/>
      <c r="J20" s="151"/>
      <c r="K20" s="151"/>
      <c r="L20" s="151"/>
      <c r="M20" s="151"/>
      <c r="N20" s="151"/>
      <c r="O20" s="151"/>
      <c r="P20" s="151"/>
      <c r="Q20" s="151"/>
      <c r="R20" s="151"/>
      <c r="S20" s="151"/>
      <c r="T20" s="151"/>
      <c r="U20" s="151"/>
      <c r="V20" s="151"/>
      <c r="W20" s="151"/>
      <c r="X20" s="151"/>
      <c r="Y20" s="151"/>
      <c r="Z20" s="151"/>
      <c r="AA20" s="151"/>
      <c r="AB20" s="151"/>
      <c r="AC20" s="151"/>
      <c r="AD20" s="151"/>
      <c r="AE20" s="151"/>
      <c r="AF20" s="151"/>
      <c r="AG20" s="151"/>
      <c r="AH20" s="151"/>
      <c r="AI20" s="151"/>
      <c r="AJ20" s="151"/>
      <c r="AK20" s="151"/>
      <c r="AL20" s="151"/>
      <c r="AM20" s="151"/>
      <c r="AN20" s="151"/>
      <c r="AO20" s="151"/>
      <c r="AP20" s="151"/>
      <c r="AQ20" s="151"/>
      <c r="AR20" s="151"/>
      <c r="AS20" s="151"/>
      <c r="AT20" s="151"/>
      <c r="AU20" s="151"/>
      <c r="AV20" s="151"/>
      <c r="AW20" s="151"/>
      <c r="AX20" s="79"/>
      <c r="AY20" s="80">
        <v>122</v>
      </c>
      <c r="AZ20" s="85">
        <f>'PF176'!U131</f>
        <v>0</v>
      </c>
    </row>
    <row r="21" spans="2:52" ht="15" customHeight="1" x14ac:dyDescent="0.55000000000000004">
      <c r="B21" s="81"/>
      <c r="C21" s="84">
        <f>'PF176'!U21</f>
        <v>0</v>
      </c>
      <c r="D21" s="78">
        <v>12</v>
      </c>
      <c r="E21" s="79"/>
      <c r="F21" s="151"/>
      <c r="G21" s="151"/>
      <c r="H21" s="151"/>
      <c r="I21" s="151"/>
      <c r="J21" s="151"/>
      <c r="K21" s="151"/>
      <c r="L21" s="151"/>
      <c r="M21" s="151"/>
      <c r="N21" s="151"/>
      <c r="O21" s="151"/>
      <c r="P21" s="151"/>
      <c r="Q21" s="151"/>
      <c r="R21" s="151"/>
      <c r="S21" s="151"/>
      <c r="T21" s="151"/>
      <c r="U21" s="151"/>
      <c r="V21" s="151"/>
      <c r="W21" s="151"/>
      <c r="X21" s="151"/>
      <c r="Y21" s="151"/>
      <c r="Z21" s="151"/>
      <c r="AA21" s="151"/>
      <c r="AB21" s="151"/>
      <c r="AC21" s="151"/>
      <c r="AD21" s="151"/>
      <c r="AE21" s="151"/>
      <c r="AF21" s="151"/>
      <c r="AG21" s="151"/>
      <c r="AH21" s="151"/>
      <c r="AI21" s="151"/>
      <c r="AJ21" s="151"/>
      <c r="AK21" s="151"/>
      <c r="AL21" s="151"/>
      <c r="AM21" s="151"/>
      <c r="AN21" s="151"/>
      <c r="AO21" s="151"/>
      <c r="AP21" s="151"/>
      <c r="AQ21" s="151"/>
      <c r="AR21" s="151"/>
      <c r="AS21" s="151"/>
      <c r="AT21" s="151"/>
      <c r="AU21" s="151"/>
      <c r="AV21" s="151"/>
      <c r="AW21" s="151"/>
      <c r="AX21" s="79"/>
      <c r="AY21" s="80">
        <v>121</v>
      </c>
      <c r="AZ21" s="85">
        <f>'PF176'!U130</f>
        <v>0</v>
      </c>
    </row>
    <row r="22" spans="2:52" ht="15" customHeight="1" x14ac:dyDescent="0.55000000000000004">
      <c r="B22" s="81"/>
      <c r="C22" s="84">
        <f>'PF176'!U22</f>
        <v>0</v>
      </c>
      <c r="D22" s="78">
        <v>13</v>
      </c>
      <c r="E22" s="79"/>
      <c r="F22" s="151"/>
      <c r="G22" s="151"/>
      <c r="H22" s="151"/>
      <c r="I22" s="151"/>
      <c r="J22" s="151"/>
      <c r="K22" s="151"/>
      <c r="L22" s="151"/>
      <c r="M22" s="151"/>
      <c r="N22" s="151"/>
      <c r="O22" s="151"/>
      <c r="P22" s="151"/>
      <c r="Q22" s="151"/>
      <c r="R22" s="151"/>
      <c r="S22" s="151"/>
      <c r="T22" s="151"/>
      <c r="U22" s="151"/>
      <c r="V22" s="151"/>
      <c r="W22" s="151"/>
      <c r="X22" s="151"/>
      <c r="Y22" s="151"/>
      <c r="Z22" s="151"/>
      <c r="AA22" s="151"/>
      <c r="AB22" s="151"/>
      <c r="AC22" s="151"/>
      <c r="AD22" s="151"/>
      <c r="AE22" s="151"/>
      <c r="AF22" s="151"/>
      <c r="AG22" s="151"/>
      <c r="AH22" s="151"/>
      <c r="AI22" s="151"/>
      <c r="AJ22" s="151"/>
      <c r="AK22" s="151"/>
      <c r="AL22" s="151"/>
      <c r="AM22" s="151"/>
      <c r="AN22" s="151"/>
      <c r="AO22" s="151"/>
      <c r="AP22" s="151"/>
      <c r="AQ22" s="151"/>
      <c r="AR22" s="151"/>
      <c r="AS22" s="151"/>
      <c r="AT22" s="151"/>
      <c r="AU22" s="151"/>
      <c r="AV22" s="151"/>
      <c r="AW22" s="151"/>
      <c r="AX22" s="79"/>
      <c r="AY22" s="80">
        <v>120</v>
      </c>
      <c r="AZ22" s="85">
        <f>'PF176'!U129</f>
        <v>0</v>
      </c>
    </row>
    <row r="23" spans="2:52" ht="15" customHeight="1" x14ac:dyDescent="0.55000000000000004">
      <c r="B23" s="81"/>
      <c r="C23" s="84">
        <f>'PF176'!U23</f>
        <v>0</v>
      </c>
      <c r="D23" s="78">
        <v>14</v>
      </c>
      <c r="E23" s="79"/>
      <c r="F23" s="151"/>
      <c r="G23" s="151"/>
      <c r="H23" s="151"/>
      <c r="I23" s="151"/>
      <c r="J23" s="151"/>
      <c r="K23" s="151"/>
      <c r="L23" s="151"/>
      <c r="M23" s="151"/>
      <c r="N23" s="151"/>
      <c r="O23" s="151"/>
      <c r="P23" s="151"/>
      <c r="Q23" s="151"/>
      <c r="R23" s="151"/>
      <c r="S23" s="151"/>
      <c r="T23" s="151"/>
      <c r="U23" s="151"/>
      <c r="V23" s="151"/>
      <c r="W23" s="151"/>
      <c r="X23" s="151"/>
      <c r="Y23" s="151"/>
      <c r="Z23" s="151"/>
      <c r="AA23" s="151"/>
      <c r="AB23" s="151"/>
      <c r="AC23" s="151"/>
      <c r="AD23" s="151"/>
      <c r="AE23" s="151"/>
      <c r="AF23" s="151"/>
      <c r="AG23" s="151"/>
      <c r="AH23" s="151"/>
      <c r="AI23" s="151"/>
      <c r="AJ23" s="151"/>
      <c r="AK23" s="151"/>
      <c r="AL23" s="151"/>
      <c r="AM23" s="151"/>
      <c r="AN23" s="151"/>
      <c r="AO23" s="151"/>
      <c r="AP23" s="151"/>
      <c r="AQ23" s="151"/>
      <c r="AR23" s="151"/>
      <c r="AS23" s="151"/>
      <c r="AT23" s="151"/>
      <c r="AU23" s="151"/>
      <c r="AV23" s="151"/>
      <c r="AW23" s="151"/>
      <c r="AX23" s="79"/>
      <c r="AY23" s="80">
        <v>119</v>
      </c>
      <c r="AZ23" s="85">
        <f>'PF176'!U128</f>
        <v>0</v>
      </c>
    </row>
    <row r="24" spans="2:52" ht="15" customHeight="1" x14ac:dyDescent="0.55000000000000004">
      <c r="B24" s="81"/>
      <c r="C24" s="84">
        <f>'PF176'!U24</f>
        <v>0</v>
      </c>
      <c r="D24" s="78">
        <v>15</v>
      </c>
      <c r="E24" s="79"/>
      <c r="F24" s="151"/>
      <c r="G24" s="151"/>
      <c r="H24" s="151"/>
      <c r="I24" s="151"/>
      <c r="J24" s="151"/>
      <c r="K24" s="151"/>
      <c r="L24" s="151"/>
      <c r="M24" s="151"/>
      <c r="N24" s="151"/>
      <c r="O24" s="151"/>
      <c r="P24" s="151"/>
      <c r="Q24" s="151"/>
      <c r="R24" s="151"/>
      <c r="S24" s="151"/>
      <c r="T24" s="151"/>
      <c r="U24" s="151"/>
      <c r="V24" s="151"/>
      <c r="W24" s="151"/>
      <c r="X24" s="151"/>
      <c r="Y24" s="151"/>
      <c r="Z24" s="151"/>
      <c r="AA24" s="151"/>
      <c r="AB24" s="151"/>
      <c r="AC24" s="151"/>
      <c r="AD24" s="151"/>
      <c r="AE24" s="151"/>
      <c r="AF24" s="151"/>
      <c r="AG24" s="151"/>
      <c r="AH24" s="151"/>
      <c r="AI24" s="151"/>
      <c r="AJ24" s="151"/>
      <c r="AK24" s="151"/>
      <c r="AL24" s="151"/>
      <c r="AM24" s="151"/>
      <c r="AN24" s="151"/>
      <c r="AO24" s="151"/>
      <c r="AP24" s="151"/>
      <c r="AQ24" s="151"/>
      <c r="AR24" s="151"/>
      <c r="AS24" s="151"/>
      <c r="AT24" s="151"/>
      <c r="AU24" s="151"/>
      <c r="AV24" s="151"/>
      <c r="AW24" s="151"/>
      <c r="AX24" s="79"/>
      <c r="AY24" s="80">
        <v>118</v>
      </c>
      <c r="AZ24" s="85">
        <f>'PF176'!U127</f>
        <v>0</v>
      </c>
    </row>
    <row r="25" spans="2:52" ht="15" customHeight="1" x14ac:dyDescent="0.55000000000000004">
      <c r="B25" s="81"/>
      <c r="C25" s="84">
        <f>'PF176'!U25</f>
        <v>0</v>
      </c>
      <c r="D25" s="78">
        <v>16</v>
      </c>
      <c r="E25" s="79"/>
      <c r="F25" s="151"/>
      <c r="G25" s="151"/>
      <c r="H25" s="151"/>
      <c r="I25" s="151"/>
      <c r="J25" s="151"/>
      <c r="K25" s="151"/>
      <c r="L25" s="151"/>
      <c r="M25" s="151"/>
      <c r="N25" s="151"/>
      <c r="O25" s="151"/>
      <c r="P25" s="151"/>
      <c r="Q25" s="151"/>
      <c r="R25" s="151"/>
      <c r="S25" s="151"/>
      <c r="T25" s="151"/>
      <c r="U25" s="151"/>
      <c r="V25" s="151"/>
      <c r="W25" s="151"/>
      <c r="X25" s="151"/>
      <c r="Y25" s="151"/>
      <c r="Z25" s="151"/>
      <c r="AA25" s="151"/>
      <c r="AB25" s="151"/>
      <c r="AC25" s="151"/>
      <c r="AD25" s="151"/>
      <c r="AE25" s="151"/>
      <c r="AF25" s="151"/>
      <c r="AG25" s="151"/>
      <c r="AH25" s="151"/>
      <c r="AI25" s="151"/>
      <c r="AJ25" s="151"/>
      <c r="AK25" s="151"/>
      <c r="AL25" s="151"/>
      <c r="AM25" s="151"/>
      <c r="AN25" s="151"/>
      <c r="AO25" s="151"/>
      <c r="AP25" s="151"/>
      <c r="AQ25" s="151"/>
      <c r="AR25" s="151"/>
      <c r="AS25" s="151"/>
      <c r="AT25" s="151"/>
      <c r="AU25" s="151"/>
      <c r="AV25" s="151"/>
      <c r="AW25" s="151"/>
      <c r="AX25" s="79"/>
      <c r="AY25" s="80">
        <v>117</v>
      </c>
      <c r="AZ25" s="85">
        <f>'PF176'!U126</f>
        <v>0</v>
      </c>
    </row>
    <row r="26" spans="2:52" ht="15" customHeight="1" x14ac:dyDescent="0.55000000000000004">
      <c r="B26" s="81"/>
      <c r="C26" s="84">
        <f>'PF176'!U26</f>
        <v>0</v>
      </c>
      <c r="D26" s="78">
        <v>17</v>
      </c>
      <c r="E26" s="79"/>
      <c r="F26" s="151"/>
      <c r="G26" s="151"/>
      <c r="H26" s="151"/>
      <c r="I26" s="151"/>
      <c r="J26" s="151"/>
      <c r="K26" s="151"/>
      <c r="L26" s="151"/>
      <c r="M26" s="151"/>
      <c r="N26" s="151"/>
      <c r="O26" s="151"/>
      <c r="P26" s="151"/>
      <c r="Q26" s="151"/>
      <c r="R26" s="151"/>
      <c r="S26" s="151"/>
      <c r="T26" s="151"/>
      <c r="U26" s="151"/>
      <c r="V26" s="151"/>
      <c r="W26" s="151"/>
      <c r="X26" s="151"/>
      <c r="Y26" s="151"/>
      <c r="Z26" s="151"/>
      <c r="AA26" s="151"/>
      <c r="AB26" s="151"/>
      <c r="AC26" s="151"/>
      <c r="AD26" s="151"/>
      <c r="AE26" s="151"/>
      <c r="AF26" s="151"/>
      <c r="AG26" s="151"/>
      <c r="AH26" s="151"/>
      <c r="AI26" s="151"/>
      <c r="AJ26" s="151"/>
      <c r="AK26" s="151"/>
      <c r="AL26" s="151"/>
      <c r="AM26" s="151"/>
      <c r="AN26" s="151"/>
      <c r="AO26" s="151"/>
      <c r="AP26" s="151"/>
      <c r="AQ26" s="151"/>
      <c r="AR26" s="151"/>
      <c r="AS26" s="151"/>
      <c r="AT26" s="151"/>
      <c r="AU26" s="151"/>
      <c r="AV26" s="151"/>
      <c r="AW26" s="151"/>
      <c r="AX26" s="79"/>
      <c r="AY26" s="80">
        <v>116</v>
      </c>
      <c r="AZ26" s="85">
        <f>'PF176'!U125</f>
        <v>0</v>
      </c>
    </row>
    <row r="27" spans="2:52" ht="15" customHeight="1" x14ac:dyDescent="0.55000000000000004">
      <c r="B27" s="81"/>
      <c r="C27" s="84">
        <f>'PF176'!U27</f>
        <v>0</v>
      </c>
      <c r="D27" s="78">
        <v>18</v>
      </c>
      <c r="E27" s="79"/>
      <c r="F27" s="151"/>
      <c r="G27" s="151"/>
      <c r="H27" s="151"/>
      <c r="I27" s="151"/>
      <c r="J27" s="151"/>
      <c r="K27" s="151"/>
      <c r="L27" s="151"/>
      <c r="M27" s="151"/>
      <c r="N27" s="151"/>
      <c r="O27" s="151"/>
      <c r="P27" s="151"/>
      <c r="Q27" s="151"/>
      <c r="R27" s="151"/>
      <c r="S27" s="151"/>
      <c r="T27" s="151"/>
      <c r="U27" s="151"/>
      <c r="V27" s="151"/>
      <c r="W27" s="151"/>
      <c r="X27" s="151"/>
      <c r="Y27" s="151"/>
      <c r="Z27" s="151"/>
      <c r="AA27" s="151"/>
      <c r="AB27" s="151"/>
      <c r="AC27" s="151"/>
      <c r="AD27" s="151"/>
      <c r="AE27" s="151"/>
      <c r="AF27" s="151"/>
      <c r="AG27" s="151"/>
      <c r="AH27" s="151"/>
      <c r="AI27" s="151"/>
      <c r="AJ27" s="151"/>
      <c r="AK27" s="151"/>
      <c r="AL27" s="151"/>
      <c r="AM27" s="151"/>
      <c r="AN27" s="151"/>
      <c r="AO27" s="151"/>
      <c r="AP27" s="151"/>
      <c r="AQ27" s="151"/>
      <c r="AR27" s="151"/>
      <c r="AS27" s="151"/>
      <c r="AT27" s="151"/>
      <c r="AU27" s="151"/>
      <c r="AV27" s="151"/>
      <c r="AW27" s="151"/>
      <c r="AX27" s="79"/>
      <c r="AY27" s="80">
        <v>115</v>
      </c>
      <c r="AZ27" s="85">
        <f>'PF176'!U124</f>
        <v>0</v>
      </c>
    </row>
    <row r="28" spans="2:52" ht="15" customHeight="1" x14ac:dyDescent="0.55000000000000004">
      <c r="B28" s="81"/>
      <c r="C28" s="84">
        <f>'PF176'!U28</f>
        <v>0</v>
      </c>
      <c r="D28" s="78">
        <v>19</v>
      </c>
      <c r="E28" s="79"/>
      <c r="F28" s="151"/>
      <c r="G28" s="151"/>
      <c r="H28" s="151"/>
      <c r="I28" s="151"/>
      <c r="J28" s="151"/>
      <c r="K28" s="151"/>
      <c r="L28" s="151"/>
      <c r="M28" s="151"/>
      <c r="N28" s="151"/>
      <c r="O28" s="151"/>
      <c r="P28" s="151"/>
      <c r="Q28" s="151"/>
      <c r="R28" s="151"/>
      <c r="S28" s="151"/>
      <c r="T28" s="151"/>
      <c r="U28" s="151"/>
      <c r="V28" s="151"/>
      <c r="W28" s="151"/>
      <c r="X28" s="151"/>
      <c r="Y28" s="151"/>
      <c r="Z28" s="151"/>
      <c r="AA28" s="151"/>
      <c r="AB28" s="151"/>
      <c r="AC28" s="151"/>
      <c r="AD28" s="151"/>
      <c r="AE28" s="151"/>
      <c r="AF28" s="151"/>
      <c r="AG28" s="151"/>
      <c r="AH28" s="151"/>
      <c r="AI28" s="151"/>
      <c r="AJ28" s="151"/>
      <c r="AK28" s="151"/>
      <c r="AL28" s="151"/>
      <c r="AM28" s="151"/>
      <c r="AN28" s="151"/>
      <c r="AO28" s="151"/>
      <c r="AP28" s="151"/>
      <c r="AQ28" s="151"/>
      <c r="AR28" s="151"/>
      <c r="AS28" s="151"/>
      <c r="AT28" s="151"/>
      <c r="AU28" s="151"/>
      <c r="AV28" s="151"/>
      <c r="AW28" s="151"/>
      <c r="AX28" s="79"/>
      <c r="AY28" s="80">
        <v>114</v>
      </c>
      <c r="AZ28" s="85">
        <f>'PF176'!U123</f>
        <v>0</v>
      </c>
    </row>
    <row r="29" spans="2:52" ht="15" customHeight="1" x14ac:dyDescent="0.55000000000000004">
      <c r="B29" s="81"/>
      <c r="C29" s="84">
        <f>'PF176'!U29</f>
        <v>0</v>
      </c>
      <c r="D29" s="78">
        <v>20</v>
      </c>
      <c r="E29" s="79"/>
      <c r="F29" s="151"/>
      <c r="G29" s="151"/>
      <c r="H29" s="151"/>
      <c r="I29" s="151"/>
      <c r="J29" s="151"/>
      <c r="K29" s="151"/>
      <c r="L29" s="151"/>
      <c r="M29" s="151"/>
      <c r="N29" s="151"/>
      <c r="O29" s="151"/>
      <c r="P29" s="151"/>
      <c r="Q29" s="151"/>
      <c r="R29" s="151"/>
      <c r="S29" s="151"/>
      <c r="T29" s="151"/>
      <c r="U29" s="151"/>
      <c r="V29" s="151"/>
      <c r="W29" s="151"/>
      <c r="X29" s="151"/>
      <c r="Y29" s="151"/>
      <c r="Z29" s="151"/>
      <c r="AA29" s="151"/>
      <c r="AB29" s="151"/>
      <c r="AC29" s="151"/>
      <c r="AD29" s="151"/>
      <c r="AE29" s="151"/>
      <c r="AF29" s="151"/>
      <c r="AG29" s="151"/>
      <c r="AH29" s="151"/>
      <c r="AI29" s="151"/>
      <c r="AJ29" s="151"/>
      <c r="AK29" s="151"/>
      <c r="AL29" s="151"/>
      <c r="AM29" s="151"/>
      <c r="AN29" s="151"/>
      <c r="AO29" s="151"/>
      <c r="AP29" s="151"/>
      <c r="AQ29" s="151"/>
      <c r="AR29" s="151"/>
      <c r="AS29" s="151"/>
      <c r="AT29" s="151"/>
      <c r="AU29" s="151"/>
      <c r="AV29" s="151"/>
      <c r="AW29" s="151"/>
      <c r="AX29" s="79"/>
      <c r="AY29" s="80">
        <v>113</v>
      </c>
      <c r="AZ29" s="85">
        <f>'PF176'!U122</f>
        <v>0</v>
      </c>
    </row>
    <row r="30" spans="2:52" ht="15" customHeight="1" x14ac:dyDescent="0.55000000000000004">
      <c r="B30" s="81"/>
      <c r="C30" s="84">
        <f>'PF176'!U30</f>
        <v>0</v>
      </c>
      <c r="D30" s="78">
        <v>21</v>
      </c>
      <c r="E30" s="79"/>
      <c r="F30" s="151"/>
      <c r="G30" s="151"/>
      <c r="H30" s="151"/>
      <c r="I30" s="151"/>
      <c r="J30" s="151"/>
      <c r="K30" s="151"/>
      <c r="L30" s="151"/>
      <c r="M30" s="151"/>
      <c r="N30" s="151"/>
      <c r="O30" s="151"/>
      <c r="P30" s="151"/>
      <c r="Q30" s="151"/>
      <c r="R30" s="151"/>
      <c r="S30" s="151"/>
      <c r="T30" s="151"/>
      <c r="U30" s="151"/>
      <c r="V30" s="151"/>
      <c r="W30" s="151"/>
      <c r="X30" s="151"/>
      <c r="Y30" s="151"/>
      <c r="Z30" s="151"/>
      <c r="AA30" s="151"/>
      <c r="AB30" s="151"/>
      <c r="AC30" s="151"/>
      <c r="AD30" s="151"/>
      <c r="AE30" s="151"/>
      <c r="AF30" s="151"/>
      <c r="AG30" s="151"/>
      <c r="AH30" s="151"/>
      <c r="AI30" s="151"/>
      <c r="AJ30" s="151"/>
      <c r="AK30" s="151"/>
      <c r="AL30" s="151"/>
      <c r="AM30" s="151"/>
      <c r="AN30" s="151"/>
      <c r="AO30" s="151"/>
      <c r="AP30" s="151"/>
      <c r="AQ30" s="151"/>
      <c r="AR30" s="151"/>
      <c r="AS30" s="151"/>
      <c r="AT30" s="151"/>
      <c r="AU30" s="151"/>
      <c r="AV30" s="151"/>
      <c r="AW30" s="151"/>
      <c r="AX30" s="79"/>
      <c r="AY30" s="80">
        <v>112</v>
      </c>
      <c r="AZ30" s="85">
        <f>'PF176'!U121</f>
        <v>0</v>
      </c>
    </row>
    <row r="31" spans="2:52" ht="15" customHeight="1" x14ac:dyDescent="0.55000000000000004">
      <c r="B31" s="81"/>
      <c r="C31" s="86">
        <f>'PF176'!U31</f>
        <v>0</v>
      </c>
      <c r="D31" s="78">
        <v>22</v>
      </c>
      <c r="E31" s="79"/>
      <c r="F31" s="151"/>
      <c r="G31" s="151"/>
      <c r="H31" s="151"/>
      <c r="I31" s="151"/>
      <c r="J31" s="151"/>
      <c r="K31" s="151"/>
      <c r="L31" s="151"/>
      <c r="M31" s="151"/>
      <c r="N31" s="151"/>
      <c r="O31" s="151"/>
      <c r="P31" s="151"/>
      <c r="Q31" s="151"/>
      <c r="R31" s="151"/>
      <c r="S31" s="151"/>
      <c r="T31" s="151"/>
      <c r="U31" s="151"/>
      <c r="V31" s="151"/>
      <c r="W31" s="151"/>
      <c r="X31" s="151"/>
      <c r="Y31" s="151"/>
      <c r="Z31" s="151"/>
      <c r="AA31" s="151"/>
      <c r="AB31" s="151"/>
      <c r="AC31" s="151"/>
      <c r="AD31" s="151"/>
      <c r="AE31" s="151"/>
      <c r="AF31" s="151"/>
      <c r="AG31" s="151"/>
      <c r="AH31" s="151"/>
      <c r="AI31" s="151"/>
      <c r="AJ31" s="151"/>
      <c r="AK31" s="151"/>
      <c r="AL31" s="151"/>
      <c r="AM31" s="151"/>
      <c r="AN31" s="151"/>
      <c r="AO31" s="151"/>
      <c r="AP31" s="151"/>
      <c r="AQ31" s="151"/>
      <c r="AR31" s="151"/>
      <c r="AS31" s="151"/>
      <c r="AT31" s="151"/>
      <c r="AU31" s="151"/>
      <c r="AV31" s="151"/>
      <c r="AW31" s="151"/>
      <c r="AX31" s="79"/>
      <c r="AY31" s="80">
        <v>111</v>
      </c>
      <c r="AZ31" s="87" t="str">
        <f>'PF176'!U120</f>
        <v>VSSD</v>
      </c>
    </row>
    <row r="32" spans="2:52" ht="15" customHeight="1" x14ac:dyDescent="0.55000000000000004">
      <c r="B32" s="81"/>
      <c r="C32" s="82">
        <f>'PF176'!U32</f>
        <v>0</v>
      </c>
      <c r="D32" s="78">
        <v>23</v>
      </c>
      <c r="E32" s="79"/>
      <c r="F32" s="151"/>
      <c r="G32" s="151"/>
      <c r="H32" s="151"/>
      <c r="I32" s="151"/>
      <c r="J32" s="151"/>
      <c r="K32" s="151"/>
      <c r="L32" s="151"/>
      <c r="M32" s="151"/>
      <c r="N32" s="151"/>
      <c r="O32" s="151"/>
      <c r="P32" s="151"/>
      <c r="Q32" s="151"/>
      <c r="R32" s="151"/>
      <c r="S32" s="151"/>
      <c r="T32" s="151"/>
      <c r="U32" s="151"/>
      <c r="V32" s="151"/>
      <c r="W32" s="151"/>
      <c r="X32" s="151"/>
      <c r="Y32" s="151"/>
      <c r="Z32" s="151"/>
      <c r="AA32" s="151"/>
      <c r="AB32" s="151"/>
      <c r="AC32" s="151"/>
      <c r="AD32" s="151"/>
      <c r="AE32" s="151"/>
      <c r="AF32" s="151"/>
      <c r="AG32" s="151"/>
      <c r="AH32" s="151"/>
      <c r="AI32" s="151"/>
      <c r="AJ32" s="151"/>
      <c r="AK32" s="151"/>
      <c r="AL32" s="151"/>
      <c r="AM32" s="151"/>
      <c r="AN32" s="151"/>
      <c r="AO32" s="151"/>
      <c r="AP32" s="151"/>
      <c r="AQ32" s="151"/>
      <c r="AR32" s="151"/>
      <c r="AS32" s="151"/>
      <c r="AT32" s="151"/>
      <c r="AU32" s="151"/>
      <c r="AV32" s="151"/>
      <c r="AW32" s="151"/>
      <c r="AX32" s="79"/>
      <c r="AY32" s="80">
        <v>110</v>
      </c>
      <c r="AZ32" s="83" t="str">
        <f>'PF176'!U119</f>
        <v>VDDD</v>
      </c>
    </row>
    <row r="33" spans="2:52" ht="15" customHeight="1" x14ac:dyDescent="0.55000000000000004">
      <c r="B33" s="81"/>
      <c r="C33" s="84">
        <f>'PF176'!U33</f>
        <v>0</v>
      </c>
      <c r="D33" s="78">
        <v>24</v>
      </c>
      <c r="E33" s="79"/>
      <c r="F33" s="151"/>
      <c r="G33" s="151"/>
      <c r="H33" s="151"/>
      <c r="I33" s="151"/>
      <c r="J33" s="151"/>
      <c r="K33" s="151"/>
      <c r="L33" s="151"/>
      <c r="M33" s="151"/>
      <c r="N33" s="151"/>
      <c r="O33" s="151"/>
      <c r="P33" s="151"/>
      <c r="Q33" s="151"/>
      <c r="R33" s="151"/>
      <c r="S33" s="151"/>
      <c r="T33" s="151"/>
      <c r="U33" s="151"/>
      <c r="V33" s="151"/>
      <c r="W33" s="151"/>
      <c r="X33" s="151"/>
      <c r="Y33" s="151"/>
      <c r="Z33" s="151"/>
      <c r="AA33" s="151"/>
      <c r="AB33" s="151"/>
      <c r="AC33" s="151"/>
      <c r="AD33" s="151"/>
      <c r="AE33" s="151"/>
      <c r="AF33" s="151"/>
      <c r="AG33" s="151"/>
      <c r="AH33" s="151"/>
      <c r="AI33" s="151"/>
      <c r="AJ33" s="151"/>
      <c r="AK33" s="151"/>
      <c r="AL33" s="151"/>
      <c r="AM33" s="151"/>
      <c r="AN33" s="151"/>
      <c r="AO33" s="151"/>
      <c r="AP33" s="151"/>
      <c r="AQ33" s="151"/>
      <c r="AR33" s="151"/>
      <c r="AS33" s="151"/>
      <c r="AT33" s="151"/>
      <c r="AU33" s="151"/>
      <c r="AV33" s="151"/>
      <c r="AW33" s="151"/>
      <c r="AX33" s="79"/>
      <c r="AY33" s="80">
        <v>109</v>
      </c>
      <c r="AZ33" s="85">
        <f>'PF176'!U118</f>
        <v>0</v>
      </c>
    </row>
    <row r="34" spans="2:52" ht="15" customHeight="1" x14ac:dyDescent="0.55000000000000004">
      <c r="B34" s="81"/>
      <c r="C34" s="84">
        <f>'PF176'!U34</f>
        <v>0</v>
      </c>
      <c r="D34" s="78">
        <v>25</v>
      </c>
      <c r="E34" s="79"/>
      <c r="F34" s="151"/>
      <c r="G34" s="151"/>
      <c r="H34" s="151"/>
      <c r="I34" s="151"/>
      <c r="J34" s="151"/>
      <c r="K34" s="151"/>
      <c r="L34" s="151"/>
      <c r="M34" s="151"/>
      <c r="N34" s="151"/>
      <c r="O34" s="151"/>
      <c r="P34" s="151"/>
      <c r="Q34" s="151"/>
      <c r="R34" s="151"/>
      <c r="S34" s="151"/>
      <c r="T34" s="151"/>
      <c r="U34" s="151"/>
      <c r="V34" s="151"/>
      <c r="W34" s="151"/>
      <c r="X34" s="151"/>
      <c r="Y34" s="151"/>
      <c r="Z34" s="151"/>
      <c r="AA34" s="151"/>
      <c r="AB34" s="151"/>
      <c r="AC34" s="151"/>
      <c r="AD34" s="151"/>
      <c r="AE34" s="151"/>
      <c r="AF34" s="151"/>
      <c r="AG34" s="151"/>
      <c r="AH34" s="151"/>
      <c r="AI34" s="151"/>
      <c r="AJ34" s="151"/>
      <c r="AK34" s="151"/>
      <c r="AL34" s="151"/>
      <c r="AM34" s="151"/>
      <c r="AN34" s="151"/>
      <c r="AO34" s="151"/>
      <c r="AP34" s="151"/>
      <c r="AQ34" s="151"/>
      <c r="AR34" s="151"/>
      <c r="AS34" s="151"/>
      <c r="AT34" s="151"/>
      <c r="AU34" s="151"/>
      <c r="AV34" s="151"/>
      <c r="AW34" s="151"/>
      <c r="AX34" s="79"/>
      <c r="AY34" s="80">
        <v>108</v>
      </c>
      <c r="AZ34" s="85">
        <f>'PF176'!U117</f>
        <v>0</v>
      </c>
    </row>
    <row r="35" spans="2:52" ht="15" customHeight="1" x14ac:dyDescent="0.55000000000000004">
      <c r="B35" s="81"/>
      <c r="C35" s="84">
        <f>'PF176'!U35</f>
        <v>0</v>
      </c>
      <c r="D35" s="78">
        <v>26</v>
      </c>
      <c r="E35" s="79"/>
      <c r="F35" s="151"/>
      <c r="G35" s="151"/>
      <c r="H35" s="151"/>
      <c r="I35" s="151"/>
      <c r="J35" s="151"/>
      <c r="K35" s="151"/>
      <c r="L35" s="151"/>
      <c r="M35" s="151"/>
      <c r="N35" s="151"/>
      <c r="O35" s="151"/>
      <c r="P35" s="151"/>
      <c r="Q35" s="151"/>
      <c r="R35" s="151"/>
      <c r="S35" s="151"/>
      <c r="T35" s="151"/>
      <c r="U35" s="151"/>
      <c r="V35" s="151"/>
      <c r="W35" s="151"/>
      <c r="X35" s="151"/>
      <c r="Y35" s="151"/>
      <c r="Z35" s="151"/>
      <c r="AA35" s="151"/>
      <c r="AB35" s="151"/>
      <c r="AC35" s="151"/>
      <c r="AD35" s="151"/>
      <c r="AE35" s="151"/>
      <c r="AF35" s="151"/>
      <c r="AG35" s="151"/>
      <c r="AH35" s="151"/>
      <c r="AI35" s="151"/>
      <c r="AJ35" s="151"/>
      <c r="AK35" s="151"/>
      <c r="AL35" s="151"/>
      <c r="AM35" s="151"/>
      <c r="AN35" s="151"/>
      <c r="AO35" s="151"/>
      <c r="AP35" s="151"/>
      <c r="AQ35" s="151"/>
      <c r="AR35" s="151"/>
      <c r="AS35" s="151"/>
      <c r="AT35" s="151"/>
      <c r="AU35" s="151"/>
      <c r="AV35" s="151"/>
      <c r="AW35" s="151"/>
      <c r="AX35" s="79"/>
      <c r="AY35" s="80">
        <v>107</v>
      </c>
      <c r="AZ35" s="85">
        <f>'PF176'!U116</f>
        <v>0</v>
      </c>
    </row>
    <row r="36" spans="2:52" ht="15" customHeight="1" x14ac:dyDescent="0.55000000000000004">
      <c r="B36" s="81"/>
      <c r="C36" s="84">
        <f>'PF176'!U36</f>
        <v>0</v>
      </c>
      <c r="D36" s="78">
        <v>27</v>
      </c>
      <c r="E36" s="79"/>
      <c r="F36" s="151"/>
      <c r="G36" s="151"/>
      <c r="H36" s="151"/>
      <c r="I36" s="151"/>
      <c r="J36" s="151"/>
      <c r="K36" s="151"/>
      <c r="L36" s="151"/>
      <c r="M36" s="151"/>
      <c r="N36" s="151"/>
      <c r="O36" s="151"/>
      <c r="P36" s="151"/>
      <c r="Q36" s="151"/>
      <c r="R36" s="151"/>
      <c r="S36" s="151"/>
      <c r="T36" s="151"/>
      <c r="U36" s="151"/>
      <c r="V36" s="151"/>
      <c r="W36" s="151"/>
      <c r="X36" s="151"/>
      <c r="Y36" s="151"/>
      <c r="Z36" s="151"/>
      <c r="AA36" s="151"/>
      <c r="AB36" s="151"/>
      <c r="AC36" s="151"/>
      <c r="AD36" s="151"/>
      <c r="AE36" s="151"/>
      <c r="AF36" s="151"/>
      <c r="AG36" s="151"/>
      <c r="AH36" s="151"/>
      <c r="AI36" s="151"/>
      <c r="AJ36" s="151"/>
      <c r="AK36" s="151"/>
      <c r="AL36" s="151"/>
      <c r="AM36" s="151"/>
      <c r="AN36" s="151"/>
      <c r="AO36" s="151"/>
      <c r="AP36" s="151"/>
      <c r="AQ36" s="151"/>
      <c r="AR36" s="151"/>
      <c r="AS36" s="151"/>
      <c r="AT36" s="151"/>
      <c r="AU36" s="151"/>
      <c r="AV36" s="151"/>
      <c r="AW36" s="151"/>
      <c r="AX36" s="79"/>
      <c r="AY36" s="80">
        <v>106</v>
      </c>
      <c r="AZ36" s="85">
        <f>'PF176'!U115</f>
        <v>0</v>
      </c>
    </row>
    <row r="37" spans="2:52" ht="15" customHeight="1" x14ac:dyDescent="0.55000000000000004">
      <c r="B37" s="81"/>
      <c r="C37" s="84">
        <f>'PF176'!U37</f>
        <v>0</v>
      </c>
      <c r="D37" s="78">
        <v>28</v>
      </c>
      <c r="E37" s="79"/>
      <c r="F37" s="151"/>
      <c r="G37" s="151"/>
      <c r="H37" s="151"/>
      <c r="I37" s="151"/>
      <c r="J37" s="151"/>
      <c r="K37" s="151"/>
      <c r="L37" s="151"/>
      <c r="M37" s="151"/>
      <c r="N37" s="151"/>
      <c r="O37" s="151"/>
      <c r="P37" s="151"/>
      <c r="Q37" s="151"/>
      <c r="R37" s="151"/>
      <c r="S37" s="151"/>
      <c r="T37" s="151"/>
      <c r="U37" s="151"/>
      <c r="V37" s="151"/>
      <c r="W37" s="151"/>
      <c r="X37" s="151"/>
      <c r="Y37" s="151"/>
      <c r="Z37" s="151"/>
      <c r="AA37" s="151"/>
      <c r="AB37" s="151"/>
      <c r="AC37" s="151"/>
      <c r="AD37" s="151"/>
      <c r="AE37" s="151"/>
      <c r="AF37" s="151"/>
      <c r="AG37" s="151"/>
      <c r="AH37" s="151"/>
      <c r="AI37" s="151"/>
      <c r="AJ37" s="151"/>
      <c r="AK37" s="151"/>
      <c r="AL37" s="151"/>
      <c r="AM37" s="151"/>
      <c r="AN37" s="151"/>
      <c r="AO37" s="151"/>
      <c r="AP37" s="151"/>
      <c r="AQ37" s="151"/>
      <c r="AR37" s="151"/>
      <c r="AS37" s="151"/>
      <c r="AT37" s="151"/>
      <c r="AU37" s="151"/>
      <c r="AV37" s="151"/>
      <c r="AW37" s="151"/>
      <c r="AX37" s="79"/>
      <c r="AY37" s="80">
        <v>105</v>
      </c>
      <c r="AZ37" s="85">
        <f>'PF176'!U114</f>
        <v>0</v>
      </c>
    </row>
    <row r="38" spans="2:52" ht="15" customHeight="1" x14ac:dyDescent="0.55000000000000004">
      <c r="B38" s="81"/>
      <c r="C38" s="84">
        <f>'PF176'!U38</f>
        <v>0</v>
      </c>
      <c r="D38" s="78">
        <v>29</v>
      </c>
      <c r="E38" s="79"/>
      <c r="F38" s="151"/>
      <c r="G38" s="151"/>
      <c r="H38" s="151"/>
      <c r="I38" s="151"/>
      <c r="J38" s="151"/>
      <c r="K38" s="151"/>
      <c r="L38" s="151"/>
      <c r="M38" s="151"/>
      <c r="N38" s="151"/>
      <c r="O38" s="151"/>
      <c r="P38" s="151"/>
      <c r="Q38" s="151"/>
      <c r="R38" s="151"/>
      <c r="S38" s="151"/>
      <c r="T38" s="151"/>
      <c r="U38" s="151"/>
      <c r="V38" s="151"/>
      <c r="W38" s="151"/>
      <c r="X38" s="151"/>
      <c r="Y38" s="151"/>
      <c r="Z38" s="151"/>
      <c r="AA38" s="151"/>
      <c r="AB38" s="151"/>
      <c r="AC38" s="151"/>
      <c r="AD38" s="151"/>
      <c r="AE38" s="151"/>
      <c r="AF38" s="151"/>
      <c r="AG38" s="151"/>
      <c r="AH38" s="151"/>
      <c r="AI38" s="151"/>
      <c r="AJ38" s="151"/>
      <c r="AK38" s="151"/>
      <c r="AL38" s="151"/>
      <c r="AM38" s="151"/>
      <c r="AN38" s="151"/>
      <c r="AO38" s="151"/>
      <c r="AP38" s="151"/>
      <c r="AQ38" s="151"/>
      <c r="AR38" s="151"/>
      <c r="AS38" s="151"/>
      <c r="AT38" s="151"/>
      <c r="AU38" s="151"/>
      <c r="AV38" s="151"/>
      <c r="AW38" s="151"/>
      <c r="AX38" s="79"/>
      <c r="AY38" s="80">
        <v>104</v>
      </c>
      <c r="AZ38" s="85">
        <f>'PF176'!U113</f>
        <v>0</v>
      </c>
    </row>
    <row r="39" spans="2:52" ht="15" customHeight="1" x14ac:dyDescent="0.55000000000000004">
      <c r="B39" s="81"/>
      <c r="C39" s="84">
        <f>'PF176'!U39</f>
        <v>0</v>
      </c>
      <c r="D39" s="78">
        <v>30</v>
      </c>
      <c r="E39" s="79"/>
      <c r="F39" s="151"/>
      <c r="G39" s="151"/>
      <c r="H39" s="151"/>
      <c r="I39" s="151"/>
      <c r="J39" s="151"/>
      <c r="K39" s="151"/>
      <c r="L39" s="151"/>
      <c r="M39" s="151"/>
      <c r="N39" s="151"/>
      <c r="O39" s="151"/>
      <c r="P39" s="151"/>
      <c r="Q39" s="151"/>
      <c r="R39" s="151"/>
      <c r="S39" s="151"/>
      <c r="T39" s="151"/>
      <c r="U39" s="151"/>
      <c r="V39" s="151"/>
      <c r="W39" s="151"/>
      <c r="X39" s="151"/>
      <c r="Y39" s="151"/>
      <c r="Z39" s="151"/>
      <c r="AA39" s="151"/>
      <c r="AB39" s="151"/>
      <c r="AC39" s="151"/>
      <c r="AD39" s="151"/>
      <c r="AE39" s="151"/>
      <c r="AF39" s="151"/>
      <c r="AG39" s="151"/>
      <c r="AH39" s="151"/>
      <c r="AI39" s="151"/>
      <c r="AJ39" s="151"/>
      <c r="AK39" s="151"/>
      <c r="AL39" s="151"/>
      <c r="AM39" s="151"/>
      <c r="AN39" s="151"/>
      <c r="AO39" s="151"/>
      <c r="AP39" s="151"/>
      <c r="AQ39" s="151"/>
      <c r="AR39" s="151"/>
      <c r="AS39" s="151"/>
      <c r="AT39" s="151"/>
      <c r="AU39" s="151"/>
      <c r="AV39" s="151"/>
      <c r="AW39" s="151"/>
      <c r="AX39" s="79"/>
      <c r="AY39" s="80">
        <v>103</v>
      </c>
      <c r="AZ39" s="85">
        <f>'PF176'!U112</f>
        <v>0</v>
      </c>
    </row>
    <row r="40" spans="2:52" ht="15" customHeight="1" x14ac:dyDescent="0.55000000000000004">
      <c r="B40" s="81"/>
      <c r="C40" s="84">
        <f>'PF176'!U40</f>
        <v>0</v>
      </c>
      <c r="D40" s="78">
        <v>31</v>
      </c>
      <c r="E40" s="79"/>
      <c r="F40" s="151"/>
      <c r="G40" s="151"/>
      <c r="H40" s="151"/>
      <c r="I40" s="151"/>
      <c r="J40" s="151"/>
      <c r="K40" s="151"/>
      <c r="L40" s="151"/>
      <c r="M40" s="151"/>
      <c r="N40" s="151"/>
      <c r="O40" s="151"/>
      <c r="P40" s="151"/>
      <c r="Q40" s="151"/>
      <c r="R40" s="151"/>
      <c r="S40" s="151"/>
      <c r="T40" s="151"/>
      <c r="U40" s="151"/>
      <c r="V40" s="151"/>
      <c r="W40" s="151"/>
      <c r="X40" s="151"/>
      <c r="Y40" s="151"/>
      <c r="Z40" s="151"/>
      <c r="AA40" s="151"/>
      <c r="AB40" s="151"/>
      <c r="AC40" s="151"/>
      <c r="AD40" s="151"/>
      <c r="AE40" s="151"/>
      <c r="AF40" s="151"/>
      <c r="AG40" s="151"/>
      <c r="AH40" s="151"/>
      <c r="AI40" s="151"/>
      <c r="AJ40" s="151"/>
      <c r="AK40" s="151"/>
      <c r="AL40" s="151"/>
      <c r="AM40" s="151"/>
      <c r="AN40" s="151"/>
      <c r="AO40" s="151"/>
      <c r="AP40" s="151"/>
      <c r="AQ40" s="151"/>
      <c r="AR40" s="151"/>
      <c r="AS40" s="151"/>
      <c r="AT40" s="151"/>
      <c r="AU40" s="151"/>
      <c r="AV40" s="151"/>
      <c r="AW40" s="151"/>
      <c r="AX40" s="79"/>
      <c r="AY40" s="80">
        <v>102</v>
      </c>
      <c r="AZ40" s="85">
        <f>'PF176'!U111</f>
        <v>0</v>
      </c>
    </row>
    <row r="41" spans="2:52" ht="15" customHeight="1" x14ac:dyDescent="0.55000000000000004">
      <c r="B41" s="81"/>
      <c r="C41" s="84">
        <f>'PF176'!U41</f>
        <v>0</v>
      </c>
      <c r="D41" s="78">
        <v>32</v>
      </c>
      <c r="E41" s="79"/>
      <c r="F41" s="151"/>
      <c r="G41" s="151"/>
      <c r="H41" s="151"/>
      <c r="I41" s="151"/>
      <c r="J41" s="151"/>
      <c r="K41" s="151"/>
      <c r="L41" s="151"/>
      <c r="M41" s="151"/>
      <c r="N41" s="151"/>
      <c r="O41" s="151"/>
      <c r="P41" s="151"/>
      <c r="Q41" s="151"/>
      <c r="R41" s="151"/>
      <c r="S41" s="151"/>
      <c r="T41" s="151"/>
      <c r="U41" s="151"/>
      <c r="V41" s="151"/>
      <c r="W41" s="151"/>
      <c r="X41" s="151"/>
      <c r="Y41" s="151"/>
      <c r="Z41" s="151"/>
      <c r="AA41" s="151"/>
      <c r="AB41" s="151"/>
      <c r="AC41" s="151"/>
      <c r="AD41" s="151"/>
      <c r="AE41" s="151"/>
      <c r="AF41" s="151"/>
      <c r="AG41" s="151"/>
      <c r="AH41" s="151"/>
      <c r="AI41" s="151"/>
      <c r="AJ41" s="151"/>
      <c r="AK41" s="151"/>
      <c r="AL41" s="151"/>
      <c r="AM41" s="151"/>
      <c r="AN41" s="151"/>
      <c r="AO41" s="151"/>
      <c r="AP41" s="151"/>
      <c r="AQ41" s="151"/>
      <c r="AR41" s="151"/>
      <c r="AS41" s="151"/>
      <c r="AT41" s="151"/>
      <c r="AU41" s="151"/>
      <c r="AV41" s="151"/>
      <c r="AW41" s="151"/>
      <c r="AX41" s="79"/>
      <c r="AY41" s="80">
        <v>101</v>
      </c>
      <c r="AZ41" s="85">
        <f>'PF176'!U110</f>
        <v>0</v>
      </c>
    </row>
    <row r="42" spans="2:52" ht="15" customHeight="1" x14ac:dyDescent="0.55000000000000004">
      <c r="B42" s="81"/>
      <c r="C42" s="84">
        <f>'PF176'!U42</f>
        <v>0</v>
      </c>
      <c r="D42" s="78">
        <v>33</v>
      </c>
      <c r="E42" s="79"/>
      <c r="F42" s="151"/>
      <c r="G42" s="151"/>
      <c r="H42" s="151"/>
      <c r="I42" s="151"/>
      <c r="J42" s="151"/>
      <c r="K42" s="151"/>
      <c r="L42" s="151"/>
      <c r="M42" s="151"/>
      <c r="N42" s="151"/>
      <c r="O42" s="151"/>
      <c r="P42" s="151"/>
      <c r="Q42" s="151"/>
      <c r="R42" s="151"/>
      <c r="S42" s="151"/>
      <c r="T42" s="151"/>
      <c r="U42" s="151"/>
      <c r="V42" s="151"/>
      <c r="W42" s="151"/>
      <c r="X42" s="151"/>
      <c r="Y42" s="151"/>
      <c r="Z42" s="151"/>
      <c r="AA42" s="151"/>
      <c r="AB42" s="151"/>
      <c r="AC42" s="151"/>
      <c r="AD42" s="151"/>
      <c r="AE42" s="151"/>
      <c r="AF42" s="151"/>
      <c r="AG42" s="151"/>
      <c r="AH42" s="151"/>
      <c r="AI42" s="151"/>
      <c r="AJ42" s="151"/>
      <c r="AK42" s="151"/>
      <c r="AL42" s="151"/>
      <c r="AM42" s="151"/>
      <c r="AN42" s="151"/>
      <c r="AO42" s="151"/>
      <c r="AP42" s="151"/>
      <c r="AQ42" s="151"/>
      <c r="AR42" s="151"/>
      <c r="AS42" s="151"/>
      <c r="AT42" s="151"/>
      <c r="AU42" s="151"/>
      <c r="AV42" s="151"/>
      <c r="AW42" s="151"/>
      <c r="AX42" s="79"/>
      <c r="AY42" s="80">
        <v>100</v>
      </c>
      <c r="AZ42" s="85">
        <f>'PF176'!U109</f>
        <v>0</v>
      </c>
    </row>
    <row r="43" spans="2:52" ht="15" customHeight="1" x14ac:dyDescent="0.55000000000000004">
      <c r="B43" s="81"/>
      <c r="C43" s="84">
        <f>'PF176'!U43</f>
        <v>0</v>
      </c>
      <c r="D43" s="78">
        <v>34</v>
      </c>
      <c r="E43" s="79"/>
      <c r="F43" s="151"/>
      <c r="G43" s="151"/>
      <c r="H43" s="151"/>
      <c r="I43" s="151"/>
      <c r="J43" s="151"/>
      <c r="K43" s="151"/>
      <c r="L43" s="151"/>
      <c r="M43" s="151"/>
      <c r="N43" s="151"/>
      <c r="O43" s="151"/>
      <c r="P43" s="151"/>
      <c r="Q43" s="151"/>
      <c r="R43" s="151"/>
      <c r="S43" s="151"/>
      <c r="T43" s="151"/>
      <c r="U43" s="151"/>
      <c r="V43" s="151"/>
      <c r="W43" s="151"/>
      <c r="X43" s="151"/>
      <c r="Y43" s="151"/>
      <c r="Z43" s="151"/>
      <c r="AA43" s="151"/>
      <c r="AB43" s="151"/>
      <c r="AC43" s="151"/>
      <c r="AD43" s="151"/>
      <c r="AE43" s="151"/>
      <c r="AF43" s="151"/>
      <c r="AG43" s="151"/>
      <c r="AH43" s="151"/>
      <c r="AI43" s="151"/>
      <c r="AJ43" s="151"/>
      <c r="AK43" s="151"/>
      <c r="AL43" s="151"/>
      <c r="AM43" s="151"/>
      <c r="AN43" s="151"/>
      <c r="AO43" s="151"/>
      <c r="AP43" s="151"/>
      <c r="AQ43" s="151"/>
      <c r="AR43" s="151"/>
      <c r="AS43" s="151"/>
      <c r="AT43" s="151"/>
      <c r="AU43" s="151"/>
      <c r="AV43" s="151"/>
      <c r="AW43" s="151"/>
      <c r="AX43" s="79"/>
      <c r="AY43" s="80">
        <v>99</v>
      </c>
      <c r="AZ43" s="85">
        <f>'PF176'!U108</f>
        <v>0</v>
      </c>
    </row>
    <row r="44" spans="2:52" ht="15" customHeight="1" x14ac:dyDescent="0.55000000000000004">
      <c r="B44" s="81"/>
      <c r="C44" s="84">
        <f>'PF176'!U44</f>
        <v>0</v>
      </c>
      <c r="D44" s="78">
        <v>35</v>
      </c>
      <c r="E44" s="79"/>
      <c r="F44" s="151"/>
      <c r="G44" s="151"/>
      <c r="H44" s="151"/>
      <c r="I44" s="151"/>
      <c r="J44" s="151"/>
      <c r="K44" s="151"/>
      <c r="L44" s="151"/>
      <c r="M44" s="151"/>
      <c r="N44" s="151"/>
      <c r="O44" s="151"/>
      <c r="P44" s="151"/>
      <c r="Q44" s="151"/>
      <c r="R44" s="151"/>
      <c r="S44" s="151"/>
      <c r="T44" s="151"/>
      <c r="U44" s="151"/>
      <c r="V44" s="151"/>
      <c r="W44" s="151"/>
      <c r="X44" s="151"/>
      <c r="Y44" s="151"/>
      <c r="Z44" s="151"/>
      <c r="AA44" s="151"/>
      <c r="AB44" s="151"/>
      <c r="AC44" s="151"/>
      <c r="AD44" s="151"/>
      <c r="AE44" s="151"/>
      <c r="AF44" s="151"/>
      <c r="AG44" s="151"/>
      <c r="AH44" s="151"/>
      <c r="AI44" s="151"/>
      <c r="AJ44" s="151"/>
      <c r="AK44" s="151"/>
      <c r="AL44" s="151"/>
      <c r="AM44" s="151"/>
      <c r="AN44" s="151"/>
      <c r="AO44" s="151"/>
      <c r="AP44" s="151"/>
      <c r="AQ44" s="151"/>
      <c r="AR44" s="151"/>
      <c r="AS44" s="151"/>
      <c r="AT44" s="151"/>
      <c r="AU44" s="151"/>
      <c r="AV44" s="151"/>
      <c r="AW44" s="151"/>
      <c r="AX44" s="79"/>
      <c r="AY44" s="80">
        <v>98</v>
      </c>
      <c r="AZ44" s="85">
        <f>'PF176'!U107</f>
        <v>0</v>
      </c>
    </row>
    <row r="45" spans="2:52" ht="15" customHeight="1" x14ac:dyDescent="0.55000000000000004">
      <c r="B45" s="81"/>
      <c r="C45" s="84">
        <f>'PF176'!U45</f>
        <v>0</v>
      </c>
      <c r="D45" s="78">
        <v>36</v>
      </c>
      <c r="E45" s="79"/>
      <c r="F45" s="151"/>
      <c r="G45" s="151"/>
      <c r="H45" s="151"/>
      <c r="I45" s="151"/>
      <c r="J45" s="151"/>
      <c r="K45" s="151"/>
      <c r="L45" s="151"/>
      <c r="M45" s="151"/>
      <c r="N45" s="151"/>
      <c r="O45" s="151"/>
      <c r="P45" s="151"/>
      <c r="Q45" s="151"/>
      <c r="R45" s="151"/>
      <c r="S45" s="151"/>
      <c r="T45" s="151"/>
      <c r="U45" s="151"/>
      <c r="V45" s="151"/>
      <c r="W45" s="151"/>
      <c r="X45" s="151"/>
      <c r="Y45" s="151"/>
      <c r="Z45" s="151"/>
      <c r="AA45" s="151"/>
      <c r="AB45" s="151"/>
      <c r="AC45" s="151"/>
      <c r="AD45" s="151"/>
      <c r="AE45" s="151"/>
      <c r="AF45" s="151"/>
      <c r="AG45" s="151"/>
      <c r="AH45" s="151"/>
      <c r="AI45" s="151"/>
      <c r="AJ45" s="151"/>
      <c r="AK45" s="151"/>
      <c r="AL45" s="151"/>
      <c r="AM45" s="151"/>
      <c r="AN45" s="151"/>
      <c r="AO45" s="151"/>
      <c r="AP45" s="151"/>
      <c r="AQ45" s="151"/>
      <c r="AR45" s="151"/>
      <c r="AS45" s="151"/>
      <c r="AT45" s="151"/>
      <c r="AU45" s="151"/>
      <c r="AV45" s="151"/>
      <c r="AW45" s="151"/>
      <c r="AX45" s="79"/>
      <c r="AY45" s="80">
        <v>97</v>
      </c>
      <c r="AZ45" s="85">
        <f>'PF176'!U106</f>
        <v>0</v>
      </c>
    </row>
    <row r="46" spans="2:52" ht="15" customHeight="1" x14ac:dyDescent="0.55000000000000004">
      <c r="B46" s="81"/>
      <c r="C46" s="84">
        <f>'PF176'!U46</f>
        <v>0</v>
      </c>
      <c r="D46" s="78">
        <v>37</v>
      </c>
      <c r="E46" s="79"/>
      <c r="F46" s="151"/>
      <c r="G46" s="151"/>
      <c r="H46" s="151"/>
      <c r="I46" s="151"/>
      <c r="J46" s="151"/>
      <c r="K46" s="151"/>
      <c r="L46" s="151"/>
      <c r="M46" s="151"/>
      <c r="N46" s="151"/>
      <c r="O46" s="151"/>
      <c r="P46" s="151"/>
      <c r="Q46" s="151"/>
      <c r="R46" s="151"/>
      <c r="S46" s="151"/>
      <c r="T46" s="151"/>
      <c r="U46" s="151"/>
      <c r="V46" s="151"/>
      <c r="W46" s="151"/>
      <c r="X46" s="151"/>
      <c r="Y46" s="151"/>
      <c r="Z46" s="151"/>
      <c r="AA46" s="151"/>
      <c r="AB46" s="151"/>
      <c r="AC46" s="151"/>
      <c r="AD46" s="151"/>
      <c r="AE46" s="151"/>
      <c r="AF46" s="151"/>
      <c r="AG46" s="151"/>
      <c r="AH46" s="151"/>
      <c r="AI46" s="151"/>
      <c r="AJ46" s="151"/>
      <c r="AK46" s="151"/>
      <c r="AL46" s="151"/>
      <c r="AM46" s="151"/>
      <c r="AN46" s="151"/>
      <c r="AO46" s="151"/>
      <c r="AP46" s="151"/>
      <c r="AQ46" s="151"/>
      <c r="AR46" s="151"/>
      <c r="AS46" s="151"/>
      <c r="AT46" s="151"/>
      <c r="AU46" s="151"/>
      <c r="AV46" s="151"/>
      <c r="AW46" s="151"/>
      <c r="AX46" s="79"/>
      <c r="AY46" s="80">
        <v>96</v>
      </c>
      <c r="AZ46" s="85">
        <f>'PF176'!U105</f>
        <v>0</v>
      </c>
    </row>
    <row r="47" spans="2:52" ht="15" customHeight="1" x14ac:dyDescent="0.55000000000000004">
      <c r="B47" s="81"/>
      <c r="C47" s="84">
        <f>'PF176'!U47</f>
        <v>0</v>
      </c>
      <c r="D47" s="78">
        <v>38</v>
      </c>
      <c r="E47" s="79"/>
      <c r="F47" s="151"/>
      <c r="G47" s="151"/>
      <c r="H47" s="151"/>
      <c r="I47" s="151"/>
      <c r="J47" s="151"/>
      <c r="K47" s="151"/>
      <c r="L47" s="151"/>
      <c r="M47" s="151"/>
      <c r="N47" s="151"/>
      <c r="O47" s="151"/>
      <c r="P47" s="151"/>
      <c r="Q47" s="151"/>
      <c r="R47" s="151"/>
      <c r="S47" s="151"/>
      <c r="T47" s="151"/>
      <c r="U47" s="151"/>
      <c r="V47" s="151"/>
      <c r="W47" s="151"/>
      <c r="X47" s="151"/>
      <c r="Y47" s="151"/>
      <c r="Z47" s="151"/>
      <c r="AA47" s="151"/>
      <c r="AB47" s="151"/>
      <c r="AC47" s="151"/>
      <c r="AD47" s="151"/>
      <c r="AE47" s="151"/>
      <c r="AF47" s="151"/>
      <c r="AG47" s="151"/>
      <c r="AH47" s="151"/>
      <c r="AI47" s="151"/>
      <c r="AJ47" s="151"/>
      <c r="AK47" s="151"/>
      <c r="AL47" s="151"/>
      <c r="AM47" s="151"/>
      <c r="AN47" s="151"/>
      <c r="AO47" s="151"/>
      <c r="AP47" s="151"/>
      <c r="AQ47" s="151"/>
      <c r="AR47" s="151"/>
      <c r="AS47" s="151"/>
      <c r="AT47" s="151"/>
      <c r="AU47" s="151"/>
      <c r="AV47" s="151"/>
      <c r="AW47" s="151"/>
      <c r="AX47" s="79"/>
      <c r="AY47" s="80">
        <v>95</v>
      </c>
      <c r="AZ47" s="85">
        <f>'PF176'!U104</f>
        <v>0</v>
      </c>
    </row>
    <row r="48" spans="2:52" ht="15" customHeight="1" x14ac:dyDescent="0.55000000000000004">
      <c r="B48" s="81"/>
      <c r="C48" s="84">
        <f>'PF176'!U48</f>
        <v>0</v>
      </c>
      <c r="D48" s="78">
        <v>39</v>
      </c>
      <c r="E48" s="79"/>
      <c r="F48" s="151"/>
      <c r="G48" s="151"/>
      <c r="H48" s="151"/>
      <c r="I48" s="151"/>
      <c r="J48" s="151"/>
      <c r="K48" s="151"/>
      <c r="L48" s="151"/>
      <c r="M48" s="151"/>
      <c r="N48" s="151"/>
      <c r="O48" s="151"/>
      <c r="P48" s="151"/>
      <c r="Q48" s="151"/>
      <c r="R48" s="151"/>
      <c r="S48" s="151"/>
      <c r="T48" s="151"/>
      <c r="U48" s="151"/>
      <c r="V48" s="151"/>
      <c r="W48" s="151"/>
      <c r="X48" s="151"/>
      <c r="Y48" s="151"/>
      <c r="Z48" s="151"/>
      <c r="AA48" s="151"/>
      <c r="AB48" s="151"/>
      <c r="AC48" s="151"/>
      <c r="AD48" s="151"/>
      <c r="AE48" s="151"/>
      <c r="AF48" s="151"/>
      <c r="AG48" s="151"/>
      <c r="AH48" s="151"/>
      <c r="AI48" s="151"/>
      <c r="AJ48" s="151"/>
      <c r="AK48" s="151"/>
      <c r="AL48" s="151"/>
      <c r="AM48" s="151"/>
      <c r="AN48" s="151"/>
      <c r="AO48" s="151"/>
      <c r="AP48" s="151"/>
      <c r="AQ48" s="151"/>
      <c r="AR48" s="151"/>
      <c r="AS48" s="151"/>
      <c r="AT48" s="151"/>
      <c r="AU48" s="151"/>
      <c r="AV48" s="151"/>
      <c r="AW48" s="151"/>
      <c r="AX48" s="79"/>
      <c r="AY48" s="80">
        <v>94</v>
      </c>
      <c r="AZ48" s="85">
        <f>'PF176'!U103</f>
        <v>0</v>
      </c>
    </row>
    <row r="49" spans="2:52" ht="15" customHeight="1" x14ac:dyDescent="0.55000000000000004">
      <c r="B49" s="81"/>
      <c r="C49" s="84">
        <f>'PF176'!U49</f>
        <v>0</v>
      </c>
      <c r="D49" s="78">
        <v>40</v>
      </c>
      <c r="E49" s="79"/>
      <c r="F49" s="151"/>
      <c r="G49" s="151"/>
      <c r="H49" s="151"/>
      <c r="I49" s="151"/>
      <c r="J49" s="151"/>
      <c r="K49" s="151"/>
      <c r="L49" s="151"/>
      <c r="M49" s="151"/>
      <c r="N49" s="151"/>
      <c r="O49" s="151"/>
      <c r="P49" s="151"/>
      <c r="Q49" s="151"/>
      <c r="R49" s="151"/>
      <c r="S49" s="151"/>
      <c r="T49" s="151"/>
      <c r="U49" s="151"/>
      <c r="V49" s="151"/>
      <c r="W49" s="151"/>
      <c r="X49" s="151"/>
      <c r="Y49" s="151"/>
      <c r="Z49" s="151"/>
      <c r="AA49" s="151"/>
      <c r="AB49" s="151"/>
      <c r="AC49" s="151"/>
      <c r="AD49" s="151"/>
      <c r="AE49" s="151"/>
      <c r="AF49" s="151"/>
      <c r="AG49" s="151"/>
      <c r="AH49" s="151"/>
      <c r="AI49" s="151"/>
      <c r="AJ49" s="151"/>
      <c r="AK49" s="151"/>
      <c r="AL49" s="151"/>
      <c r="AM49" s="151"/>
      <c r="AN49" s="151"/>
      <c r="AO49" s="151"/>
      <c r="AP49" s="151"/>
      <c r="AQ49" s="151"/>
      <c r="AR49" s="151"/>
      <c r="AS49" s="151"/>
      <c r="AT49" s="151"/>
      <c r="AU49" s="151"/>
      <c r="AV49" s="151"/>
      <c r="AW49" s="151"/>
      <c r="AX49" s="79"/>
      <c r="AY49" s="80">
        <v>93</v>
      </c>
      <c r="AZ49" s="85">
        <f>'PF176'!U102</f>
        <v>0</v>
      </c>
    </row>
    <row r="50" spans="2:52" ht="15" customHeight="1" x14ac:dyDescent="0.55000000000000004">
      <c r="B50" s="81"/>
      <c r="C50" s="84">
        <f>'PF176'!U50</f>
        <v>0</v>
      </c>
      <c r="D50" s="78">
        <v>41</v>
      </c>
      <c r="E50" s="79"/>
      <c r="F50" s="151"/>
      <c r="G50" s="151"/>
      <c r="H50" s="151"/>
      <c r="I50" s="151"/>
      <c r="J50" s="151"/>
      <c r="K50" s="151"/>
      <c r="L50" s="151"/>
      <c r="M50" s="151"/>
      <c r="N50" s="151"/>
      <c r="O50" s="151"/>
      <c r="P50" s="151"/>
      <c r="Q50" s="151"/>
      <c r="R50" s="151"/>
      <c r="S50" s="151"/>
      <c r="T50" s="151"/>
      <c r="U50" s="151"/>
      <c r="V50" s="151"/>
      <c r="W50" s="151"/>
      <c r="X50" s="151"/>
      <c r="Y50" s="151"/>
      <c r="Z50" s="151"/>
      <c r="AA50" s="151"/>
      <c r="AB50" s="151"/>
      <c r="AC50" s="151"/>
      <c r="AD50" s="151"/>
      <c r="AE50" s="151"/>
      <c r="AF50" s="151"/>
      <c r="AG50" s="151"/>
      <c r="AH50" s="151"/>
      <c r="AI50" s="151"/>
      <c r="AJ50" s="151"/>
      <c r="AK50" s="151"/>
      <c r="AL50" s="151"/>
      <c r="AM50" s="151"/>
      <c r="AN50" s="151"/>
      <c r="AO50" s="151"/>
      <c r="AP50" s="151"/>
      <c r="AQ50" s="151"/>
      <c r="AR50" s="151"/>
      <c r="AS50" s="151"/>
      <c r="AT50" s="151"/>
      <c r="AU50" s="151"/>
      <c r="AV50" s="151"/>
      <c r="AW50" s="151"/>
      <c r="AX50" s="79"/>
      <c r="AY50" s="80">
        <v>92</v>
      </c>
      <c r="AZ50" s="85">
        <f>'PF176'!U101</f>
        <v>0</v>
      </c>
    </row>
    <row r="51" spans="2:52" ht="15" customHeight="1" x14ac:dyDescent="0.55000000000000004">
      <c r="B51" s="81"/>
      <c r="C51" s="84">
        <f>'PF176'!U51</f>
        <v>0</v>
      </c>
      <c r="D51" s="78">
        <v>42</v>
      </c>
      <c r="E51" s="79"/>
      <c r="F51" s="151"/>
      <c r="G51" s="151"/>
      <c r="H51" s="151"/>
      <c r="I51" s="151"/>
      <c r="J51" s="151"/>
      <c r="K51" s="151"/>
      <c r="L51" s="151"/>
      <c r="M51" s="151"/>
      <c r="N51" s="151"/>
      <c r="O51" s="151"/>
      <c r="P51" s="151"/>
      <c r="Q51" s="151"/>
      <c r="R51" s="151"/>
      <c r="S51" s="151"/>
      <c r="T51" s="151"/>
      <c r="U51" s="151"/>
      <c r="V51" s="151"/>
      <c r="W51" s="151"/>
      <c r="X51" s="151"/>
      <c r="Y51" s="151"/>
      <c r="Z51" s="151"/>
      <c r="AA51" s="151"/>
      <c r="AB51" s="151"/>
      <c r="AC51" s="151"/>
      <c r="AD51" s="151"/>
      <c r="AE51" s="151"/>
      <c r="AF51" s="151"/>
      <c r="AG51" s="151"/>
      <c r="AH51" s="151"/>
      <c r="AI51" s="151"/>
      <c r="AJ51" s="151"/>
      <c r="AK51" s="151"/>
      <c r="AL51" s="151"/>
      <c r="AM51" s="151"/>
      <c r="AN51" s="151"/>
      <c r="AO51" s="151"/>
      <c r="AP51" s="151"/>
      <c r="AQ51" s="151"/>
      <c r="AR51" s="151"/>
      <c r="AS51" s="151"/>
      <c r="AT51" s="151"/>
      <c r="AU51" s="151"/>
      <c r="AV51" s="151"/>
      <c r="AW51" s="151"/>
      <c r="AX51" s="79"/>
      <c r="AY51" s="80">
        <v>91</v>
      </c>
      <c r="AZ51" s="85">
        <f>'PF176'!U100</f>
        <v>0</v>
      </c>
    </row>
    <row r="52" spans="2:52" ht="15" customHeight="1" x14ac:dyDescent="0.55000000000000004">
      <c r="B52" s="81"/>
      <c r="C52" s="86">
        <f>'PF176'!U52</f>
        <v>0</v>
      </c>
      <c r="D52" s="78">
        <v>43</v>
      </c>
      <c r="E52" s="79"/>
      <c r="F52" s="151"/>
      <c r="G52" s="151"/>
      <c r="H52" s="151"/>
      <c r="I52" s="151"/>
      <c r="J52" s="151"/>
      <c r="K52" s="151"/>
      <c r="L52" s="151"/>
      <c r="M52" s="151"/>
      <c r="N52" s="151"/>
      <c r="O52" s="151"/>
      <c r="P52" s="151"/>
      <c r="Q52" s="151"/>
      <c r="R52" s="151"/>
      <c r="S52" s="151"/>
      <c r="T52" s="151"/>
      <c r="U52" s="151"/>
      <c r="V52" s="151"/>
      <c r="W52" s="151"/>
      <c r="X52" s="151"/>
      <c r="Y52" s="151"/>
      <c r="Z52" s="151"/>
      <c r="AA52" s="151"/>
      <c r="AB52" s="151"/>
      <c r="AC52" s="151"/>
      <c r="AD52" s="151"/>
      <c r="AE52" s="151"/>
      <c r="AF52" s="151"/>
      <c r="AG52" s="151"/>
      <c r="AH52" s="151"/>
      <c r="AI52" s="151"/>
      <c r="AJ52" s="151"/>
      <c r="AK52" s="151"/>
      <c r="AL52" s="151"/>
      <c r="AM52" s="151"/>
      <c r="AN52" s="151"/>
      <c r="AO52" s="151"/>
      <c r="AP52" s="151"/>
      <c r="AQ52" s="151"/>
      <c r="AR52" s="151"/>
      <c r="AS52" s="151"/>
      <c r="AT52" s="151"/>
      <c r="AU52" s="151"/>
      <c r="AV52" s="151"/>
      <c r="AW52" s="151"/>
      <c r="AX52" s="79"/>
      <c r="AY52" s="80">
        <v>90</v>
      </c>
      <c r="AZ52" s="85">
        <f>'PF176'!U99</f>
        <v>0</v>
      </c>
    </row>
    <row r="53" spans="2:52" ht="15" customHeight="1" x14ac:dyDescent="0.55000000000000004">
      <c r="B53" s="81"/>
      <c r="C53" s="86">
        <f>'PF176'!U53</f>
        <v>0</v>
      </c>
      <c r="D53" s="78">
        <v>44</v>
      </c>
      <c r="E53" s="79"/>
      <c r="F53" s="151"/>
      <c r="G53" s="151"/>
      <c r="H53" s="151"/>
      <c r="I53" s="151"/>
      <c r="J53" s="151"/>
      <c r="K53" s="151"/>
      <c r="L53" s="151"/>
      <c r="M53" s="151"/>
      <c r="N53" s="151"/>
      <c r="O53" s="151"/>
      <c r="P53" s="151"/>
      <c r="Q53" s="151"/>
      <c r="R53" s="151"/>
      <c r="S53" s="151"/>
      <c r="T53" s="151"/>
      <c r="U53" s="151"/>
      <c r="V53" s="151"/>
      <c r="W53" s="151"/>
      <c r="X53" s="151"/>
      <c r="Y53" s="151"/>
      <c r="Z53" s="151"/>
      <c r="AA53" s="151"/>
      <c r="AB53" s="151"/>
      <c r="AC53" s="151"/>
      <c r="AD53" s="151"/>
      <c r="AE53" s="151"/>
      <c r="AF53" s="151"/>
      <c r="AG53" s="151"/>
      <c r="AH53" s="151"/>
      <c r="AI53" s="151"/>
      <c r="AJ53" s="151"/>
      <c r="AK53" s="151"/>
      <c r="AL53" s="151"/>
      <c r="AM53" s="151"/>
      <c r="AN53" s="151"/>
      <c r="AO53" s="151"/>
      <c r="AP53" s="151"/>
      <c r="AQ53" s="151"/>
      <c r="AR53" s="151"/>
      <c r="AS53" s="151"/>
      <c r="AT53" s="151"/>
      <c r="AU53" s="151"/>
      <c r="AV53" s="151"/>
      <c r="AW53" s="151"/>
      <c r="AX53" s="79"/>
      <c r="AY53" s="80">
        <v>89</v>
      </c>
      <c r="AZ53" s="87" t="str">
        <f>'PF176'!U98</f>
        <v>VSSD</v>
      </c>
    </row>
    <row r="54" spans="2:52" ht="15" customHeight="1" x14ac:dyDescent="0.55000000000000004">
      <c r="D54" s="78"/>
      <c r="E54" s="79"/>
      <c r="F54" s="79"/>
      <c r="G54" s="79"/>
      <c r="H54" s="79"/>
      <c r="I54" s="79"/>
      <c r="J54" s="79"/>
      <c r="K54" s="79"/>
      <c r="L54" s="79"/>
      <c r="M54" s="79"/>
      <c r="N54" s="79"/>
      <c r="O54" s="79"/>
      <c r="P54" s="79"/>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79"/>
      <c r="AR54" s="79"/>
      <c r="AS54" s="79"/>
      <c r="AT54" s="79"/>
      <c r="AU54" s="79"/>
      <c r="AV54" s="79"/>
      <c r="AW54" s="79"/>
      <c r="AX54" s="79"/>
      <c r="AY54" s="80"/>
    </row>
    <row r="55" spans="2:52" ht="15" customHeight="1" x14ac:dyDescent="0.55000000000000004">
      <c r="D55" s="77"/>
      <c r="E55" s="88"/>
      <c r="F55" s="88">
        <v>45</v>
      </c>
      <c r="G55" s="88">
        <v>46</v>
      </c>
      <c r="H55" s="88">
        <v>47</v>
      </c>
      <c r="I55" s="88">
        <v>48</v>
      </c>
      <c r="J55" s="88">
        <v>49</v>
      </c>
      <c r="K55" s="88">
        <v>50</v>
      </c>
      <c r="L55" s="88">
        <v>51</v>
      </c>
      <c r="M55" s="88">
        <v>52</v>
      </c>
      <c r="N55" s="88">
        <v>53</v>
      </c>
      <c r="O55" s="88">
        <v>54</v>
      </c>
      <c r="P55" s="88">
        <v>55</v>
      </c>
      <c r="Q55" s="88">
        <v>56</v>
      </c>
      <c r="R55" s="88">
        <v>57</v>
      </c>
      <c r="S55" s="88">
        <v>58</v>
      </c>
      <c r="T55" s="88">
        <v>59</v>
      </c>
      <c r="U55" s="88">
        <v>60</v>
      </c>
      <c r="V55" s="88">
        <v>61</v>
      </c>
      <c r="W55" s="88">
        <v>62</v>
      </c>
      <c r="X55" s="88">
        <v>63</v>
      </c>
      <c r="Y55" s="88">
        <v>64</v>
      </c>
      <c r="Z55" s="88">
        <v>65</v>
      </c>
      <c r="AA55" s="88">
        <v>66</v>
      </c>
      <c r="AB55" s="88">
        <v>67</v>
      </c>
      <c r="AC55" s="88">
        <v>68</v>
      </c>
      <c r="AD55" s="88">
        <v>69</v>
      </c>
      <c r="AE55" s="88">
        <v>70</v>
      </c>
      <c r="AF55" s="88">
        <v>71</v>
      </c>
      <c r="AG55" s="88">
        <v>72</v>
      </c>
      <c r="AH55" s="88">
        <v>73</v>
      </c>
      <c r="AI55" s="88">
        <v>74</v>
      </c>
      <c r="AJ55" s="88">
        <v>75</v>
      </c>
      <c r="AK55" s="88">
        <v>76</v>
      </c>
      <c r="AL55" s="88">
        <v>77</v>
      </c>
      <c r="AM55" s="88">
        <v>78</v>
      </c>
      <c r="AN55" s="88">
        <v>79</v>
      </c>
      <c r="AO55" s="88">
        <v>80</v>
      </c>
      <c r="AP55" s="88">
        <v>81</v>
      </c>
      <c r="AQ55" s="88">
        <v>82</v>
      </c>
      <c r="AR55" s="88">
        <v>83</v>
      </c>
      <c r="AS55" s="88">
        <v>84</v>
      </c>
      <c r="AT55" s="88">
        <v>85</v>
      </c>
      <c r="AU55" s="88">
        <v>86</v>
      </c>
      <c r="AV55" s="88">
        <v>87</v>
      </c>
      <c r="AW55" s="88">
        <v>88</v>
      </c>
      <c r="AX55" s="88"/>
      <c r="AY55" s="75"/>
    </row>
    <row r="56" spans="2:52" ht="105" customHeight="1" x14ac:dyDescent="0.55000000000000004">
      <c r="F56" s="89">
        <f>'PF176'!U54</f>
        <v>0</v>
      </c>
      <c r="G56" s="89">
        <f>'PF176'!U55</f>
        <v>0</v>
      </c>
      <c r="H56" s="90">
        <f>'PF176'!U56</f>
        <v>0</v>
      </c>
      <c r="I56" s="91">
        <f>'PF176'!U57</f>
        <v>0</v>
      </c>
      <c r="J56" s="91">
        <f>'PF176'!U58</f>
        <v>0</v>
      </c>
      <c r="K56" s="91">
        <f>'PF176'!U59</f>
        <v>0</v>
      </c>
      <c r="L56" s="91">
        <f>'PF176'!U60</f>
        <v>0</v>
      </c>
      <c r="M56" s="91">
        <f>'PF176'!U61</f>
        <v>0</v>
      </c>
      <c r="N56" s="91">
        <f>'PF176'!U62</f>
        <v>0</v>
      </c>
      <c r="O56" s="91">
        <f>'PF176'!U63</f>
        <v>0</v>
      </c>
      <c r="P56" s="91">
        <f>'PF176'!U64</f>
        <v>0</v>
      </c>
      <c r="Q56" s="91">
        <f>'PF176'!U65</f>
        <v>0</v>
      </c>
      <c r="R56" s="91">
        <f>'PF176'!U66</f>
        <v>0</v>
      </c>
      <c r="S56" s="91">
        <f>'PF176'!U67</f>
        <v>0</v>
      </c>
      <c r="T56" s="91">
        <f>'PF176'!U68</f>
        <v>0</v>
      </c>
      <c r="U56" s="91">
        <f>'PF176'!U69</f>
        <v>0</v>
      </c>
      <c r="V56" s="91">
        <f>'PF176'!U70</f>
        <v>0</v>
      </c>
      <c r="W56" s="91">
        <f>'PF176'!U71</f>
        <v>0</v>
      </c>
      <c r="X56" s="91">
        <f>'PF176'!U72</f>
        <v>0</v>
      </c>
      <c r="Y56" s="91">
        <f>'PF176'!U73</f>
        <v>0</v>
      </c>
      <c r="Z56" s="91">
        <f>'PF176'!U74</f>
        <v>0</v>
      </c>
      <c r="AA56" s="91">
        <f>'PF176'!U75</f>
        <v>0</v>
      </c>
      <c r="AB56" s="91">
        <f>'PF176'!U76</f>
        <v>0</v>
      </c>
      <c r="AC56" s="91">
        <f>'PF176'!U77</f>
        <v>0</v>
      </c>
      <c r="AD56" s="91">
        <f>'PF176'!U78</f>
        <v>0</v>
      </c>
      <c r="AE56" s="91">
        <f>'PF176'!U79</f>
        <v>0</v>
      </c>
      <c r="AF56" s="91">
        <f>'PF176'!U80</f>
        <v>0</v>
      </c>
      <c r="AG56" s="91">
        <f>'PF176'!U81</f>
        <v>0</v>
      </c>
      <c r="AH56" s="91">
        <f>'PF176'!U82</f>
        <v>0</v>
      </c>
      <c r="AI56" s="91">
        <f>'PF176'!U83</f>
        <v>0</v>
      </c>
      <c r="AJ56" s="91">
        <f>'PF176'!U84</f>
        <v>0</v>
      </c>
      <c r="AK56" s="92" t="str">
        <f>'PF176'!U85</f>
        <v>VREFL</v>
      </c>
      <c r="AL56" s="89" t="str">
        <f>'PF176'!U86</f>
        <v>VSSA</v>
      </c>
      <c r="AM56" s="90" t="str">
        <f>'PF176'!U87</f>
        <v>VDDA</v>
      </c>
      <c r="AN56" s="92" t="str">
        <f>'PF176'!U88</f>
        <v>VREFH</v>
      </c>
      <c r="AO56" s="91">
        <f>'PF176'!U89</f>
        <v>0</v>
      </c>
      <c r="AP56" s="91">
        <f>'PF176'!U90</f>
        <v>0</v>
      </c>
      <c r="AQ56" s="91">
        <f>'PF176'!U91</f>
        <v>0</v>
      </c>
      <c r="AR56" s="91">
        <f>'PF176'!U92</f>
        <v>0</v>
      </c>
      <c r="AS56" s="91">
        <f>'PF176'!U93</f>
        <v>0</v>
      </c>
      <c r="AT56" s="91">
        <f>'PF176'!U94</f>
        <v>0</v>
      </c>
      <c r="AU56" s="91">
        <f>'PF176'!U95</f>
        <v>0</v>
      </c>
      <c r="AV56" s="91">
        <f>'PF176'!U96</f>
        <v>0</v>
      </c>
      <c r="AW56" s="90" t="str">
        <f>'PF176'!U97</f>
        <v>VDDIO_2</v>
      </c>
    </row>
    <row r="67" spans="4:51" ht="15" customHeight="1" x14ac:dyDescent="0.55000000000000004">
      <c r="D67" s="152" t="s">
        <v>849</v>
      </c>
      <c r="E67" s="152"/>
      <c r="F67" s="152"/>
      <c r="G67" s="152"/>
      <c r="H67" s="152"/>
      <c r="I67" s="152"/>
      <c r="J67" s="152"/>
      <c r="K67" s="152"/>
      <c r="L67" s="152"/>
      <c r="M67" s="152"/>
      <c r="N67" s="152"/>
      <c r="O67" s="152"/>
      <c r="P67" s="152"/>
      <c r="Q67" s="152"/>
      <c r="R67" s="152"/>
      <c r="S67" s="152"/>
      <c r="T67" s="152"/>
      <c r="U67" s="152"/>
      <c r="V67" s="152"/>
      <c r="W67" s="152"/>
      <c r="X67" s="152"/>
      <c r="Y67" s="152"/>
      <c r="Z67" s="152"/>
      <c r="AA67" s="152"/>
      <c r="AB67" s="152"/>
      <c r="AC67" s="152"/>
      <c r="AD67" s="152"/>
      <c r="AE67" s="152"/>
      <c r="AF67" s="152"/>
      <c r="AG67" s="152"/>
      <c r="AH67" s="152"/>
      <c r="AI67" s="152"/>
      <c r="AJ67" s="152"/>
      <c r="AK67" s="152"/>
      <c r="AL67" s="152"/>
      <c r="AM67" s="152"/>
      <c r="AN67" s="152"/>
      <c r="AO67" s="152"/>
      <c r="AP67" s="152"/>
      <c r="AQ67" s="152"/>
      <c r="AR67" s="152"/>
      <c r="AS67" s="152"/>
      <c r="AT67" s="152"/>
      <c r="AU67" s="152"/>
      <c r="AV67" s="152"/>
      <c r="AW67" s="152"/>
      <c r="AX67" s="152"/>
      <c r="AY67" s="152"/>
    </row>
    <row r="68" spans="4:51" ht="178" customHeight="1" x14ac:dyDescent="0.55000000000000004">
      <c r="D68" s="116" t="s">
        <v>850</v>
      </c>
      <c r="E68" s="116"/>
      <c r="F68" s="116"/>
      <c r="G68" s="116"/>
      <c r="H68" s="116"/>
      <c r="I68" s="116"/>
      <c r="J68" s="116"/>
      <c r="K68" s="116"/>
      <c r="L68" s="116"/>
      <c r="M68" s="116"/>
      <c r="N68" s="116"/>
      <c r="O68" s="116"/>
      <c r="P68" s="116"/>
      <c r="Q68" s="116"/>
      <c r="R68" s="116"/>
      <c r="S68" s="116"/>
      <c r="T68" s="116"/>
      <c r="U68" s="116"/>
      <c r="V68" s="116"/>
      <c r="W68" s="116"/>
      <c r="X68" s="116"/>
      <c r="Y68" s="116"/>
      <c r="Z68" s="116"/>
      <c r="AA68" s="116"/>
      <c r="AB68" s="116"/>
      <c r="AC68" s="116"/>
      <c r="AD68" s="116"/>
      <c r="AE68" s="116"/>
      <c r="AF68" s="116"/>
      <c r="AG68" s="116"/>
      <c r="AH68" s="116"/>
      <c r="AI68" s="116"/>
      <c r="AJ68" s="116"/>
      <c r="AK68" s="116"/>
      <c r="AL68" s="116"/>
      <c r="AM68" s="116"/>
      <c r="AN68" s="116"/>
      <c r="AO68" s="116"/>
      <c r="AP68" s="116"/>
      <c r="AQ68" s="116"/>
      <c r="AR68" s="116"/>
      <c r="AS68" s="116"/>
      <c r="AT68" s="116"/>
      <c r="AU68" s="116"/>
      <c r="AV68" s="116"/>
      <c r="AW68" s="116"/>
      <c r="AX68" s="116"/>
      <c r="AY68" s="116"/>
    </row>
  </sheetData>
  <sheetProtection algorithmName="SHA-512" hashValue="I+ffRJDZ23bv+xx58KCu64DHWVhPNs5HJctKm+Zd/+tgpcH9MkytLbxTqh/UhL5B8IdWEVyuiXVJjeDZVnigUQ==" saltValue="xgsFC26EhkpEnAFczIIPdw==" spinCount="100000" sheet="1" objects="1" formatCells="0" formatColumns="0" formatRows="0" insertColumns="0" insertRows="0" insertHyperlinks="0" deleteColumns="0" deleteRows="0" selectLockedCells="1" sort="0" autoFilter="0" pivotTables="0"/>
  <mergeCells count="3">
    <mergeCell ref="F10:AW53"/>
    <mergeCell ref="D68:AY68"/>
    <mergeCell ref="D67:AY67"/>
  </mergeCells>
  <phoneticPr fontId="3"/>
  <pageMargins left="0.7" right="0.7" top="0.75" bottom="0.75" header="0.3" footer="0.3"/>
  <pageSetup paperSize="9" orientation="portrait" r:id="rId1"/>
  <ignoredErrors>
    <ignoredError sqref="F7:AW7 C10:C53 F56:AW56 AZ10:AZ53" unlockedFormula="1"/>
  </ignoredErrors>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F19C6-228E-4AB4-AD7C-C7F8A22F2646}">
  <dimension ref="A1:AE172"/>
  <sheetViews>
    <sheetView zoomScale="85" zoomScaleNormal="85" workbookViewId="0">
      <pane xSplit="3" ySplit="9" topLeftCell="O139" activePane="bottomRight" state="frozen"/>
      <selection pane="topRight" activeCell="D1" sqref="D1"/>
      <selection pane="bottomLeft" activeCell="A6" sqref="A6"/>
      <selection pane="bottomRight" activeCell="U12" sqref="U12:U21"/>
    </sheetView>
  </sheetViews>
  <sheetFormatPr defaultColWidth="8.58203125" defaultRowHeight="10" x14ac:dyDescent="0.55000000000000004"/>
  <cols>
    <col min="1" max="1" width="4.58203125" style="10" customWidth="1"/>
    <col min="2" max="2" width="7.08203125" style="10" bestFit="1" customWidth="1"/>
    <col min="3" max="3" width="3.5" style="10" bestFit="1" customWidth="1"/>
    <col min="4" max="4" width="6.33203125" style="10" bestFit="1" customWidth="1"/>
    <col min="5" max="5" width="9.4140625" style="10" bestFit="1" customWidth="1"/>
    <col min="6" max="6" width="11.1640625" style="10" bestFit="1" customWidth="1"/>
    <col min="7" max="8" width="11.58203125" style="10" bestFit="1" customWidth="1"/>
    <col min="9" max="9" width="11.5" style="10" bestFit="1" customWidth="1"/>
    <col min="10" max="11" width="10.08203125" style="10" bestFit="1" customWidth="1"/>
    <col min="12" max="12" width="10.83203125" style="10" bestFit="1" customWidth="1"/>
    <col min="13" max="13" width="7.08203125" style="10" customWidth="1"/>
    <col min="14" max="14" width="8.83203125" style="10" bestFit="1" customWidth="1"/>
    <col min="15" max="15" width="8.08203125" style="10" customWidth="1"/>
    <col min="16" max="16" width="14.1640625" style="10" bestFit="1" customWidth="1"/>
    <col min="17" max="17" width="10.08203125" style="10" bestFit="1" customWidth="1"/>
    <col min="18" max="18" width="14.08203125" style="10" customWidth="1"/>
    <col min="19" max="19" width="10.83203125" style="10" bestFit="1" customWidth="1"/>
    <col min="20" max="20" width="17.08203125" style="10" bestFit="1" customWidth="1"/>
    <col min="21" max="21" width="16.33203125" style="10" bestFit="1" customWidth="1"/>
    <col min="22" max="22" width="10" style="10" bestFit="1" customWidth="1"/>
    <col min="23" max="23" width="24.83203125" style="10" bestFit="1" customWidth="1"/>
    <col min="24" max="24" width="24.83203125" style="10" customWidth="1"/>
    <col min="25" max="25" width="7.83203125" style="10" bestFit="1" customWidth="1"/>
    <col min="26" max="26" width="6.83203125" style="10" bestFit="1" customWidth="1"/>
    <col min="27" max="28" width="12.58203125" style="10" customWidth="1"/>
    <col min="29" max="31" width="8.58203125" style="10" customWidth="1"/>
    <col min="32" max="16384" width="8.58203125" style="10"/>
  </cols>
  <sheetData>
    <row r="1" spans="1:31" ht="25" customHeight="1" x14ac:dyDescent="0.55000000000000004">
      <c r="A1" s="9" t="s">
        <v>369</v>
      </c>
      <c r="AC1" s="36"/>
      <c r="AD1" s="36"/>
      <c r="AE1" s="36"/>
    </row>
    <row r="2" spans="1:31" ht="25" customHeight="1" x14ac:dyDescent="0.55000000000000004">
      <c r="A2" s="9"/>
      <c r="AC2" s="36"/>
      <c r="AD2" s="36"/>
      <c r="AE2" s="36"/>
    </row>
    <row r="3" spans="1:31" ht="25" customHeight="1" x14ac:dyDescent="0.55000000000000004">
      <c r="A3" s="9"/>
      <c r="AC3" s="36"/>
      <c r="AD3" s="36"/>
      <c r="AE3" s="36"/>
    </row>
    <row r="4" spans="1:31" ht="25" customHeight="1" x14ac:dyDescent="0.55000000000000004">
      <c r="A4" s="9"/>
      <c r="AC4" s="36"/>
      <c r="AD4" s="36"/>
      <c r="AE4" s="36"/>
    </row>
    <row r="5" spans="1:31" ht="25" customHeight="1" x14ac:dyDescent="0.55000000000000004">
      <c r="A5" s="9"/>
      <c r="AB5" s="11"/>
      <c r="AC5" s="36"/>
      <c r="AD5" s="36"/>
      <c r="AE5" s="37" t="s">
        <v>814</v>
      </c>
    </row>
    <row r="6" spans="1:31" x14ac:dyDescent="0.55000000000000004">
      <c r="B6" s="10" t="s">
        <v>532</v>
      </c>
      <c r="E6" s="10" t="s">
        <v>542</v>
      </c>
      <c r="F6" s="10" t="s">
        <v>542</v>
      </c>
      <c r="G6" s="10" t="s">
        <v>533</v>
      </c>
      <c r="H6" s="10" t="s">
        <v>533</v>
      </c>
      <c r="I6" s="10" t="s">
        <v>542</v>
      </c>
      <c r="J6" s="10" t="s">
        <v>534</v>
      </c>
      <c r="K6" s="10" t="s">
        <v>535</v>
      </c>
      <c r="L6" s="10" t="s">
        <v>536</v>
      </c>
      <c r="M6" s="10" t="s">
        <v>537</v>
      </c>
      <c r="N6" s="10" t="s">
        <v>538</v>
      </c>
      <c r="O6" s="10" t="s">
        <v>539</v>
      </c>
      <c r="P6" s="10" t="s">
        <v>539</v>
      </c>
      <c r="Q6" s="10" t="s">
        <v>535</v>
      </c>
      <c r="R6" s="10" t="s">
        <v>540</v>
      </c>
      <c r="S6" s="10" t="s">
        <v>536</v>
      </c>
      <c r="T6" s="10" t="s">
        <v>541</v>
      </c>
    </row>
    <row r="7" spans="1:31" ht="10.5" x14ac:dyDescent="0.55000000000000004">
      <c r="B7" s="118" t="s">
        <v>0</v>
      </c>
      <c r="C7" s="118" t="s">
        <v>255</v>
      </c>
      <c r="D7" s="121" t="s">
        <v>383</v>
      </c>
      <c r="E7" s="12"/>
      <c r="F7" s="13"/>
      <c r="G7" s="13"/>
      <c r="H7" s="13"/>
      <c r="I7" s="119" t="s">
        <v>1</v>
      </c>
      <c r="J7" s="119"/>
      <c r="K7" s="119"/>
      <c r="L7" s="13"/>
      <c r="M7" s="13"/>
      <c r="N7" s="13"/>
      <c r="O7" s="13"/>
      <c r="P7" s="14"/>
      <c r="Q7" s="118" t="s">
        <v>343</v>
      </c>
      <c r="R7" s="118"/>
      <c r="S7" s="118"/>
      <c r="T7" s="118" t="s">
        <v>352</v>
      </c>
      <c r="U7" s="136" t="s">
        <v>265</v>
      </c>
      <c r="V7" s="137"/>
      <c r="W7" s="137"/>
      <c r="X7" s="138"/>
      <c r="Y7" s="132" t="s">
        <v>557</v>
      </c>
      <c r="Z7" s="133"/>
      <c r="AA7" s="124" t="s">
        <v>382</v>
      </c>
      <c r="AB7" s="125"/>
    </row>
    <row r="8" spans="1:31" ht="10.5" x14ac:dyDescent="0.55000000000000004">
      <c r="B8" s="118"/>
      <c r="C8" s="118"/>
      <c r="D8" s="122"/>
      <c r="E8" s="15" t="s">
        <v>350</v>
      </c>
      <c r="F8" s="15" t="s">
        <v>2</v>
      </c>
      <c r="G8" s="15" t="s">
        <v>3</v>
      </c>
      <c r="H8" s="15" t="s">
        <v>4</v>
      </c>
      <c r="I8" s="15" t="s">
        <v>5</v>
      </c>
      <c r="J8" s="15" t="s">
        <v>6</v>
      </c>
      <c r="K8" s="15" t="s">
        <v>7</v>
      </c>
      <c r="L8" s="15" t="s">
        <v>8</v>
      </c>
      <c r="M8" s="15" t="s">
        <v>9</v>
      </c>
      <c r="N8" s="15" t="s">
        <v>10</v>
      </c>
      <c r="O8" s="15" t="s">
        <v>11</v>
      </c>
      <c r="P8" s="15" t="s">
        <v>12</v>
      </c>
      <c r="Q8" s="15" t="s">
        <v>344</v>
      </c>
      <c r="R8" s="15" t="s">
        <v>345</v>
      </c>
      <c r="S8" s="15" t="s">
        <v>346</v>
      </c>
      <c r="T8" s="118"/>
      <c r="U8" s="128" t="s">
        <v>266</v>
      </c>
      <c r="V8" s="128" t="s">
        <v>828</v>
      </c>
      <c r="W8" s="130" t="s">
        <v>380</v>
      </c>
      <c r="X8" s="134" t="s">
        <v>829</v>
      </c>
      <c r="Y8" s="121" t="s">
        <v>556</v>
      </c>
      <c r="Z8" s="121" t="s">
        <v>554</v>
      </c>
      <c r="AA8" s="126" t="s">
        <v>812</v>
      </c>
      <c r="AB8" s="126" t="s">
        <v>813</v>
      </c>
    </row>
    <row r="9" spans="1:31" ht="10.5" x14ac:dyDescent="0.55000000000000004">
      <c r="B9" s="118"/>
      <c r="C9" s="118"/>
      <c r="D9" s="123"/>
      <c r="E9" s="15" t="s">
        <v>351</v>
      </c>
      <c r="F9" s="15" t="s">
        <v>13</v>
      </c>
      <c r="G9" s="15" t="s">
        <v>14</v>
      </c>
      <c r="H9" s="15" t="s">
        <v>15</v>
      </c>
      <c r="I9" s="15" t="s">
        <v>16</v>
      </c>
      <c r="J9" s="15" t="s">
        <v>17</v>
      </c>
      <c r="K9" s="15" t="s">
        <v>18</v>
      </c>
      <c r="L9" s="15" t="s">
        <v>19</v>
      </c>
      <c r="M9" s="15" t="s">
        <v>20</v>
      </c>
      <c r="N9" s="15" t="s">
        <v>21</v>
      </c>
      <c r="O9" s="15" t="s">
        <v>22</v>
      </c>
      <c r="P9" s="15" t="s">
        <v>23</v>
      </c>
      <c r="Q9" s="15" t="s">
        <v>349</v>
      </c>
      <c r="R9" s="15" t="s">
        <v>347</v>
      </c>
      <c r="S9" s="15" t="s">
        <v>348</v>
      </c>
      <c r="T9" s="118"/>
      <c r="U9" s="128"/>
      <c r="V9" s="128"/>
      <c r="W9" s="131"/>
      <c r="X9" s="135"/>
      <c r="Y9" s="129"/>
      <c r="Z9" s="129"/>
      <c r="AA9" s="127"/>
      <c r="AB9" s="127"/>
    </row>
    <row r="10" spans="1:31" x14ac:dyDescent="0.2">
      <c r="B10" s="16" t="s">
        <v>256</v>
      </c>
      <c r="C10" s="17">
        <v>1</v>
      </c>
      <c r="D10" s="18" t="s">
        <v>269</v>
      </c>
      <c r="E10" s="18" t="s">
        <v>269</v>
      </c>
      <c r="F10" s="18" t="s">
        <v>269</v>
      </c>
      <c r="G10" s="18" t="s">
        <v>269</v>
      </c>
      <c r="H10" s="18" t="s">
        <v>269</v>
      </c>
      <c r="I10" s="18" t="s">
        <v>269</v>
      </c>
      <c r="J10" s="18" t="s">
        <v>269</v>
      </c>
      <c r="K10" s="18" t="s">
        <v>269</v>
      </c>
      <c r="L10" s="18" t="s">
        <v>269</v>
      </c>
      <c r="M10" s="18" t="s">
        <v>269</v>
      </c>
      <c r="N10" s="18" t="s">
        <v>269</v>
      </c>
      <c r="O10" s="18" t="s">
        <v>269</v>
      </c>
      <c r="P10" s="18" t="s">
        <v>269</v>
      </c>
      <c r="Q10" s="18" t="s">
        <v>269</v>
      </c>
      <c r="R10" s="18" t="s">
        <v>269</v>
      </c>
      <c r="S10" s="18" t="s">
        <v>269</v>
      </c>
      <c r="T10" s="18" t="s">
        <v>269</v>
      </c>
      <c r="U10" s="16" t="s">
        <v>256</v>
      </c>
      <c r="V10" s="18" t="s">
        <v>269</v>
      </c>
      <c r="W10" s="38"/>
      <c r="X10" s="19" t="s">
        <v>545</v>
      </c>
      <c r="Y10" s="20" t="s">
        <v>555</v>
      </c>
      <c r="Z10" s="20" t="s">
        <v>555</v>
      </c>
      <c r="AA10" s="19"/>
      <c r="AB10" s="19"/>
    </row>
    <row r="11" spans="1:31" x14ac:dyDescent="0.2">
      <c r="B11" s="21" t="s">
        <v>24</v>
      </c>
      <c r="C11" s="22">
        <v>2</v>
      </c>
      <c r="D11" s="21" t="s">
        <v>24</v>
      </c>
      <c r="E11" s="22" t="s">
        <v>851</v>
      </c>
      <c r="F11" s="22" t="s">
        <v>852</v>
      </c>
      <c r="G11" s="22" t="s">
        <v>853</v>
      </c>
      <c r="H11" s="22" t="s">
        <v>854</v>
      </c>
      <c r="I11" s="18" t="s">
        <v>269</v>
      </c>
      <c r="J11" s="93" t="s">
        <v>593</v>
      </c>
      <c r="K11" s="93" t="s">
        <v>594</v>
      </c>
      <c r="L11" s="18" t="s">
        <v>269</v>
      </c>
      <c r="M11" s="21" t="s">
        <v>25</v>
      </c>
      <c r="N11" s="18" t="s">
        <v>269</v>
      </c>
      <c r="O11" s="18" t="s">
        <v>269</v>
      </c>
      <c r="P11" s="18" t="s">
        <v>269</v>
      </c>
      <c r="Q11" s="18" t="s">
        <v>269</v>
      </c>
      <c r="R11" s="18" t="s">
        <v>269</v>
      </c>
      <c r="S11" s="93" t="s">
        <v>582</v>
      </c>
      <c r="T11" s="18" t="s">
        <v>269</v>
      </c>
      <c r="U11" s="24"/>
      <c r="V11" s="18" t="s">
        <v>269</v>
      </c>
      <c r="W11" s="38" t="str">
        <f>_xlfn.IFS(AND(COUNTIF(U11,"SCB0*")=1, 'PCH144'!D60&gt;=2), "See the Notice *2", AND(COUNTIF(U11,"SCB7*")=1, 'PCH144'!K60&gt;=2), "See the Notice *2", TRUE, "")</f>
        <v/>
      </c>
      <c r="X11" s="19"/>
      <c r="Y11" s="20" t="s">
        <v>267</v>
      </c>
      <c r="Z11" s="20" t="s">
        <v>257</v>
      </c>
      <c r="AA11" s="19"/>
      <c r="AB11" s="19"/>
    </row>
    <row r="12" spans="1:31" x14ac:dyDescent="0.2">
      <c r="B12" s="21" t="s">
        <v>26</v>
      </c>
      <c r="C12" s="22">
        <v>3</v>
      </c>
      <c r="D12" s="21" t="s">
        <v>26</v>
      </c>
      <c r="E12" s="22" t="s">
        <v>855</v>
      </c>
      <c r="F12" s="22" t="s">
        <v>856</v>
      </c>
      <c r="G12" s="22" t="s">
        <v>857</v>
      </c>
      <c r="H12" s="22" t="s">
        <v>858</v>
      </c>
      <c r="I12" s="18" t="s">
        <v>269</v>
      </c>
      <c r="J12" s="93" t="s">
        <v>595</v>
      </c>
      <c r="K12" s="93" t="s">
        <v>596</v>
      </c>
      <c r="L12" s="18" t="s">
        <v>269</v>
      </c>
      <c r="M12" s="21" t="s">
        <v>27</v>
      </c>
      <c r="N12" s="18" t="s">
        <v>269</v>
      </c>
      <c r="O12" s="18" t="s">
        <v>269</v>
      </c>
      <c r="P12" s="18" t="s">
        <v>269</v>
      </c>
      <c r="Q12" s="18" t="s">
        <v>269</v>
      </c>
      <c r="R12" s="18" t="s">
        <v>269</v>
      </c>
      <c r="S12" s="93" t="s">
        <v>583</v>
      </c>
      <c r="T12" s="18" t="s">
        <v>269</v>
      </c>
      <c r="U12" s="25"/>
      <c r="V12" s="18" t="s">
        <v>269</v>
      </c>
      <c r="W12" s="38" t="str">
        <f>_xlfn.IFS(AND(COUNTIF(U12,"SCB0*")=1, 'PCH144'!D60&gt;=2), "See the Notice *2", AND(COUNTIF(U12,"SCB7*")=1, 'PCH144'!K60&gt;=2), "See the Notice *2", TRUE, "")</f>
        <v/>
      </c>
      <c r="X12" s="19"/>
      <c r="Y12" s="20" t="s">
        <v>267</v>
      </c>
      <c r="Z12" s="20" t="s">
        <v>257</v>
      </c>
      <c r="AA12" s="19"/>
      <c r="AB12" s="19"/>
    </row>
    <row r="13" spans="1:31" x14ac:dyDescent="0.2">
      <c r="B13" s="21" t="s">
        <v>28</v>
      </c>
      <c r="C13" s="22">
        <v>4</v>
      </c>
      <c r="D13" s="21" t="s">
        <v>28</v>
      </c>
      <c r="E13" s="22" t="s">
        <v>859</v>
      </c>
      <c r="F13" s="22" t="s">
        <v>860</v>
      </c>
      <c r="G13" s="22" t="s">
        <v>861</v>
      </c>
      <c r="H13" s="22" t="s">
        <v>862</v>
      </c>
      <c r="I13" s="18" t="s">
        <v>269</v>
      </c>
      <c r="J13" s="93" t="s">
        <v>597</v>
      </c>
      <c r="K13" s="18" t="s">
        <v>269</v>
      </c>
      <c r="L13" s="18" t="s">
        <v>269</v>
      </c>
      <c r="M13" s="21" t="s">
        <v>29</v>
      </c>
      <c r="N13" s="21" t="s">
        <v>30</v>
      </c>
      <c r="O13" s="18" t="s">
        <v>269</v>
      </c>
      <c r="P13" s="18" t="s">
        <v>269</v>
      </c>
      <c r="Q13" s="94" t="s">
        <v>581</v>
      </c>
      <c r="R13" s="18" t="s">
        <v>269</v>
      </c>
      <c r="S13" s="93" t="s">
        <v>584</v>
      </c>
      <c r="T13" s="18" t="s">
        <v>269</v>
      </c>
      <c r="U13" s="25"/>
      <c r="V13" s="18" t="s">
        <v>269</v>
      </c>
      <c r="W13" s="38" t="str">
        <f>_xlfn.IFS(AND(COUNTIF(U13,"SCB0*")=1, 'PCH144'!D60&gt;=2), "See the Notice *2", AND(COUNTIF(U13,"SCB7*")=1, 'PCH144'!K60&gt;=2), "See the Notice *2", TRUE, "")</f>
        <v/>
      </c>
      <c r="X13" s="19"/>
      <c r="Y13" s="20" t="s">
        <v>267</v>
      </c>
      <c r="Z13" s="20" t="s">
        <v>257</v>
      </c>
      <c r="AA13" s="19"/>
      <c r="AB13" s="19"/>
    </row>
    <row r="14" spans="1:31" x14ac:dyDescent="0.2">
      <c r="B14" s="21" t="s">
        <v>31</v>
      </c>
      <c r="C14" s="22">
        <v>5</v>
      </c>
      <c r="D14" s="21" t="s">
        <v>31</v>
      </c>
      <c r="E14" s="22" t="s">
        <v>863</v>
      </c>
      <c r="F14" s="22" t="s">
        <v>864</v>
      </c>
      <c r="G14" s="22" t="s">
        <v>865</v>
      </c>
      <c r="H14" s="22" t="s">
        <v>866</v>
      </c>
      <c r="I14" s="18" t="s">
        <v>269</v>
      </c>
      <c r="J14" s="93" t="s">
        <v>598</v>
      </c>
      <c r="K14" s="18" t="s">
        <v>269</v>
      </c>
      <c r="L14" s="18" t="s">
        <v>269</v>
      </c>
      <c r="M14" s="18" t="s">
        <v>269</v>
      </c>
      <c r="N14" s="21" t="s">
        <v>32</v>
      </c>
      <c r="O14" s="18" t="s">
        <v>269</v>
      </c>
      <c r="P14" s="18" t="s">
        <v>269</v>
      </c>
      <c r="Q14" s="94" t="s">
        <v>578</v>
      </c>
      <c r="R14" s="18" t="s">
        <v>269</v>
      </c>
      <c r="S14" s="93" t="s">
        <v>585</v>
      </c>
      <c r="T14" s="18" t="s">
        <v>269</v>
      </c>
      <c r="U14" s="25"/>
      <c r="V14" s="18" t="s">
        <v>269</v>
      </c>
      <c r="W14" s="38" t="str">
        <f>_xlfn.IFS(AND(COUNTIF(U14,"SCB0*")=1, 'PCH144'!D60&gt;=2), "See the Notice *2", AND(COUNTIF(U14,"SCB7*")=1, 'PCH144'!K60&gt;=2), "See the Notice *2", TRUE, "")</f>
        <v/>
      </c>
      <c r="X14" s="19"/>
      <c r="Y14" s="20" t="s">
        <v>267</v>
      </c>
      <c r="Z14" s="20" t="s">
        <v>257</v>
      </c>
      <c r="AA14" s="19"/>
      <c r="AB14" s="19"/>
    </row>
    <row r="15" spans="1:31" x14ac:dyDescent="0.2">
      <c r="B15" s="21" t="s">
        <v>33</v>
      </c>
      <c r="C15" s="22">
        <v>6</v>
      </c>
      <c r="D15" s="21" t="s">
        <v>33</v>
      </c>
      <c r="E15" s="22" t="s">
        <v>867</v>
      </c>
      <c r="F15" s="22" t="s">
        <v>868</v>
      </c>
      <c r="G15" s="22" t="s">
        <v>869</v>
      </c>
      <c r="H15" s="22" t="s">
        <v>870</v>
      </c>
      <c r="I15" s="18" t="s">
        <v>269</v>
      </c>
      <c r="J15" s="18" t="s">
        <v>269</v>
      </c>
      <c r="K15" s="18" t="s">
        <v>269</v>
      </c>
      <c r="L15" s="18" t="s">
        <v>269</v>
      </c>
      <c r="M15" s="18" t="s">
        <v>269</v>
      </c>
      <c r="N15" s="18" t="s">
        <v>269</v>
      </c>
      <c r="O15" s="18" t="s">
        <v>269</v>
      </c>
      <c r="P15" s="18" t="s">
        <v>269</v>
      </c>
      <c r="Q15" s="94" t="s">
        <v>579</v>
      </c>
      <c r="R15" s="18" t="s">
        <v>269</v>
      </c>
      <c r="S15" s="93" t="s">
        <v>586</v>
      </c>
      <c r="T15" s="18" t="s">
        <v>269</v>
      </c>
      <c r="U15" s="25"/>
      <c r="V15" s="18" t="s">
        <v>269</v>
      </c>
      <c r="W15" s="38" t="str">
        <f>_xlfn.IFS(AND(COUNTIF(U15,"SCB0*")=1, 'PCH144'!D60&gt;=2), "See the Notice *2", TRUE, "")</f>
        <v/>
      </c>
      <c r="X15" s="19"/>
      <c r="Y15" s="20" t="s">
        <v>268</v>
      </c>
      <c r="Z15" s="20" t="s">
        <v>257</v>
      </c>
      <c r="AA15" s="19"/>
      <c r="AB15" s="19"/>
    </row>
    <row r="16" spans="1:31" x14ac:dyDescent="0.2">
      <c r="B16" s="21" t="s">
        <v>34</v>
      </c>
      <c r="C16" s="22">
        <v>7</v>
      </c>
      <c r="D16" s="21" t="s">
        <v>34</v>
      </c>
      <c r="E16" s="22" t="s">
        <v>871</v>
      </c>
      <c r="F16" s="22" t="s">
        <v>872</v>
      </c>
      <c r="G16" s="22" t="s">
        <v>873</v>
      </c>
      <c r="H16" s="22" t="s">
        <v>874</v>
      </c>
      <c r="I16" s="18" t="s">
        <v>269</v>
      </c>
      <c r="J16" s="18" t="s">
        <v>269</v>
      </c>
      <c r="K16" s="18" t="s">
        <v>269</v>
      </c>
      <c r="L16" s="18" t="s">
        <v>269</v>
      </c>
      <c r="M16" s="18" t="s">
        <v>269</v>
      </c>
      <c r="N16" s="18" t="s">
        <v>269</v>
      </c>
      <c r="O16" s="18" t="s">
        <v>269</v>
      </c>
      <c r="P16" s="18" t="s">
        <v>269</v>
      </c>
      <c r="Q16" s="94" t="s">
        <v>580</v>
      </c>
      <c r="R16" s="18" t="s">
        <v>269</v>
      </c>
      <c r="S16" s="93" t="s">
        <v>587</v>
      </c>
      <c r="T16" s="18" t="s">
        <v>269</v>
      </c>
      <c r="U16" s="25"/>
      <c r="V16" s="18" t="s">
        <v>269</v>
      </c>
      <c r="W16" s="38" t="str">
        <f>_xlfn.IFS(AND(COUNTIF(U16,"SCB0*")=1, 'PCH144'!D60&gt;=2), "See the Notice *2", TRUE, "")</f>
        <v/>
      </c>
      <c r="X16" s="19"/>
      <c r="Y16" s="20" t="s">
        <v>268</v>
      </c>
      <c r="Z16" s="20" t="s">
        <v>257</v>
      </c>
      <c r="AA16" s="19"/>
      <c r="AB16" s="19"/>
    </row>
    <row r="17" spans="2:28" x14ac:dyDescent="0.2">
      <c r="B17" s="21" t="s">
        <v>39</v>
      </c>
      <c r="C17" s="22">
        <v>8</v>
      </c>
      <c r="D17" s="21" t="s">
        <v>39</v>
      </c>
      <c r="E17" s="22" t="s">
        <v>883</v>
      </c>
      <c r="F17" s="22" t="s">
        <v>884</v>
      </c>
      <c r="G17" s="22" t="s">
        <v>885</v>
      </c>
      <c r="H17" s="22" t="s">
        <v>886</v>
      </c>
      <c r="I17" s="18" t="s">
        <v>269</v>
      </c>
      <c r="J17" s="93" t="s">
        <v>599</v>
      </c>
      <c r="K17" s="18" t="s">
        <v>269</v>
      </c>
      <c r="L17" s="95" t="s">
        <v>617</v>
      </c>
      <c r="M17" s="21" t="s">
        <v>40</v>
      </c>
      <c r="N17" s="21" t="s">
        <v>41</v>
      </c>
      <c r="O17" s="21" t="s">
        <v>42</v>
      </c>
      <c r="P17" s="18" t="s">
        <v>269</v>
      </c>
      <c r="Q17" s="18" t="s">
        <v>269</v>
      </c>
      <c r="R17" s="21" t="s">
        <v>270</v>
      </c>
      <c r="S17" s="93" t="s">
        <v>590</v>
      </c>
      <c r="T17" s="18" t="s">
        <v>269</v>
      </c>
      <c r="U17" s="25"/>
      <c r="V17" s="18" t="s">
        <v>269</v>
      </c>
      <c r="W17" s="38" t="str">
        <f>_xlfn.IFS(AND(COUNTIF(U17,"SCB0*")=1, 'PCH144'!D60&gt;=2), "See the Notice *2", AND(COUNTIF(U17,"SCB7*")=1, 'PCH144'!K60&gt;=2), "See the Notice *2", TRUE, "")</f>
        <v/>
      </c>
      <c r="X17" s="19"/>
      <c r="Y17" s="20" t="s">
        <v>268</v>
      </c>
      <c r="Z17" s="20" t="s">
        <v>257</v>
      </c>
      <c r="AA17" s="19"/>
      <c r="AB17" s="19"/>
    </row>
    <row r="18" spans="2:28" x14ac:dyDescent="0.2">
      <c r="B18" s="21" t="s">
        <v>43</v>
      </c>
      <c r="C18" s="22">
        <v>9</v>
      </c>
      <c r="D18" s="21" t="s">
        <v>43</v>
      </c>
      <c r="E18" s="22" t="s">
        <v>887</v>
      </c>
      <c r="F18" s="22" t="s">
        <v>888</v>
      </c>
      <c r="G18" s="22" t="s">
        <v>889</v>
      </c>
      <c r="H18" s="22" t="s">
        <v>890</v>
      </c>
      <c r="I18" s="18" t="s">
        <v>269</v>
      </c>
      <c r="J18" s="93" t="s">
        <v>600</v>
      </c>
      <c r="K18" s="96" t="s">
        <v>601</v>
      </c>
      <c r="L18" s="95" t="s">
        <v>618</v>
      </c>
      <c r="M18" s="21" t="s">
        <v>44</v>
      </c>
      <c r="N18" s="21" t="s">
        <v>45</v>
      </c>
      <c r="O18" s="21" t="s">
        <v>46</v>
      </c>
      <c r="P18" s="18" t="s">
        <v>269</v>
      </c>
      <c r="Q18" s="18" t="s">
        <v>269</v>
      </c>
      <c r="R18" s="18" t="s">
        <v>269</v>
      </c>
      <c r="S18" s="93" t="s">
        <v>591</v>
      </c>
      <c r="T18" s="18" t="s">
        <v>269</v>
      </c>
      <c r="U18" s="25"/>
      <c r="V18" s="18" t="s">
        <v>269</v>
      </c>
      <c r="W18" s="38" t="str">
        <f>_xlfn.IFS(AND(COUNTIF(U18,"SCB0*")=1, 'PCH144'!D60&gt;=2), "See the Notice *2", AND(COUNTIF(U18,"SCB7*")=1, 'PCH144'!K60&gt;=2), "See the Notice *2", TRUE, "")</f>
        <v/>
      </c>
      <c r="X18" s="19"/>
      <c r="Y18" s="20" t="s">
        <v>268</v>
      </c>
      <c r="Z18" s="20" t="s">
        <v>257</v>
      </c>
      <c r="AA18" s="19"/>
      <c r="AB18" s="19"/>
    </row>
    <row r="19" spans="2:28" x14ac:dyDescent="0.2">
      <c r="B19" s="21" t="s">
        <v>47</v>
      </c>
      <c r="C19" s="22">
        <v>10</v>
      </c>
      <c r="D19" s="21" t="s">
        <v>47</v>
      </c>
      <c r="E19" s="22" t="s">
        <v>891</v>
      </c>
      <c r="F19" s="22" t="s">
        <v>892</v>
      </c>
      <c r="G19" s="22" t="s">
        <v>893</v>
      </c>
      <c r="H19" s="22" t="s">
        <v>894</v>
      </c>
      <c r="I19" s="18" t="s">
        <v>269</v>
      </c>
      <c r="J19" s="93" t="s">
        <v>602</v>
      </c>
      <c r="K19" s="96" t="s">
        <v>603</v>
      </c>
      <c r="L19" s="95" t="s">
        <v>619</v>
      </c>
      <c r="M19" s="21" t="s">
        <v>48</v>
      </c>
      <c r="N19" s="18" t="s">
        <v>269</v>
      </c>
      <c r="O19" s="21" t="s">
        <v>49</v>
      </c>
      <c r="P19" s="18" t="s">
        <v>269</v>
      </c>
      <c r="Q19" s="18" t="s">
        <v>269</v>
      </c>
      <c r="R19" s="18" t="s">
        <v>269</v>
      </c>
      <c r="S19" s="93" t="s">
        <v>592</v>
      </c>
      <c r="T19" s="18" t="s">
        <v>269</v>
      </c>
      <c r="U19" s="25"/>
      <c r="V19" s="18" t="s">
        <v>269</v>
      </c>
      <c r="W19" s="38" t="str">
        <f>_xlfn.IFS(AND(COUNTIF(U19,"SCB0*")=1, 'PCH144'!D60&gt;=2), "See the Notice *2", AND(COUNTIF(U19,"SCB7*")=1, 'PCH144'!K60&gt;=2), "See the Notice *2", TRUE, "")</f>
        <v/>
      </c>
      <c r="X19" s="19"/>
      <c r="Y19" s="20" t="s">
        <v>268</v>
      </c>
      <c r="Z19" s="20" t="s">
        <v>257</v>
      </c>
      <c r="AA19" s="19"/>
      <c r="AB19" s="19"/>
    </row>
    <row r="20" spans="2:28" x14ac:dyDescent="0.2">
      <c r="B20" s="21" t="s">
        <v>50</v>
      </c>
      <c r="C20" s="22">
        <v>11</v>
      </c>
      <c r="D20" s="21" t="s">
        <v>50</v>
      </c>
      <c r="E20" s="22" t="s">
        <v>895</v>
      </c>
      <c r="F20" s="22" t="s">
        <v>896</v>
      </c>
      <c r="G20" s="22" t="s">
        <v>897</v>
      </c>
      <c r="H20" s="22" t="s">
        <v>898</v>
      </c>
      <c r="I20" s="18" t="s">
        <v>269</v>
      </c>
      <c r="J20" s="93" t="s">
        <v>604</v>
      </c>
      <c r="K20" s="18" t="s">
        <v>269</v>
      </c>
      <c r="L20" s="95" t="s">
        <v>620</v>
      </c>
      <c r="M20" s="21" t="s">
        <v>51</v>
      </c>
      <c r="N20" s="18" t="s">
        <v>269</v>
      </c>
      <c r="O20" s="21" t="s">
        <v>52</v>
      </c>
      <c r="P20" s="18" t="s">
        <v>269</v>
      </c>
      <c r="Q20" s="18" t="s">
        <v>269</v>
      </c>
      <c r="R20" s="18" t="s">
        <v>269</v>
      </c>
      <c r="S20" s="18" t="s">
        <v>269</v>
      </c>
      <c r="T20" s="18" t="s">
        <v>269</v>
      </c>
      <c r="U20" s="24"/>
      <c r="V20" s="18" t="s">
        <v>269</v>
      </c>
      <c r="W20" s="38" t="str">
        <f>_xlfn.IFS(AND(COUNTIF(U20,"SCB*")=1, 'PCH144'!K60&gt;=2), "See the Notice *2", TRUE, "")</f>
        <v/>
      </c>
      <c r="X20" s="19"/>
      <c r="Y20" s="20" t="s">
        <v>268</v>
      </c>
      <c r="Z20" s="20" t="s">
        <v>257</v>
      </c>
      <c r="AA20" s="19"/>
      <c r="AB20" s="19"/>
    </row>
    <row r="21" spans="2:28" x14ac:dyDescent="0.2">
      <c r="B21" s="21" t="s">
        <v>53</v>
      </c>
      <c r="C21" s="22">
        <v>12</v>
      </c>
      <c r="D21" s="21" t="s">
        <v>53</v>
      </c>
      <c r="E21" s="22" t="s">
        <v>899</v>
      </c>
      <c r="F21" s="22" t="s">
        <v>900</v>
      </c>
      <c r="G21" s="22" t="s">
        <v>901</v>
      </c>
      <c r="H21" s="22" t="s">
        <v>902</v>
      </c>
      <c r="I21" s="18" t="s">
        <v>269</v>
      </c>
      <c r="J21" s="18" t="s">
        <v>269</v>
      </c>
      <c r="K21" s="18" t="s">
        <v>269</v>
      </c>
      <c r="L21" s="95" t="s">
        <v>621</v>
      </c>
      <c r="M21" s="21" t="s">
        <v>54</v>
      </c>
      <c r="N21" s="18" t="s">
        <v>269</v>
      </c>
      <c r="O21" s="21" t="s">
        <v>55</v>
      </c>
      <c r="P21" s="18" t="s">
        <v>269</v>
      </c>
      <c r="Q21" s="18" t="s">
        <v>269</v>
      </c>
      <c r="R21" s="18" t="s">
        <v>269</v>
      </c>
      <c r="S21" s="18" t="s">
        <v>269</v>
      </c>
      <c r="T21" s="18" t="s">
        <v>269</v>
      </c>
      <c r="U21" s="24"/>
      <c r="V21" s="18" t="s">
        <v>269</v>
      </c>
      <c r="W21" s="38" t="str">
        <f>_xlfn.IFS(AND(COUNTIF(U21,"SCB*")=1, 'PCH144'!K60&gt;=2), "See the Notice *2", TRUE, "")</f>
        <v/>
      </c>
      <c r="X21" s="19"/>
      <c r="Y21" s="20" t="s">
        <v>268</v>
      </c>
      <c r="Z21" s="20" t="s">
        <v>257</v>
      </c>
      <c r="AA21" s="19"/>
      <c r="AB21" s="19"/>
    </row>
    <row r="22" spans="2:28" x14ac:dyDescent="0.2">
      <c r="B22" s="21" t="s">
        <v>59</v>
      </c>
      <c r="C22" s="22">
        <v>13</v>
      </c>
      <c r="D22" s="21" t="s">
        <v>59</v>
      </c>
      <c r="E22" s="22" t="s">
        <v>907</v>
      </c>
      <c r="F22" s="22" t="s">
        <v>908</v>
      </c>
      <c r="G22" s="22" t="s">
        <v>909</v>
      </c>
      <c r="H22" s="22" t="s">
        <v>910</v>
      </c>
      <c r="I22" s="18" t="s">
        <v>269</v>
      </c>
      <c r="J22" s="93" t="s">
        <v>605</v>
      </c>
      <c r="K22" s="18" t="s">
        <v>269</v>
      </c>
      <c r="L22" s="95" t="s">
        <v>623</v>
      </c>
      <c r="M22" s="18" t="s">
        <v>269</v>
      </c>
      <c r="N22" s="18" t="s">
        <v>269</v>
      </c>
      <c r="O22" s="18" t="s">
        <v>269</v>
      </c>
      <c r="P22" s="21" t="s">
        <v>60</v>
      </c>
      <c r="Q22" s="18" t="s">
        <v>269</v>
      </c>
      <c r="R22" s="18" t="s">
        <v>269</v>
      </c>
      <c r="S22" s="18" t="s">
        <v>269</v>
      </c>
      <c r="T22" s="18" t="s">
        <v>269</v>
      </c>
      <c r="U22" s="25"/>
      <c r="V22" s="18" t="s">
        <v>269</v>
      </c>
      <c r="W22" s="38" t="str">
        <f>_xlfn.IFS(AND(COUNTIF(U22,"SCB*")=1, 'PCH144'!J60&gt;=2), "See the Notice *2", TRUE, "")</f>
        <v/>
      </c>
      <c r="X22" s="19"/>
      <c r="Y22" s="20" t="s">
        <v>268</v>
      </c>
      <c r="Z22" s="20" t="s">
        <v>257</v>
      </c>
      <c r="AA22" s="19"/>
      <c r="AB22" s="19"/>
    </row>
    <row r="23" spans="2:28" x14ac:dyDescent="0.2">
      <c r="B23" s="21" t="s">
        <v>61</v>
      </c>
      <c r="C23" s="22">
        <v>14</v>
      </c>
      <c r="D23" s="21" t="s">
        <v>61</v>
      </c>
      <c r="E23" s="22" t="s">
        <v>911</v>
      </c>
      <c r="F23" s="22" t="s">
        <v>912</v>
      </c>
      <c r="G23" s="22" t="s">
        <v>913</v>
      </c>
      <c r="H23" s="22" t="s">
        <v>914</v>
      </c>
      <c r="I23" s="18" t="s">
        <v>269</v>
      </c>
      <c r="J23" s="93" t="s">
        <v>606</v>
      </c>
      <c r="K23" s="96" t="s">
        <v>607</v>
      </c>
      <c r="L23" s="95" t="s">
        <v>624</v>
      </c>
      <c r="M23" s="18" t="s">
        <v>269</v>
      </c>
      <c r="N23" s="18" t="s">
        <v>269</v>
      </c>
      <c r="O23" s="18" t="s">
        <v>269</v>
      </c>
      <c r="P23" s="21" t="s">
        <v>62</v>
      </c>
      <c r="Q23" s="18" t="s">
        <v>269</v>
      </c>
      <c r="R23" s="18" t="s">
        <v>269</v>
      </c>
      <c r="S23" s="18" t="s">
        <v>269</v>
      </c>
      <c r="T23" s="18" t="s">
        <v>269</v>
      </c>
      <c r="U23" s="25"/>
      <c r="V23" s="18" t="s">
        <v>269</v>
      </c>
      <c r="W23" s="38" t="str">
        <f>_xlfn.IFS(AND(COUNTIF(U23,"SCB*")=1, 'PCH144'!J60&gt;=2), "See the Notice *2", TRUE, "")</f>
        <v/>
      </c>
      <c r="X23" s="19"/>
      <c r="Y23" s="20" t="s">
        <v>268</v>
      </c>
      <c r="Z23" s="20" t="s">
        <v>257</v>
      </c>
      <c r="AA23" s="19"/>
      <c r="AB23" s="19"/>
    </row>
    <row r="24" spans="2:28" x14ac:dyDescent="0.2">
      <c r="B24" s="21" t="s">
        <v>63</v>
      </c>
      <c r="C24" s="22">
        <v>15</v>
      </c>
      <c r="D24" s="21" t="s">
        <v>63</v>
      </c>
      <c r="E24" s="22" t="s">
        <v>915</v>
      </c>
      <c r="F24" s="22" t="s">
        <v>916</v>
      </c>
      <c r="G24" s="22" t="s">
        <v>917</v>
      </c>
      <c r="H24" s="22" t="s">
        <v>918</v>
      </c>
      <c r="I24" s="18" t="s">
        <v>269</v>
      </c>
      <c r="J24" s="93" t="s">
        <v>608</v>
      </c>
      <c r="K24" s="96" t="s">
        <v>609</v>
      </c>
      <c r="L24" s="95" t="s">
        <v>625</v>
      </c>
      <c r="M24" s="18" t="s">
        <v>269</v>
      </c>
      <c r="N24" s="18" t="s">
        <v>269</v>
      </c>
      <c r="O24" s="18" t="s">
        <v>269</v>
      </c>
      <c r="P24" s="18" t="s">
        <v>269</v>
      </c>
      <c r="Q24" s="18" t="s">
        <v>269</v>
      </c>
      <c r="R24" s="18" t="s">
        <v>269</v>
      </c>
      <c r="S24" s="18" t="s">
        <v>269</v>
      </c>
      <c r="T24" s="18" t="s">
        <v>269</v>
      </c>
      <c r="U24" s="25"/>
      <c r="V24" s="18" t="s">
        <v>269</v>
      </c>
      <c r="W24" s="38" t="str">
        <f>_xlfn.IFS(AND(COUNTIF(U24,"SCB*")=1, 'PCH144'!J60&gt;=2), "See the Notice *2", TRUE, "")</f>
        <v/>
      </c>
      <c r="X24" s="19"/>
      <c r="Y24" s="20" t="s">
        <v>268</v>
      </c>
      <c r="Z24" s="20" t="s">
        <v>257</v>
      </c>
      <c r="AA24" s="19"/>
      <c r="AB24" s="19"/>
    </row>
    <row r="25" spans="2:28" x14ac:dyDescent="0.2">
      <c r="B25" s="21" t="s">
        <v>64</v>
      </c>
      <c r="C25" s="22">
        <v>16</v>
      </c>
      <c r="D25" s="21" t="s">
        <v>64</v>
      </c>
      <c r="E25" s="22" t="s">
        <v>919</v>
      </c>
      <c r="F25" s="22" t="s">
        <v>920</v>
      </c>
      <c r="G25" s="22" t="s">
        <v>921</v>
      </c>
      <c r="H25" s="22" t="s">
        <v>922</v>
      </c>
      <c r="I25" s="18" t="s">
        <v>269</v>
      </c>
      <c r="J25" s="93" t="s">
        <v>610</v>
      </c>
      <c r="K25" s="18" t="s">
        <v>269</v>
      </c>
      <c r="L25" s="95" t="s">
        <v>626</v>
      </c>
      <c r="M25" s="18" t="s">
        <v>269</v>
      </c>
      <c r="N25" s="18" t="s">
        <v>269</v>
      </c>
      <c r="O25" s="18" t="s">
        <v>269</v>
      </c>
      <c r="P25" s="18" t="s">
        <v>269</v>
      </c>
      <c r="Q25" s="18" t="s">
        <v>269</v>
      </c>
      <c r="R25" s="18" t="s">
        <v>269</v>
      </c>
      <c r="S25" s="18" t="s">
        <v>269</v>
      </c>
      <c r="T25" s="18" t="s">
        <v>269</v>
      </c>
      <c r="U25" s="25"/>
      <c r="V25" s="18" t="s">
        <v>269</v>
      </c>
      <c r="W25" s="38" t="str">
        <f>_xlfn.IFS(AND(COUNTIF(U25,"SCB*")=1, 'PCH144'!J60&gt;=2), "See the Notice *2", TRUE, "")</f>
        <v/>
      </c>
      <c r="X25" s="19"/>
      <c r="Y25" s="20" t="s">
        <v>268</v>
      </c>
      <c r="Z25" s="20" t="s">
        <v>257</v>
      </c>
      <c r="AA25" s="19"/>
      <c r="AB25" s="19"/>
    </row>
    <row r="26" spans="2:28" x14ac:dyDescent="0.2">
      <c r="B26" s="21" t="s">
        <v>65</v>
      </c>
      <c r="C26" s="22">
        <v>17</v>
      </c>
      <c r="D26" s="21" t="s">
        <v>65</v>
      </c>
      <c r="E26" s="22" t="s">
        <v>923</v>
      </c>
      <c r="F26" s="22" t="s">
        <v>924</v>
      </c>
      <c r="G26" s="22" t="s">
        <v>925</v>
      </c>
      <c r="H26" s="22" t="s">
        <v>926</v>
      </c>
      <c r="I26" s="18" t="s">
        <v>269</v>
      </c>
      <c r="J26" s="18" t="s">
        <v>269</v>
      </c>
      <c r="K26" s="18" t="s">
        <v>269</v>
      </c>
      <c r="L26" s="95" t="s">
        <v>627</v>
      </c>
      <c r="M26" s="18" t="s">
        <v>269</v>
      </c>
      <c r="N26" s="18" t="s">
        <v>269</v>
      </c>
      <c r="O26" s="18" t="s">
        <v>269</v>
      </c>
      <c r="P26" s="18" t="s">
        <v>269</v>
      </c>
      <c r="Q26" s="18" t="s">
        <v>269</v>
      </c>
      <c r="R26" s="18" t="s">
        <v>269</v>
      </c>
      <c r="S26" s="18" t="s">
        <v>269</v>
      </c>
      <c r="T26" s="18" t="s">
        <v>269</v>
      </c>
      <c r="U26" s="25"/>
      <c r="V26" s="18" t="s">
        <v>269</v>
      </c>
      <c r="W26" s="38" t="str">
        <f>_xlfn.IFS(AND(COUNTIF(U26,"SCB*")=1, 'PCH144'!J60&gt;=2), "See the Notice *2", TRUE, "")</f>
        <v/>
      </c>
      <c r="X26" s="19"/>
      <c r="Y26" s="20" t="s">
        <v>268</v>
      </c>
      <c r="Z26" s="20" t="s">
        <v>257</v>
      </c>
      <c r="AA26" s="19"/>
      <c r="AB26" s="19"/>
    </row>
    <row r="27" spans="2:28" x14ac:dyDescent="0.2">
      <c r="B27" s="28" t="s">
        <v>257</v>
      </c>
      <c r="C27" s="17">
        <v>18</v>
      </c>
      <c r="D27" s="18" t="s">
        <v>269</v>
      </c>
      <c r="E27" s="18" t="s">
        <v>269</v>
      </c>
      <c r="F27" s="18" t="s">
        <v>269</v>
      </c>
      <c r="G27" s="18" t="s">
        <v>269</v>
      </c>
      <c r="H27" s="18" t="s">
        <v>269</v>
      </c>
      <c r="I27" s="18" t="s">
        <v>269</v>
      </c>
      <c r="J27" s="18" t="s">
        <v>269</v>
      </c>
      <c r="K27" s="18" t="s">
        <v>269</v>
      </c>
      <c r="L27" s="18" t="s">
        <v>269</v>
      </c>
      <c r="M27" s="18" t="s">
        <v>269</v>
      </c>
      <c r="N27" s="18" t="s">
        <v>269</v>
      </c>
      <c r="O27" s="18" t="s">
        <v>269</v>
      </c>
      <c r="P27" s="18" t="s">
        <v>269</v>
      </c>
      <c r="Q27" s="18" t="s">
        <v>269</v>
      </c>
      <c r="R27" s="18" t="s">
        <v>269</v>
      </c>
      <c r="S27" s="18" t="s">
        <v>269</v>
      </c>
      <c r="T27" s="18" t="s">
        <v>269</v>
      </c>
      <c r="U27" s="28" t="s">
        <v>257</v>
      </c>
      <c r="V27" s="18" t="s">
        <v>269</v>
      </c>
      <c r="W27" s="38"/>
      <c r="X27" s="19" t="s">
        <v>544</v>
      </c>
      <c r="Y27" s="20" t="s">
        <v>555</v>
      </c>
      <c r="Z27" s="20" t="s">
        <v>555</v>
      </c>
      <c r="AA27" s="19"/>
      <c r="AB27" s="19"/>
    </row>
    <row r="28" spans="2:28" x14ac:dyDescent="0.2">
      <c r="B28" s="16" t="s">
        <v>256</v>
      </c>
      <c r="C28" s="17">
        <v>19</v>
      </c>
      <c r="D28" s="18" t="s">
        <v>269</v>
      </c>
      <c r="E28" s="18" t="s">
        <v>269</v>
      </c>
      <c r="F28" s="18" t="s">
        <v>269</v>
      </c>
      <c r="G28" s="18" t="s">
        <v>269</v>
      </c>
      <c r="H28" s="18" t="s">
        <v>269</v>
      </c>
      <c r="I28" s="18" t="s">
        <v>269</v>
      </c>
      <c r="J28" s="18" t="s">
        <v>269</v>
      </c>
      <c r="K28" s="18" t="s">
        <v>269</v>
      </c>
      <c r="L28" s="18" t="s">
        <v>269</v>
      </c>
      <c r="M28" s="18" t="s">
        <v>269</v>
      </c>
      <c r="N28" s="18" t="s">
        <v>269</v>
      </c>
      <c r="O28" s="18" t="s">
        <v>269</v>
      </c>
      <c r="P28" s="18" t="s">
        <v>269</v>
      </c>
      <c r="Q28" s="18" t="s">
        <v>269</v>
      </c>
      <c r="R28" s="18" t="s">
        <v>269</v>
      </c>
      <c r="S28" s="18" t="s">
        <v>269</v>
      </c>
      <c r="T28" s="18" t="s">
        <v>269</v>
      </c>
      <c r="U28" s="16" t="s">
        <v>256</v>
      </c>
      <c r="V28" s="18" t="s">
        <v>269</v>
      </c>
      <c r="W28" s="38"/>
      <c r="X28" s="19" t="s">
        <v>545</v>
      </c>
      <c r="Y28" s="20" t="s">
        <v>555</v>
      </c>
      <c r="Z28" s="20" t="s">
        <v>555</v>
      </c>
      <c r="AA28" s="19"/>
      <c r="AB28" s="19"/>
    </row>
    <row r="29" spans="2:28" x14ac:dyDescent="0.2">
      <c r="B29" s="21" t="s">
        <v>67</v>
      </c>
      <c r="C29" s="22">
        <v>20</v>
      </c>
      <c r="D29" s="21" t="s">
        <v>67</v>
      </c>
      <c r="E29" s="22" t="s">
        <v>895</v>
      </c>
      <c r="F29" s="22" t="s">
        <v>931</v>
      </c>
      <c r="G29" s="22" t="s">
        <v>897</v>
      </c>
      <c r="H29" s="108" t="s">
        <v>932</v>
      </c>
      <c r="I29" s="21" t="s">
        <v>68</v>
      </c>
      <c r="J29" s="93" t="s">
        <v>611</v>
      </c>
      <c r="K29" s="18" t="s">
        <v>269</v>
      </c>
      <c r="L29" s="95" t="s">
        <v>629</v>
      </c>
      <c r="M29" s="21" t="s">
        <v>25</v>
      </c>
      <c r="N29" s="18" t="s">
        <v>269</v>
      </c>
      <c r="O29" s="21" t="s">
        <v>69</v>
      </c>
      <c r="P29" s="18" t="s">
        <v>269</v>
      </c>
      <c r="Q29" s="18" t="s">
        <v>269</v>
      </c>
      <c r="R29" s="18" t="s">
        <v>269</v>
      </c>
      <c r="S29" s="18" t="s">
        <v>269</v>
      </c>
      <c r="T29" s="18" t="s">
        <v>269</v>
      </c>
      <c r="U29" s="25"/>
      <c r="V29" s="18" t="s">
        <v>269</v>
      </c>
      <c r="W29" s="38" t="str">
        <f>_xlfn.IFS(AND(COUNTIF(U29,"SCB*")=1, 'PCH144'!I60&gt;=2), "See the Notice *2", TRUE, "")</f>
        <v/>
      </c>
      <c r="X29" s="19"/>
      <c r="Y29" s="20" t="s">
        <v>268</v>
      </c>
      <c r="Z29" s="20" t="s">
        <v>257</v>
      </c>
      <c r="AA29" s="19"/>
      <c r="AB29" s="19"/>
    </row>
    <row r="30" spans="2:28" x14ac:dyDescent="0.2">
      <c r="B30" s="21" t="s">
        <v>70</v>
      </c>
      <c r="C30" s="22">
        <v>21</v>
      </c>
      <c r="D30" s="21" t="s">
        <v>70</v>
      </c>
      <c r="E30" s="22" t="s">
        <v>891</v>
      </c>
      <c r="F30" s="22" t="s">
        <v>900</v>
      </c>
      <c r="G30" s="22" t="s">
        <v>893</v>
      </c>
      <c r="H30" s="108" t="s">
        <v>902</v>
      </c>
      <c r="I30" s="21" t="s">
        <v>71</v>
      </c>
      <c r="J30" s="93" t="s">
        <v>612</v>
      </c>
      <c r="K30" s="96" t="s">
        <v>613</v>
      </c>
      <c r="L30" s="95" t="s">
        <v>630</v>
      </c>
      <c r="M30" s="21" t="s">
        <v>27</v>
      </c>
      <c r="N30" s="18" t="s">
        <v>269</v>
      </c>
      <c r="O30" s="21" t="s">
        <v>72</v>
      </c>
      <c r="P30" s="18" t="s">
        <v>269</v>
      </c>
      <c r="Q30" s="18" t="s">
        <v>269</v>
      </c>
      <c r="R30" s="18" t="s">
        <v>269</v>
      </c>
      <c r="S30" s="18" t="s">
        <v>269</v>
      </c>
      <c r="T30" s="18" t="s">
        <v>269</v>
      </c>
      <c r="U30" s="25"/>
      <c r="V30" s="18" t="s">
        <v>269</v>
      </c>
      <c r="W30" s="38" t="str">
        <f>_xlfn.IFS(AND(COUNTIF(U30,"SCB*")=1, 'PCH144'!I60&gt;=2), "See the Notice *2", TRUE, "")</f>
        <v/>
      </c>
      <c r="X30" s="19"/>
      <c r="Y30" s="20" t="s">
        <v>268</v>
      </c>
      <c r="Z30" s="20" t="s">
        <v>257</v>
      </c>
      <c r="AA30" s="19"/>
      <c r="AB30" s="19"/>
    </row>
    <row r="31" spans="2:28" x14ac:dyDescent="0.2">
      <c r="B31" s="21" t="s">
        <v>80</v>
      </c>
      <c r="C31" s="22">
        <v>22</v>
      </c>
      <c r="D31" s="21" t="s">
        <v>80</v>
      </c>
      <c r="E31" s="109" t="s">
        <v>933</v>
      </c>
      <c r="F31" s="109" t="s">
        <v>884</v>
      </c>
      <c r="G31" s="109" t="s">
        <v>934</v>
      </c>
      <c r="H31" s="109" t="s">
        <v>886</v>
      </c>
      <c r="I31" s="18" t="s">
        <v>269</v>
      </c>
      <c r="J31" s="18" t="s">
        <v>269</v>
      </c>
      <c r="K31" s="18" t="s">
        <v>269</v>
      </c>
      <c r="L31" s="95" t="s">
        <v>634</v>
      </c>
      <c r="M31" s="21" t="s">
        <v>81</v>
      </c>
      <c r="N31" s="18" t="s">
        <v>269</v>
      </c>
      <c r="O31" s="18" t="s">
        <v>269</v>
      </c>
      <c r="P31" s="18" t="s">
        <v>269</v>
      </c>
      <c r="Q31" s="18" t="s">
        <v>269</v>
      </c>
      <c r="R31" s="18" t="s">
        <v>269</v>
      </c>
      <c r="S31" s="18" t="s">
        <v>269</v>
      </c>
      <c r="T31" s="18" t="s">
        <v>269</v>
      </c>
      <c r="U31" s="24"/>
      <c r="V31" s="18" t="s">
        <v>269</v>
      </c>
      <c r="W31" s="38" t="str">
        <f>_xlfn.IFS(AND(COUNTIF(U31,"SCB*")=1, 'PCH144'!I60&gt;=2), "See the Notice *2", TRUE, "")</f>
        <v/>
      </c>
      <c r="X31" s="19"/>
      <c r="Y31" s="20" t="s">
        <v>268</v>
      </c>
      <c r="Z31" s="20" t="s">
        <v>257</v>
      </c>
      <c r="AA31" s="19"/>
      <c r="AB31" s="19"/>
    </row>
    <row r="32" spans="2:28" x14ac:dyDescent="0.2">
      <c r="B32" s="21" t="s">
        <v>82</v>
      </c>
      <c r="C32" s="22">
        <v>23</v>
      </c>
      <c r="D32" s="21" t="s">
        <v>82</v>
      </c>
      <c r="E32" s="109" t="s">
        <v>875</v>
      </c>
      <c r="F32" s="109" t="s">
        <v>935</v>
      </c>
      <c r="G32" s="109" t="s">
        <v>877</v>
      </c>
      <c r="H32" s="109" t="s">
        <v>936</v>
      </c>
      <c r="I32" s="18" t="s">
        <v>269</v>
      </c>
      <c r="J32" s="18" t="s">
        <v>269</v>
      </c>
      <c r="K32" s="18" t="s">
        <v>269</v>
      </c>
      <c r="L32" s="18" t="s">
        <v>269</v>
      </c>
      <c r="M32" s="21" t="s">
        <v>83</v>
      </c>
      <c r="N32" s="18" t="s">
        <v>269</v>
      </c>
      <c r="O32" s="18" t="s">
        <v>269</v>
      </c>
      <c r="P32" s="18" t="s">
        <v>269</v>
      </c>
      <c r="Q32" s="18" t="s">
        <v>269</v>
      </c>
      <c r="R32" s="18" t="s">
        <v>269</v>
      </c>
      <c r="S32" s="18" t="s">
        <v>269</v>
      </c>
      <c r="T32" s="18" t="s">
        <v>269</v>
      </c>
      <c r="U32" s="24"/>
      <c r="V32" s="18" t="s">
        <v>269</v>
      </c>
      <c r="W32" s="38"/>
      <c r="X32" s="19"/>
      <c r="Y32" s="20" t="s">
        <v>268</v>
      </c>
      <c r="Z32" s="20" t="s">
        <v>257</v>
      </c>
      <c r="AA32" s="19"/>
      <c r="AB32" s="19"/>
    </row>
    <row r="33" spans="2:28" x14ac:dyDescent="0.2">
      <c r="B33" s="21" t="s">
        <v>84</v>
      </c>
      <c r="C33" s="22">
        <v>24</v>
      </c>
      <c r="D33" s="21" t="s">
        <v>84</v>
      </c>
      <c r="E33" s="109" t="s">
        <v>871</v>
      </c>
      <c r="F33" s="109" t="s">
        <v>880</v>
      </c>
      <c r="G33" s="109" t="s">
        <v>873</v>
      </c>
      <c r="H33" s="109" t="s">
        <v>882</v>
      </c>
      <c r="I33" s="18" t="s">
        <v>269</v>
      </c>
      <c r="J33" s="18" t="s">
        <v>269</v>
      </c>
      <c r="K33" s="18" t="s">
        <v>269</v>
      </c>
      <c r="L33" s="18" t="s">
        <v>269</v>
      </c>
      <c r="M33" s="21" t="s">
        <v>85</v>
      </c>
      <c r="N33" s="18" t="s">
        <v>269</v>
      </c>
      <c r="O33" s="18" t="s">
        <v>269</v>
      </c>
      <c r="P33" s="18" t="s">
        <v>269</v>
      </c>
      <c r="Q33" s="18" t="s">
        <v>269</v>
      </c>
      <c r="R33" s="18" t="s">
        <v>269</v>
      </c>
      <c r="S33" s="18" t="s">
        <v>269</v>
      </c>
      <c r="T33" s="18" t="s">
        <v>269</v>
      </c>
      <c r="U33" s="24"/>
      <c r="V33" s="18" t="s">
        <v>269</v>
      </c>
      <c r="W33" s="38"/>
      <c r="X33" s="19"/>
      <c r="Y33" s="20" t="s">
        <v>268</v>
      </c>
      <c r="Z33" s="20" t="s">
        <v>257</v>
      </c>
      <c r="AA33" s="19"/>
      <c r="AB33" s="19"/>
    </row>
    <row r="34" spans="2:28" x14ac:dyDescent="0.2">
      <c r="B34" s="21" t="s">
        <v>86</v>
      </c>
      <c r="C34" s="22">
        <v>25</v>
      </c>
      <c r="D34" s="21" t="s">
        <v>86</v>
      </c>
      <c r="E34" s="109" t="s">
        <v>867</v>
      </c>
      <c r="F34" s="109" t="s">
        <v>876</v>
      </c>
      <c r="G34" s="109" t="s">
        <v>869</v>
      </c>
      <c r="H34" s="109" t="s">
        <v>878</v>
      </c>
      <c r="I34" s="18" t="s">
        <v>269</v>
      </c>
      <c r="J34" s="18" t="s">
        <v>269</v>
      </c>
      <c r="K34" s="18" t="s">
        <v>269</v>
      </c>
      <c r="L34" s="18" t="s">
        <v>269</v>
      </c>
      <c r="M34" s="21" t="s">
        <v>87</v>
      </c>
      <c r="N34" s="18" t="s">
        <v>269</v>
      </c>
      <c r="O34" s="18" t="s">
        <v>269</v>
      </c>
      <c r="P34" s="18" t="s">
        <v>269</v>
      </c>
      <c r="Q34" s="18" t="s">
        <v>269</v>
      </c>
      <c r="R34" s="18" t="s">
        <v>269</v>
      </c>
      <c r="S34" s="18" t="s">
        <v>269</v>
      </c>
      <c r="T34" s="18" t="s">
        <v>269</v>
      </c>
      <c r="U34" s="25"/>
      <c r="V34" s="18" t="s">
        <v>269</v>
      </c>
      <c r="W34" s="38"/>
      <c r="X34" s="19"/>
      <c r="Y34" s="20" t="s">
        <v>268</v>
      </c>
      <c r="Z34" s="20" t="s">
        <v>257</v>
      </c>
      <c r="AA34" s="19"/>
      <c r="AB34" s="19"/>
    </row>
    <row r="35" spans="2:28" x14ac:dyDescent="0.2">
      <c r="B35" s="21" t="s">
        <v>88</v>
      </c>
      <c r="C35" s="22">
        <v>26</v>
      </c>
      <c r="D35" s="21" t="s">
        <v>88</v>
      </c>
      <c r="E35" s="109" t="s">
        <v>863</v>
      </c>
      <c r="F35" s="109" t="s">
        <v>872</v>
      </c>
      <c r="G35" s="109" t="s">
        <v>865</v>
      </c>
      <c r="H35" s="109" t="s">
        <v>874</v>
      </c>
      <c r="I35" s="18" t="s">
        <v>269</v>
      </c>
      <c r="J35" s="18" t="s">
        <v>269</v>
      </c>
      <c r="K35" s="18" t="s">
        <v>269</v>
      </c>
      <c r="L35" s="18" t="s">
        <v>269</v>
      </c>
      <c r="M35" s="21" t="s">
        <v>89</v>
      </c>
      <c r="N35" s="18" t="s">
        <v>269</v>
      </c>
      <c r="O35" s="18" t="s">
        <v>269</v>
      </c>
      <c r="P35" s="18" t="s">
        <v>269</v>
      </c>
      <c r="Q35" s="18" t="s">
        <v>269</v>
      </c>
      <c r="R35" s="18" t="s">
        <v>269</v>
      </c>
      <c r="S35" s="18" t="s">
        <v>269</v>
      </c>
      <c r="T35" s="18" t="s">
        <v>269</v>
      </c>
      <c r="U35" s="25"/>
      <c r="V35" s="18" t="s">
        <v>269</v>
      </c>
      <c r="W35" s="38"/>
      <c r="X35" s="19"/>
      <c r="Y35" s="20" t="s">
        <v>268</v>
      </c>
      <c r="Z35" s="20" t="s">
        <v>257</v>
      </c>
      <c r="AA35" s="19"/>
      <c r="AB35" s="19"/>
    </row>
    <row r="36" spans="2:28" x14ac:dyDescent="0.2">
      <c r="B36" s="21" t="s">
        <v>92</v>
      </c>
      <c r="C36" s="22">
        <v>27</v>
      </c>
      <c r="D36" s="21" t="s">
        <v>92</v>
      </c>
      <c r="E36" s="109" t="s">
        <v>927</v>
      </c>
      <c r="F36" s="109" t="s">
        <v>864</v>
      </c>
      <c r="G36" s="109" t="s">
        <v>929</v>
      </c>
      <c r="H36" s="109" t="s">
        <v>866</v>
      </c>
      <c r="I36" s="18" t="s">
        <v>269</v>
      </c>
      <c r="J36" s="93" t="s">
        <v>635</v>
      </c>
      <c r="K36" s="18" t="s">
        <v>269</v>
      </c>
      <c r="L36" s="93" t="s">
        <v>636</v>
      </c>
      <c r="M36" s="21" t="s">
        <v>93</v>
      </c>
      <c r="N36" s="18" t="s">
        <v>269</v>
      </c>
      <c r="O36" s="18" t="s">
        <v>269</v>
      </c>
      <c r="P36" s="18" t="s">
        <v>269</v>
      </c>
      <c r="Q36" s="18" t="s">
        <v>269</v>
      </c>
      <c r="R36" s="18" t="s">
        <v>269</v>
      </c>
      <c r="S36" s="18" t="s">
        <v>269</v>
      </c>
      <c r="T36" s="21" t="s">
        <v>271</v>
      </c>
      <c r="U36" s="25"/>
      <c r="V36" s="18" t="s">
        <v>269</v>
      </c>
      <c r="W36" s="38" t="str">
        <f>_xlfn.IFS(AND(COUNTIF(U36,"SCB*")=1, 'PCH144'!H60&gt;=2), "See the Notice *2", TRUE, "")</f>
        <v/>
      </c>
      <c r="X36" s="19"/>
      <c r="Y36" s="20" t="s">
        <v>268</v>
      </c>
      <c r="Z36" s="19" t="s">
        <v>559</v>
      </c>
      <c r="AA36" s="19"/>
      <c r="AB36" s="19"/>
    </row>
    <row r="37" spans="2:28" x14ac:dyDescent="0.2">
      <c r="B37" s="21" t="s">
        <v>94</v>
      </c>
      <c r="C37" s="22">
        <v>28</v>
      </c>
      <c r="D37" s="21" t="s">
        <v>94</v>
      </c>
      <c r="E37" s="109" t="s">
        <v>911</v>
      </c>
      <c r="F37" s="109" t="s">
        <v>931</v>
      </c>
      <c r="G37" s="109" t="s">
        <v>913</v>
      </c>
      <c r="H37" s="109" t="s">
        <v>932</v>
      </c>
      <c r="I37" s="18" t="s">
        <v>269</v>
      </c>
      <c r="J37" s="93" t="s">
        <v>637</v>
      </c>
      <c r="K37" s="93" t="s">
        <v>638</v>
      </c>
      <c r="L37" s="93" t="s">
        <v>639</v>
      </c>
      <c r="M37" s="21" t="s">
        <v>95</v>
      </c>
      <c r="N37" s="18" t="s">
        <v>269</v>
      </c>
      <c r="O37" s="18" t="s">
        <v>269</v>
      </c>
      <c r="P37" s="18" t="s">
        <v>269</v>
      </c>
      <c r="Q37" s="18" t="s">
        <v>269</v>
      </c>
      <c r="R37" s="18" t="s">
        <v>269</v>
      </c>
      <c r="S37" s="18" t="s">
        <v>269</v>
      </c>
      <c r="T37" s="21" t="s">
        <v>272</v>
      </c>
      <c r="U37" s="25"/>
      <c r="V37" s="18" t="s">
        <v>269</v>
      </c>
      <c r="W37" s="38" t="str">
        <f>_xlfn.IFS(AND(COUNTIF(U37,"SCB*")=1, 'PCH144'!H60&gt;=2), "See the Notice *2", TRUE, "")</f>
        <v/>
      </c>
      <c r="X37" s="19"/>
      <c r="Y37" s="20" t="s">
        <v>268</v>
      </c>
      <c r="Z37" s="19" t="s">
        <v>559</v>
      </c>
      <c r="AA37" s="19"/>
      <c r="AB37" s="19"/>
    </row>
    <row r="38" spans="2:28" x14ac:dyDescent="0.2">
      <c r="B38" s="21" t="s">
        <v>96</v>
      </c>
      <c r="C38" s="22">
        <v>29</v>
      </c>
      <c r="D38" s="21" t="s">
        <v>96</v>
      </c>
      <c r="E38" s="109" t="s">
        <v>923</v>
      </c>
      <c r="F38" s="109" t="s">
        <v>916</v>
      </c>
      <c r="G38" s="109" t="s">
        <v>925</v>
      </c>
      <c r="H38" s="109" t="s">
        <v>918</v>
      </c>
      <c r="I38" s="18" t="s">
        <v>269</v>
      </c>
      <c r="J38" s="93" t="s">
        <v>640</v>
      </c>
      <c r="K38" s="93" t="s">
        <v>641</v>
      </c>
      <c r="L38" s="93" t="s">
        <v>642</v>
      </c>
      <c r="M38" s="21" t="s">
        <v>97</v>
      </c>
      <c r="N38" s="21" t="s">
        <v>98</v>
      </c>
      <c r="O38" s="18" t="s">
        <v>269</v>
      </c>
      <c r="P38" s="18" t="s">
        <v>269</v>
      </c>
      <c r="Q38" s="18" t="s">
        <v>269</v>
      </c>
      <c r="R38" s="18" t="s">
        <v>269</v>
      </c>
      <c r="S38" s="18" t="s">
        <v>269</v>
      </c>
      <c r="T38" s="21" t="s">
        <v>273</v>
      </c>
      <c r="U38" s="25"/>
      <c r="V38" s="18" t="s">
        <v>269</v>
      </c>
      <c r="W38" s="38" t="str">
        <f>_xlfn.IFS(AND(COUNTIF(U38,"SCB*")=1, 'PCH144'!H60&gt;=2), "See the Notice *2", TRUE, "")</f>
        <v/>
      </c>
      <c r="X38" s="19"/>
      <c r="Y38" s="20" t="s">
        <v>268</v>
      </c>
      <c r="Z38" s="19" t="s">
        <v>559</v>
      </c>
      <c r="AA38" s="19"/>
      <c r="AB38" s="19"/>
    </row>
    <row r="39" spans="2:28" x14ac:dyDescent="0.2">
      <c r="B39" s="21" t="s">
        <v>99</v>
      </c>
      <c r="C39" s="22">
        <v>30</v>
      </c>
      <c r="D39" s="21" t="s">
        <v>99</v>
      </c>
      <c r="E39" s="109" t="s">
        <v>907</v>
      </c>
      <c r="F39" s="109" t="s">
        <v>928</v>
      </c>
      <c r="G39" s="109" t="s">
        <v>909</v>
      </c>
      <c r="H39" s="109" t="s">
        <v>930</v>
      </c>
      <c r="I39" s="18" t="s">
        <v>269</v>
      </c>
      <c r="J39" s="93" t="s">
        <v>643</v>
      </c>
      <c r="K39" s="18" t="s">
        <v>269</v>
      </c>
      <c r="L39" s="93" t="s">
        <v>644</v>
      </c>
      <c r="M39" s="21" t="s">
        <v>100</v>
      </c>
      <c r="N39" s="21" t="s">
        <v>101</v>
      </c>
      <c r="O39" s="18" t="s">
        <v>269</v>
      </c>
      <c r="P39" s="21" t="s">
        <v>102</v>
      </c>
      <c r="Q39" s="18" t="s">
        <v>269</v>
      </c>
      <c r="R39" s="18" t="s">
        <v>269</v>
      </c>
      <c r="S39" s="18" t="s">
        <v>269</v>
      </c>
      <c r="T39" s="21" t="s">
        <v>274</v>
      </c>
      <c r="U39" s="25"/>
      <c r="V39" s="18" t="s">
        <v>269</v>
      </c>
      <c r="W39" s="38" t="str">
        <f>_xlfn.IFS(AND(COUNTIF(U39,"SCB*")=1, 'PCH144'!H60&gt;=2), "See the Notice *2", TRUE, "")</f>
        <v/>
      </c>
      <c r="X39" s="19"/>
      <c r="Y39" s="20" t="s">
        <v>268</v>
      </c>
      <c r="Z39" s="19" t="s">
        <v>559</v>
      </c>
      <c r="AA39" s="19"/>
      <c r="AB39" s="19"/>
    </row>
    <row r="40" spans="2:28" x14ac:dyDescent="0.2">
      <c r="B40" s="21" t="s">
        <v>103</v>
      </c>
      <c r="C40" s="22">
        <v>31</v>
      </c>
      <c r="D40" s="21" t="s">
        <v>103</v>
      </c>
      <c r="E40" s="109" t="s">
        <v>919</v>
      </c>
      <c r="F40" s="109" t="s">
        <v>912</v>
      </c>
      <c r="G40" s="109" t="s">
        <v>921</v>
      </c>
      <c r="H40" s="109" t="s">
        <v>914</v>
      </c>
      <c r="I40" s="18" t="s">
        <v>269</v>
      </c>
      <c r="J40" s="18" t="s">
        <v>269</v>
      </c>
      <c r="K40" s="18" t="s">
        <v>269</v>
      </c>
      <c r="L40" s="93" t="s">
        <v>645</v>
      </c>
      <c r="M40" s="21" t="s">
        <v>104</v>
      </c>
      <c r="N40" s="18" t="s">
        <v>269</v>
      </c>
      <c r="O40" s="18" t="s">
        <v>269</v>
      </c>
      <c r="P40" s="18" t="s">
        <v>269</v>
      </c>
      <c r="Q40" s="18" t="s">
        <v>269</v>
      </c>
      <c r="R40" s="18" t="s">
        <v>269</v>
      </c>
      <c r="S40" s="18" t="s">
        <v>269</v>
      </c>
      <c r="T40" s="21" t="s">
        <v>275</v>
      </c>
      <c r="U40" s="25"/>
      <c r="V40" s="18" t="s">
        <v>269</v>
      </c>
      <c r="W40" s="38" t="str">
        <f>_xlfn.IFS(AND(COUNTIF(U40,"SCB*")=1, 'PCH144'!H60&gt;=2), "See the Notice *2", TRUE, "")</f>
        <v/>
      </c>
      <c r="X40" s="19"/>
      <c r="Y40" s="20" t="s">
        <v>268</v>
      </c>
      <c r="Z40" s="19" t="s">
        <v>559</v>
      </c>
      <c r="AA40" s="19"/>
      <c r="AB40" s="19"/>
    </row>
    <row r="41" spans="2:28" x14ac:dyDescent="0.2">
      <c r="B41" s="21" t="s">
        <v>105</v>
      </c>
      <c r="C41" s="22">
        <v>32</v>
      </c>
      <c r="D41" s="21" t="s">
        <v>105</v>
      </c>
      <c r="E41" s="109" t="s">
        <v>903</v>
      </c>
      <c r="F41" s="109" t="s">
        <v>924</v>
      </c>
      <c r="G41" s="109" t="s">
        <v>905</v>
      </c>
      <c r="H41" s="109" t="s">
        <v>926</v>
      </c>
      <c r="I41" s="18" t="s">
        <v>269</v>
      </c>
      <c r="J41" s="18" t="s">
        <v>269</v>
      </c>
      <c r="K41" s="18" t="s">
        <v>269</v>
      </c>
      <c r="L41" s="93" t="s">
        <v>646</v>
      </c>
      <c r="M41" s="21" t="s">
        <v>106</v>
      </c>
      <c r="N41" s="18" t="s">
        <v>269</v>
      </c>
      <c r="O41" s="18" t="s">
        <v>269</v>
      </c>
      <c r="P41" s="18" t="s">
        <v>269</v>
      </c>
      <c r="Q41" s="18" t="s">
        <v>269</v>
      </c>
      <c r="R41" s="18" t="s">
        <v>269</v>
      </c>
      <c r="S41" s="18" t="s">
        <v>269</v>
      </c>
      <c r="T41" s="21" t="s">
        <v>276</v>
      </c>
      <c r="U41" s="25"/>
      <c r="V41" s="18" t="s">
        <v>269</v>
      </c>
      <c r="W41" s="38" t="str">
        <f>_xlfn.IFS(AND(COUNTIF(U41,"SCB*")=1, 'PCH144'!H60&gt;=2), "See the Notice *2", TRUE, "")</f>
        <v/>
      </c>
      <c r="X41" s="19"/>
      <c r="Y41" s="20" t="s">
        <v>268</v>
      </c>
      <c r="Z41" s="19" t="s">
        <v>559</v>
      </c>
      <c r="AA41" s="19"/>
      <c r="AB41" s="19"/>
    </row>
    <row r="42" spans="2:28" x14ac:dyDescent="0.2">
      <c r="B42" s="21" t="s">
        <v>107</v>
      </c>
      <c r="C42" s="22">
        <v>33</v>
      </c>
      <c r="D42" s="21" t="s">
        <v>107</v>
      </c>
      <c r="E42" s="109" t="s">
        <v>915</v>
      </c>
      <c r="F42" s="109" t="s">
        <v>908</v>
      </c>
      <c r="G42" s="109" t="s">
        <v>917</v>
      </c>
      <c r="H42" s="109" t="s">
        <v>910</v>
      </c>
      <c r="I42" s="18" t="s">
        <v>269</v>
      </c>
      <c r="J42" s="18" t="s">
        <v>269</v>
      </c>
      <c r="K42" s="18" t="s">
        <v>269</v>
      </c>
      <c r="L42" s="93" t="s">
        <v>647</v>
      </c>
      <c r="M42" s="18" t="s">
        <v>269</v>
      </c>
      <c r="N42" s="18" t="s">
        <v>269</v>
      </c>
      <c r="O42" s="21" t="s">
        <v>108</v>
      </c>
      <c r="P42" s="18" t="s">
        <v>269</v>
      </c>
      <c r="Q42" s="18" t="s">
        <v>269</v>
      </c>
      <c r="R42" s="18" t="s">
        <v>269</v>
      </c>
      <c r="S42" s="18" t="s">
        <v>269</v>
      </c>
      <c r="T42" s="21" t="s">
        <v>277</v>
      </c>
      <c r="U42" s="29"/>
      <c r="V42" s="18" t="s">
        <v>269</v>
      </c>
      <c r="W42" s="38" t="str">
        <f>_xlfn.IFS(AND(COUNTIF(U42,"SCB*")=1, 'PCH144'!H60&gt;=2), "See the Notice *2", TRUE, "")</f>
        <v/>
      </c>
      <c r="X42" s="19"/>
      <c r="Y42" s="20" t="s">
        <v>268</v>
      </c>
      <c r="Z42" s="19" t="s">
        <v>559</v>
      </c>
      <c r="AA42" s="19"/>
      <c r="AB42" s="19"/>
    </row>
    <row r="43" spans="2:28" x14ac:dyDescent="0.2">
      <c r="B43" s="21" t="s">
        <v>109</v>
      </c>
      <c r="C43" s="22">
        <v>34</v>
      </c>
      <c r="D43" s="21" t="s">
        <v>109</v>
      </c>
      <c r="E43" s="109" t="s">
        <v>899</v>
      </c>
      <c r="F43" s="109" t="s">
        <v>920</v>
      </c>
      <c r="G43" s="109" t="s">
        <v>901</v>
      </c>
      <c r="H43" s="109" t="s">
        <v>922</v>
      </c>
      <c r="I43" s="18" t="s">
        <v>269</v>
      </c>
      <c r="J43" s="18" t="s">
        <v>269</v>
      </c>
      <c r="K43" s="18" t="s">
        <v>269</v>
      </c>
      <c r="L43" s="18" t="s">
        <v>269</v>
      </c>
      <c r="M43" s="18" t="s">
        <v>269</v>
      </c>
      <c r="N43" s="18" t="s">
        <v>269</v>
      </c>
      <c r="O43" s="21" t="s">
        <v>110</v>
      </c>
      <c r="P43" s="18" t="s">
        <v>269</v>
      </c>
      <c r="Q43" s="18" t="s">
        <v>269</v>
      </c>
      <c r="R43" s="18" t="s">
        <v>269</v>
      </c>
      <c r="S43" s="18" t="s">
        <v>269</v>
      </c>
      <c r="T43" s="21" t="s">
        <v>278</v>
      </c>
      <c r="U43" s="29"/>
      <c r="V43" s="18" t="s">
        <v>269</v>
      </c>
      <c r="W43" s="38"/>
      <c r="X43" s="19"/>
      <c r="Y43" s="20" t="s">
        <v>268</v>
      </c>
      <c r="Z43" s="19" t="s">
        <v>559</v>
      </c>
      <c r="AA43" s="19"/>
      <c r="AB43" s="19"/>
    </row>
    <row r="44" spans="2:28" x14ac:dyDescent="0.2">
      <c r="B44" s="28" t="s">
        <v>257</v>
      </c>
      <c r="C44" s="17">
        <v>35</v>
      </c>
      <c r="D44" s="18" t="s">
        <v>269</v>
      </c>
      <c r="E44" s="18" t="s">
        <v>269</v>
      </c>
      <c r="F44" s="18" t="s">
        <v>269</v>
      </c>
      <c r="G44" s="18" t="s">
        <v>269</v>
      </c>
      <c r="H44" s="18" t="s">
        <v>269</v>
      </c>
      <c r="I44" s="18" t="s">
        <v>269</v>
      </c>
      <c r="J44" s="18" t="s">
        <v>269</v>
      </c>
      <c r="K44" s="18" t="s">
        <v>269</v>
      </c>
      <c r="L44" s="18" t="s">
        <v>269</v>
      </c>
      <c r="M44" s="18" t="s">
        <v>269</v>
      </c>
      <c r="N44" s="18" t="s">
        <v>269</v>
      </c>
      <c r="O44" s="18" t="s">
        <v>269</v>
      </c>
      <c r="P44" s="18" t="s">
        <v>269</v>
      </c>
      <c r="Q44" s="18" t="s">
        <v>269</v>
      </c>
      <c r="R44" s="18" t="s">
        <v>269</v>
      </c>
      <c r="S44" s="18" t="s">
        <v>269</v>
      </c>
      <c r="T44" s="18" t="s">
        <v>269</v>
      </c>
      <c r="U44" s="28" t="s">
        <v>257</v>
      </c>
      <c r="V44" s="18" t="s">
        <v>269</v>
      </c>
      <c r="W44" s="38"/>
      <c r="X44" s="19" t="s">
        <v>544</v>
      </c>
      <c r="Y44" s="20" t="s">
        <v>555</v>
      </c>
      <c r="Z44" s="20" t="s">
        <v>555</v>
      </c>
      <c r="AA44" s="19"/>
      <c r="AB44" s="19"/>
    </row>
    <row r="45" spans="2:28" x14ac:dyDescent="0.2">
      <c r="B45" s="28" t="s">
        <v>258</v>
      </c>
      <c r="C45" s="17">
        <v>36</v>
      </c>
      <c r="D45" s="18" t="s">
        <v>269</v>
      </c>
      <c r="E45" s="18" t="s">
        <v>269</v>
      </c>
      <c r="F45" s="18" t="s">
        <v>269</v>
      </c>
      <c r="G45" s="18" t="s">
        <v>269</v>
      </c>
      <c r="H45" s="18" t="s">
        <v>269</v>
      </c>
      <c r="I45" s="18" t="s">
        <v>269</v>
      </c>
      <c r="J45" s="18" t="s">
        <v>269</v>
      </c>
      <c r="K45" s="18" t="s">
        <v>269</v>
      </c>
      <c r="L45" s="18" t="s">
        <v>269</v>
      </c>
      <c r="M45" s="18" t="s">
        <v>269</v>
      </c>
      <c r="N45" s="18" t="s">
        <v>269</v>
      </c>
      <c r="O45" s="18" t="s">
        <v>269</v>
      </c>
      <c r="P45" s="18" t="s">
        <v>269</v>
      </c>
      <c r="Q45" s="18" t="s">
        <v>269</v>
      </c>
      <c r="R45" s="18" t="s">
        <v>269</v>
      </c>
      <c r="S45" s="18" t="s">
        <v>269</v>
      </c>
      <c r="T45" s="18" t="s">
        <v>269</v>
      </c>
      <c r="U45" s="28" t="s">
        <v>258</v>
      </c>
      <c r="V45" s="18" t="s">
        <v>269</v>
      </c>
      <c r="W45" s="38"/>
      <c r="X45" s="19" t="s">
        <v>546</v>
      </c>
      <c r="Y45" s="20" t="s">
        <v>555</v>
      </c>
      <c r="Z45" s="20" t="s">
        <v>555</v>
      </c>
      <c r="AA45" s="19"/>
      <c r="AB45" s="19"/>
    </row>
    <row r="46" spans="2:28" x14ac:dyDescent="0.2">
      <c r="B46" s="16" t="s">
        <v>256</v>
      </c>
      <c r="C46" s="17">
        <v>37</v>
      </c>
      <c r="D46" s="18" t="s">
        <v>269</v>
      </c>
      <c r="E46" s="18" t="s">
        <v>269</v>
      </c>
      <c r="F46" s="18" t="s">
        <v>269</v>
      </c>
      <c r="G46" s="18" t="s">
        <v>269</v>
      </c>
      <c r="H46" s="18" t="s">
        <v>269</v>
      </c>
      <c r="I46" s="18" t="s">
        <v>269</v>
      </c>
      <c r="J46" s="18" t="s">
        <v>269</v>
      </c>
      <c r="K46" s="18" t="s">
        <v>269</v>
      </c>
      <c r="L46" s="18" t="s">
        <v>269</v>
      </c>
      <c r="M46" s="18" t="s">
        <v>269</v>
      </c>
      <c r="N46" s="18" t="s">
        <v>269</v>
      </c>
      <c r="O46" s="18" t="s">
        <v>269</v>
      </c>
      <c r="P46" s="18" t="s">
        <v>269</v>
      </c>
      <c r="Q46" s="18" t="s">
        <v>269</v>
      </c>
      <c r="R46" s="18" t="s">
        <v>269</v>
      </c>
      <c r="S46" s="18" t="s">
        <v>269</v>
      </c>
      <c r="T46" s="18" t="s">
        <v>269</v>
      </c>
      <c r="U46" s="16" t="s">
        <v>256</v>
      </c>
      <c r="V46" s="18" t="s">
        <v>269</v>
      </c>
      <c r="W46" s="38"/>
      <c r="X46" s="19" t="s">
        <v>545</v>
      </c>
      <c r="Y46" s="20" t="s">
        <v>555</v>
      </c>
      <c r="Z46" s="20" t="s">
        <v>555</v>
      </c>
      <c r="AA46" s="19"/>
      <c r="AB46" s="19"/>
    </row>
    <row r="47" spans="2:28" x14ac:dyDescent="0.2">
      <c r="B47" s="16" t="s">
        <v>256</v>
      </c>
      <c r="C47" s="17">
        <v>38</v>
      </c>
      <c r="D47" s="18" t="s">
        <v>269</v>
      </c>
      <c r="E47" s="18" t="s">
        <v>269</v>
      </c>
      <c r="F47" s="18" t="s">
        <v>269</v>
      </c>
      <c r="G47" s="18" t="s">
        <v>269</v>
      </c>
      <c r="H47" s="18" t="s">
        <v>269</v>
      </c>
      <c r="I47" s="18" t="s">
        <v>269</v>
      </c>
      <c r="J47" s="18" t="s">
        <v>269</v>
      </c>
      <c r="K47" s="18" t="s">
        <v>269</v>
      </c>
      <c r="L47" s="18" t="s">
        <v>269</v>
      </c>
      <c r="M47" s="18" t="s">
        <v>269</v>
      </c>
      <c r="N47" s="18" t="s">
        <v>269</v>
      </c>
      <c r="O47" s="18" t="s">
        <v>269</v>
      </c>
      <c r="P47" s="18" t="s">
        <v>269</v>
      </c>
      <c r="Q47" s="18" t="s">
        <v>269</v>
      </c>
      <c r="R47" s="18" t="s">
        <v>269</v>
      </c>
      <c r="S47" s="18" t="s">
        <v>269</v>
      </c>
      <c r="T47" s="18" t="s">
        <v>269</v>
      </c>
      <c r="U47" s="16" t="s">
        <v>256</v>
      </c>
      <c r="V47" s="18" t="s">
        <v>269</v>
      </c>
      <c r="W47" s="38"/>
      <c r="X47" s="19" t="s">
        <v>545</v>
      </c>
      <c r="Y47" s="20" t="s">
        <v>555</v>
      </c>
      <c r="Z47" s="20" t="s">
        <v>555</v>
      </c>
      <c r="AA47" s="19"/>
      <c r="AB47" s="19"/>
    </row>
    <row r="48" spans="2:28" x14ac:dyDescent="0.2">
      <c r="B48" s="28" t="s">
        <v>259</v>
      </c>
      <c r="C48" s="17">
        <v>39</v>
      </c>
      <c r="D48" s="18" t="s">
        <v>269</v>
      </c>
      <c r="E48" s="18" t="s">
        <v>269</v>
      </c>
      <c r="F48" s="18" t="s">
        <v>269</v>
      </c>
      <c r="G48" s="18" t="s">
        <v>269</v>
      </c>
      <c r="H48" s="18" t="s">
        <v>269</v>
      </c>
      <c r="I48" s="18" t="s">
        <v>269</v>
      </c>
      <c r="J48" s="18" t="s">
        <v>269</v>
      </c>
      <c r="K48" s="18" t="s">
        <v>269</v>
      </c>
      <c r="L48" s="18" t="s">
        <v>269</v>
      </c>
      <c r="M48" s="18" t="s">
        <v>269</v>
      </c>
      <c r="N48" s="18" t="s">
        <v>269</v>
      </c>
      <c r="O48" s="18" t="s">
        <v>269</v>
      </c>
      <c r="P48" s="18" t="s">
        <v>269</v>
      </c>
      <c r="Q48" s="18" t="s">
        <v>269</v>
      </c>
      <c r="R48" s="18" t="s">
        <v>269</v>
      </c>
      <c r="S48" s="18" t="s">
        <v>269</v>
      </c>
      <c r="T48" s="18" t="s">
        <v>269</v>
      </c>
      <c r="U48" s="28" t="s">
        <v>259</v>
      </c>
      <c r="V48" s="18" t="s">
        <v>269</v>
      </c>
      <c r="W48" s="38"/>
      <c r="X48" s="19" t="s">
        <v>547</v>
      </c>
      <c r="Y48" s="20" t="s">
        <v>555</v>
      </c>
      <c r="Z48" s="20" t="s">
        <v>555</v>
      </c>
      <c r="AA48" s="19"/>
      <c r="AB48" s="19"/>
    </row>
    <row r="49" spans="2:28" x14ac:dyDescent="0.2">
      <c r="B49" s="21" t="s">
        <v>111</v>
      </c>
      <c r="C49" s="22">
        <v>40</v>
      </c>
      <c r="D49" s="21" t="s">
        <v>111</v>
      </c>
      <c r="E49" s="109" t="s">
        <v>937</v>
      </c>
      <c r="F49" s="109" t="s">
        <v>904</v>
      </c>
      <c r="G49" s="109" t="s">
        <v>938</v>
      </c>
      <c r="H49" s="109" t="s">
        <v>906</v>
      </c>
      <c r="I49" s="18" t="s">
        <v>269</v>
      </c>
      <c r="J49" s="93" t="s">
        <v>648</v>
      </c>
      <c r="K49" s="18" t="s">
        <v>269</v>
      </c>
      <c r="L49" s="93" t="s">
        <v>649</v>
      </c>
      <c r="M49" s="21" t="s">
        <v>100</v>
      </c>
      <c r="N49" s="18" t="s">
        <v>269</v>
      </c>
      <c r="O49" s="18" t="s">
        <v>269</v>
      </c>
      <c r="P49" s="18" t="s">
        <v>269</v>
      </c>
      <c r="Q49" s="18" t="s">
        <v>269</v>
      </c>
      <c r="R49" s="18" t="s">
        <v>269</v>
      </c>
      <c r="S49" s="18" t="s">
        <v>269</v>
      </c>
      <c r="T49" s="21" t="s">
        <v>279</v>
      </c>
      <c r="U49" s="29"/>
      <c r="V49" s="18" t="s">
        <v>269</v>
      </c>
      <c r="W49" s="38" t="str">
        <f>_xlfn.IFS(AND(COUNTIF(U49,"SCB*")=1, 'PCH144'!I60&gt;=2), "See the Notice *2", TRUE, "")</f>
        <v/>
      </c>
      <c r="X49" s="19"/>
      <c r="Y49" s="20" t="s">
        <v>268</v>
      </c>
      <c r="Z49" s="19" t="s">
        <v>559</v>
      </c>
      <c r="AA49" s="19"/>
      <c r="AB49" s="19"/>
    </row>
    <row r="50" spans="2:28" x14ac:dyDescent="0.2">
      <c r="B50" s="21" t="s">
        <v>112</v>
      </c>
      <c r="C50" s="22">
        <v>41</v>
      </c>
      <c r="D50" s="21" t="s">
        <v>112</v>
      </c>
      <c r="E50" s="109" t="s">
        <v>939</v>
      </c>
      <c r="F50" s="109" t="s">
        <v>940</v>
      </c>
      <c r="G50" s="109" t="s">
        <v>941</v>
      </c>
      <c r="H50" s="109" t="s">
        <v>942</v>
      </c>
      <c r="I50" s="18" t="s">
        <v>269</v>
      </c>
      <c r="J50" s="93" t="s">
        <v>650</v>
      </c>
      <c r="K50" s="93" t="s">
        <v>651</v>
      </c>
      <c r="L50" s="93" t="s">
        <v>652</v>
      </c>
      <c r="M50" s="21" t="s">
        <v>104</v>
      </c>
      <c r="N50" s="18" t="s">
        <v>269</v>
      </c>
      <c r="O50" s="18" t="s">
        <v>269</v>
      </c>
      <c r="P50" s="18" t="s">
        <v>269</v>
      </c>
      <c r="Q50" s="18" t="s">
        <v>269</v>
      </c>
      <c r="R50" s="18" t="s">
        <v>269</v>
      </c>
      <c r="S50" s="18" t="s">
        <v>269</v>
      </c>
      <c r="T50" s="21" t="s">
        <v>280</v>
      </c>
      <c r="U50" s="24"/>
      <c r="V50" s="18" t="s">
        <v>269</v>
      </c>
      <c r="W50" s="38" t="str">
        <f>_xlfn.IFS(AND(COUNTIF(U50,"SCB*")=1, 'PCH144'!I60&gt;=2), "See the Notice *2", TRUE, "")</f>
        <v/>
      </c>
      <c r="X50" s="19"/>
      <c r="Y50" s="20" t="s">
        <v>268</v>
      </c>
      <c r="Z50" s="19" t="s">
        <v>559</v>
      </c>
      <c r="AA50" s="19"/>
      <c r="AB50" s="19"/>
    </row>
    <row r="51" spans="2:28" x14ac:dyDescent="0.2">
      <c r="B51" s="21" t="s">
        <v>113</v>
      </c>
      <c r="C51" s="22">
        <v>42</v>
      </c>
      <c r="D51" s="21" t="s">
        <v>113</v>
      </c>
      <c r="E51" s="109" t="s">
        <v>943</v>
      </c>
      <c r="F51" s="109" t="s">
        <v>944</v>
      </c>
      <c r="G51" s="109" t="s">
        <v>945</v>
      </c>
      <c r="H51" s="109" t="s">
        <v>946</v>
      </c>
      <c r="I51" s="18" t="s">
        <v>269</v>
      </c>
      <c r="J51" s="93" t="s">
        <v>653</v>
      </c>
      <c r="K51" s="93" t="s">
        <v>654</v>
      </c>
      <c r="L51" s="93" t="s">
        <v>655</v>
      </c>
      <c r="M51" s="21" t="s">
        <v>106</v>
      </c>
      <c r="N51" s="18" t="s">
        <v>269</v>
      </c>
      <c r="O51" s="18" t="s">
        <v>269</v>
      </c>
      <c r="P51" s="18" t="s">
        <v>269</v>
      </c>
      <c r="Q51" s="18" t="s">
        <v>269</v>
      </c>
      <c r="R51" s="18" t="s">
        <v>269</v>
      </c>
      <c r="S51" s="18" t="s">
        <v>269</v>
      </c>
      <c r="T51" s="21" t="s">
        <v>281</v>
      </c>
      <c r="U51" s="24"/>
      <c r="V51" s="18" t="s">
        <v>269</v>
      </c>
      <c r="W51" s="38" t="str">
        <f>_xlfn.IFS(AND(COUNTIF(U51,"SCB*")=1, 'PCH144'!I60&gt;=2), "See the Notice *2", TRUE, "")</f>
        <v/>
      </c>
      <c r="X51" s="19"/>
      <c r="Y51" s="20" t="s">
        <v>268</v>
      </c>
      <c r="Z51" s="19" t="s">
        <v>559</v>
      </c>
      <c r="AA51" s="19"/>
      <c r="AB51" s="19"/>
    </row>
    <row r="52" spans="2:28" x14ac:dyDescent="0.2">
      <c r="B52" s="21" t="s">
        <v>114</v>
      </c>
      <c r="C52" s="22">
        <v>43</v>
      </c>
      <c r="D52" s="21" t="s">
        <v>114</v>
      </c>
      <c r="E52" s="109" t="s">
        <v>947</v>
      </c>
      <c r="F52" s="109" t="s">
        <v>948</v>
      </c>
      <c r="G52" s="109" t="s">
        <v>949</v>
      </c>
      <c r="H52" s="109" t="s">
        <v>950</v>
      </c>
      <c r="I52" s="18" t="s">
        <v>269</v>
      </c>
      <c r="J52" s="93" t="s">
        <v>656</v>
      </c>
      <c r="K52" s="18" t="s">
        <v>269</v>
      </c>
      <c r="L52" s="93" t="s">
        <v>657</v>
      </c>
      <c r="M52" s="18" t="s">
        <v>269</v>
      </c>
      <c r="N52" s="18" t="s">
        <v>269</v>
      </c>
      <c r="O52" s="18" t="s">
        <v>269</v>
      </c>
      <c r="P52" s="18" t="s">
        <v>269</v>
      </c>
      <c r="Q52" s="18" t="s">
        <v>269</v>
      </c>
      <c r="R52" s="18" t="s">
        <v>269</v>
      </c>
      <c r="S52" s="18" t="s">
        <v>269</v>
      </c>
      <c r="T52" s="21" t="s">
        <v>282</v>
      </c>
      <c r="U52" s="24"/>
      <c r="V52" s="18" t="s">
        <v>269</v>
      </c>
      <c r="W52" s="38" t="str">
        <f>_xlfn.IFS(AND(COUNTIF(U52,"SCB*")=1, 'PCH144'!I60&gt;=2), "See the Notice *2", TRUE, "")</f>
        <v/>
      </c>
      <c r="X52" s="19"/>
      <c r="Y52" s="20" t="s">
        <v>268</v>
      </c>
      <c r="Z52" s="19" t="s">
        <v>559</v>
      </c>
      <c r="AA52" s="19"/>
      <c r="AB52" s="19"/>
    </row>
    <row r="53" spans="2:28" x14ac:dyDescent="0.2">
      <c r="B53" s="21" t="s">
        <v>115</v>
      </c>
      <c r="C53" s="22">
        <v>44</v>
      </c>
      <c r="D53" s="21" t="s">
        <v>115</v>
      </c>
      <c r="E53" s="109" t="s">
        <v>951</v>
      </c>
      <c r="F53" s="109" t="s">
        <v>952</v>
      </c>
      <c r="G53" s="109" t="s">
        <v>953</v>
      </c>
      <c r="H53" s="109" t="s">
        <v>954</v>
      </c>
      <c r="I53" s="18" t="s">
        <v>269</v>
      </c>
      <c r="J53" s="18" t="s">
        <v>269</v>
      </c>
      <c r="K53" s="18" t="s">
        <v>269</v>
      </c>
      <c r="L53" s="93" t="s">
        <v>658</v>
      </c>
      <c r="M53" s="18" t="s">
        <v>269</v>
      </c>
      <c r="N53" s="18" t="s">
        <v>269</v>
      </c>
      <c r="O53" s="18" t="s">
        <v>269</v>
      </c>
      <c r="P53" s="18" t="s">
        <v>269</v>
      </c>
      <c r="Q53" s="18" t="s">
        <v>269</v>
      </c>
      <c r="R53" s="18" t="s">
        <v>269</v>
      </c>
      <c r="S53" s="18" t="s">
        <v>269</v>
      </c>
      <c r="T53" s="21" t="s">
        <v>283</v>
      </c>
      <c r="U53" s="24"/>
      <c r="V53" s="18" t="s">
        <v>269</v>
      </c>
      <c r="W53" s="38" t="str">
        <f>_xlfn.IFS(AND(COUNTIF(U53,"SCB*")=1, 'PCH144'!I60&gt;=2), "See the Notice *2", TRUE, "")</f>
        <v/>
      </c>
      <c r="X53" s="19"/>
      <c r="Y53" s="20" t="s">
        <v>268</v>
      </c>
      <c r="Z53" s="19" t="s">
        <v>559</v>
      </c>
      <c r="AA53" s="19"/>
      <c r="AB53" s="19"/>
    </row>
    <row r="54" spans="2:28" x14ac:dyDescent="0.2">
      <c r="B54" s="21" t="s">
        <v>116</v>
      </c>
      <c r="C54" s="22">
        <v>45</v>
      </c>
      <c r="D54" s="21" t="s">
        <v>116</v>
      </c>
      <c r="E54" s="109" t="s">
        <v>855</v>
      </c>
      <c r="F54" s="109" t="s">
        <v>955</v>
      </c>
      <c r="G54" s="109" t="s">
        <v>857</v>
      </c>
      <c r="H54" s="109" t="s">
        <v>956</v>
      </c>
      <c r="I54" s="18" t="s">
        <v>269</v>
      </c>
      <c r="J54" s="18" t="s">
        <v>269</v>
      </c>
      <c r="K54" s="18" t="s">
        <v>269</v>
      </c>
      <c r="L54" s="93" t="s">
        <v>659</v>
      </c>
      <c r="M54" s="18" t="s">
        <v>269</v>
      </c>
      <c r="N54" s="18" t="s">
        <v>269</v>
      </c>
      <c r="O54" s="18" t="s">
        <v>269</v>
      </c>
      <c r="P54" s="18" t="s">
        <v>269</v>
      </c>
      <c r="Q54" s="18" t="s">
        <v>269</v>
      </c>
      <c r="R54" s="18" t="s">
        <v>269</v>
      </c>
      <c r="S54" s="18" t="s">
        <v>269</v>
      </c>
      <c r="T54" s="21" t="s">
        <v>284</v>
      </c>
      <c r="U54" s="25"/>
      <c r="V54" s="18" t="s">
        <v>269</v>
      </c>
      <c r="W54" s="38" t="str">
        <f>_xlfn.IFS(AND(COUNTIF(U54,"SCB*")=1, 'PCH144'!I60&gt;=2), "See the Notice *2", TRUE, "")</f>
        <v/>
      </c>
      <c r="X54" s="19"/>
      <c r="Y54" s="20" t="s">
        <v>268</v>
      </c>
      <c r="Z54" s="19" t="s">
        <v>559</v>
      </c>
      <c r="AA54" s="19"/>
      <c r="AB54" s="19"/>
    </row>
    <row r="55" spans="2:28" x14ac:dyDescent="0.2">
      <c r="B55" s="21" t="s">
        <v>117</v>
      </c>
      <c r="C55" s="22">
        <v>46</v>
      </c>
      <c r="D55" s="21" t="s">
        <v>117</v>
      </c>
      <c r="E55" s="109" t="s">
        <v>957</v>
      </c>
      <c r="F55" s="109" t="s">
        <v>860</v>
      </c>
      <c r="G55" s="109" t="s">
        <v>958</v>
      </c>
      <c r="H55" s="109" t="s">
        <v>862</v>
      </c>
      <c r="I55" s="18" t="s">
        <v>269</v>
      </c>
      <c r="J55" s="18" t="s">
        <v>269</v>
      </c>
      <c r="K55" s="18" t="s">
        <v>269</v>
      </c>
      <c r="L55" s="18" t="s">
        <v>269</v>
      </c>
      <c r="M55" s="18" t="s">
        <v>269</v>
      </c>
      <c r="N55" s="18" t="s">
        <v>269</v>
      </c>
      <c r="O55" s="21" t="s">
        <v>118</v>
      </c>
      <c r="P55" s="18" t="s">
        <v>269</v>
      </c>
      <c r="Q55" s="18" t="s">
        <v>269</v>
      </c>
      <c r="R55" s="18" t="s">
        <v>269</v>
      </c>
      <c r="S55" s="18" t="s">
        <v>269</v>
      </c>
      <c r="T55" s="21" t="s">
        <v>285</v>
      </c>
      <c r="U55" s="25"/>
      <c r="V55" s="18" t="s">
        <v>269</v>
      </c>
      <c r="W55" s="38"/>
      <c r="X55" s="19"/>
      <c r="Y55" s="20" t="s">
        <v>268</v>
      </c>
      <c r="Z55" s="19" t="s">
        <v>559</v>
      </c>
      <c r="AA55" s="19"/>
      <c r="AB55" s="19"/>
    </row>
    <row r="56" spans="2:28" x14ac:dyDescent="0.2">
      <c r="B56" s="21" t="s">
        <v>119</v>
      </c>
      <c r="C56" s="22">
        <v>47</v>
      </c>
      <c r="D56" s="21" t="s">
        <v>119</v>
      </c>
      <c r="E56" s="109" t="s">
        <v>851</v>
      </c>
      <c r="F56" s="109" t="s">
        <v>959</v>
      </c>
      <c r="G56" s="109" t="s">
        <v>853</v>
      </c>
      <c r="H56" s="109" t="s">
        <v>960</v>
      </c>
      <c r="I56" s="18" t="s">
        <v>269</v>
      </c>
      <c r="J56" s="18" t="s">
        <v>269</v>
      </c>
      <c r="K56" s="18" t="s">
        <v>269</v>
      </c>
      <c r="L56" s="18" t="s">
        <v>269</v>
      </c>
      <c r="M56" s="18" t="s">
        <v>269</v>
      </c>
      <c r="N56" s="18" t="s">
        <v>269</v>
      </c>
      <c r="O56" s="21" t="s">
        <v>120</v>
      </c>
      <c r="P56" s="18" t="s">
        <v>269</v>
      </c>
      <c r="Q56" s="18" t="s">
        <v>269</v>
      </c>
      <c r="R56" s="18" t="s">
        <v>269</v>
      </c>
      <c r="S56" s="18" t="s">
        <v>269</v>
      </c>
      <c r="T56" s="21" t="s">
        <v>286</v>
      </c>
      <c r="U56" s="25"/>
      <c r="V56" s="18" t="s">
        <v>269</v>
      </c>
      <c r="W56" s="38"/>
      <c r="X56" s="19"/>
      <c r="Y56" s="20" t="s">
        <v>268</v>
      </c>
      <c r="Z56" s="19" t="s">
        <v>559</v>
      </c>
      <c r="AA56" s="19"/>
      <c r="AB56" s="19"/>
    </row>
    <row r="57" spans="2:28" x14ac:dyDescent="0.2">
      <c r="B57" s="21" t="s">
        <v>121</v>
      </c>
      <c r="C57" s="22">
        <v>48</v>
      </c>
      <c r="D57" s="21" t="s">
        <v>121</v>
      </c>
      <c r="E57" s="109" t="s">
        <v>961</v>
      </c>
      <c r="F57" s="109" t="s">
        <v>856</v>
      </c>
      <c r="G57" s="109" t="s">
        <v>962</v>
      </c>
      <c r="H57" s="109" t="s">
        <v>858</v>
      </c>
      <c r="I57" s="18" t="s">
        <v>269</v>
      </c>
      <c r="J57" s="18" t="s">
        <v>269</v>
      </c>
      <c r="K57" s="18" t="s">
        <v>269</v>
      </c>
      <c r="L57" s="18" t="s">
        <v>269</v>
      </c>
      <c r="M57" s="21" t="s">
        <v>87</v>
      </c>
      <c r="N57" s="21" t="s">
        <v>41</v>
      </c>
      <c r="O57" s="18" t="s">
        <v>269</v>
      </c>
      <c r="P57" s="18" t="s">
        <v>269</v>
      </c>
      <c r="Q57" s="18" t="s">
        <v>269</v>
      </c>
      <c r="R57" s="18" t="s">
        <v>269</v>
      </c>
      <c r="S57" s="18" t="s">
        <v>269</v>
      </c>
      <c r="T57" s="18" t="s">
        <v>269</v>
      </c>
      <c r="U57" s="25"/>
      <c r="V57" s="18" t="s">
        <v>269</v>
      </c>
      <c r="W57" s="38"/>
      <c r="X57" s="19"/>
      <c r="Y57" s="20" t="s">
        <v>268</v>
      </c>
      <c r="Z57" s="19" t="s">
        <v>559</v>
      </c>
      <c r="AA57" s="19"/>
      <c r="AB57" s="19"/>
    </row>
    <row r="58" spans="2:28" x14ac:dyDescent="0.2">
      <c r="B58" s="21" t="s">
        <v>122</v>
      </c>
      <c r="C58" s="22">
        <v>49</v>
      </c>
      <c r="D58" s="21" t="s">
        <v>122</v>
      </c>
      <c r="E58" s="109" t="s">
        <v>963</v>
      </c>
      <c r="F58" s="109" t="s">
        <v>964</v>
      </c>
      <c r="G58" s="109" t="s">
        <v>965</v>
      </c>
      <c r="H58" s="109" t="s">
        <v>966</v>
      </c>
      <c r="I58" s="18" t="s">
        <v>269</v>
      </c>
      <c r="J58" s="18" t="s">
        <v>269</v>
      </c>
      <c r="K58" s="18" t="s">
        <v>269</v>
      </c>
      <c r="L58" s="18" t="s">
        <v>269</v>
      </c>
      <c r="M58" s="21" t="s">
        <v>89</v>
      </c>
      <c r="N58" s="21" t="s">
        <v>45</v>
      </c>
      <c r="O58" s="21" t="s">
        <v>123</v>
      </c>
      <c r="P58" s="18" t="s">
        <v>269</v>
      </c>
      <c r="Q58" s="18" t="s">
        <v>269</v>
      </c>
      <c r="R58" s="18" t="s">
        <v>269</v>
      </c>
      <c r="S58" s="18" t="s">
        <v>269</v>
      </c>
      <c r="T58" s="21" t="s">
        <v>287</v>
      </c>
      <c r="U58" s="25"/>
      <c r="V58" s="18" t="s">
        <v>269</v>
      </c>
      <c r="W58" s="38"/>
      <c r="X58" s="19"/>
      <c r="Y58" s="20" t="s">
        <v>268</v>
      </c>
      <c r="Z58" s="19" t="s">
        <v>559</v>
      </c>
      <c r="AA58" s="19"/>
      <c r="AB58" s="19"/>
    </row>
    <row r="59" spans="2:28" x14ac:dyDescent="0.2">
      <c r="B59" s="21" t="s">
        <v>124</v>
      </c>
      <c r="C59" s="22">
        <v>50</v>
      </c>
      <c r="D59" s="21" t="s">
        <v>124</v>
      </c>
      <c r="E59" s="109" t="s">
        <v>967</v>
      </c>
      <c r="F59" s="109" t="s">
        <v>968</v>
      </c>
      <c r="G59" s="109" t="s">
        <v>969</v>
      </c>
      <c r="H59" s="109" t="s">
        <v>970</v>
      </c>
      <c r="I59" s="18" t="s">
        <v>269</v>
      </c>
      <c r="J59" s="18" t="s">
        <v>269</v>
      </c>
      <c r="K59" s="18" t="s">
        <v>269</v>
      </c>
      <c r="L59" s="18" t="s">
        <v>269</v>
      </c>
      <c r="M59" s="21" t="s">
        <v>91</v>
      </c>
      <c r="N59" s="18" t="s">
        <v>269</v>
      </c>
      <c r="O59" s="21" t="s">
        <v>125</v>
      </c>
      <c r="P59" s="18" t="s">
        <v>269</v>
      </c>
      <c r="Q59" s="18" t="s">
        <v>269</v>
      </c>
      <c r="R59" s="18" t="s">
        <v>269</v>
      </c>
      <c r="S59" s="18" t="s">
        <v>269</v>
      </c>
      <c r="T59" s="21" t="s">
        <v>288</v>
      </c>
      <c r="U59" s="24"/>
      <c r="V59" s="18" t="s">
        <v>269</v>
      </c>
      <c r="W59" s="38"/>
      <c r="X59" s="19"/>
      <c r="Y59" s="20" t="s">
        <v>268</v>
      </c>
      <c r="Z59" s="19" t="s">
        <v>559</v>
      </c>
      <c r="AA59" s="19"/>
      <c r="AB59" s="19"/>
    </row>
    <row r="60" spans="2:28" x14ac:dyDescent="0.2">
      <c r="B60" s="21" t="s">
        <v>126</v>
      </c>
      <c r="C60" s="22">
        <v>51</v>
      </c>
      <c r="D60" s="21" t="s">
        <v>126</v>
      </c>
      <c r="E60" s="109" t="s">
        <v>971</v>
      </c>
      <c r="F60" s="109" t="s">
        <v>972</v>
      </c>
      <c r="G60" s="109" t="s">
        <v>973</v>
      </c>
      <c r="H60" s="109" t="s">
        <v>974</v>
      </c>
      <c r="I60" s="18" t="s">
        <v>269</v>
      </c>
      <c r="J60" s="18" t="s">
        <v>269</v>
      </c>
      <c r="K60" s="18" t="s">
        <v>269</v>
      </c>
      <c r="L60" s="18" t="s">
        <v>269</v>
      </c>
      <c r="M60" s="18" t="s">
        <v>269</v>
      </c>
      <c r="N60" s="18" t="s">
        <v>269</v>
      </c>
      <c r="O60" s="18" t="s">
        <v>269</v>
      </c>
      <c r="P60" s="21" t="s">
        <v>60</v>
      </c>
      <c r="Q60" s="18" t="s">
        <v>269</v>
      </c>
      <c r="R60" s="18" t="s">
        <v>269</v>
      </c>
      <c r="S60" s="18" t="s">
        <v>269</v>
      </c>
      <c r="T60" s="21" t="s">
        <v>289</v>
      </c>
      <c r="U60" s="24"/>
      <c r="V60" s="18" t="s">
        <v>269</v>
      </c>
      <c r="W60" s="38"/>
      <c r="X60" s="19"/>
      <c r="Y60" s="20" t="s">
        <v>268</v>
      </c>
      <c r="Z60" s="19" t="s">
        <v>559</v>
      </c>
      <c r="AA60" s="19"/>
      <c r="AB60" s="19"/>
    </row>
    <row r="61" spans="2:28" x14ac:dyDescent="0.2">
      <c r="B61" s="21" t="s">
        <v>128</v>
      </c>
      <c r="C61" s="22">
        <v>52</v>
      </c>
      <c r="D61" s="21" t="s">
        <v>128</v>
      </c>
      <c r="E61" s="109" t="s">
        <v>977</v>
      </c>
      <c r="F61" s="109" t="s">
        <v>978</v>
      </c>
      <c r="G61" s="109" t="s">
        <v>979</v>
      </c>
      <c r="H61" s="109" t="s">
        <v>980</v>
      </c>
      <c r="I61" s="18" t="s">
        <v>269</v>
      </c>
      <c r="J61" s="18" t="s">
        <v>269</v>
      </c>
      <c r="K61" s="18" t="s">
        <v>269</v>
      </c>
      <c r="L61" s="18" t="s">
        <v>269</v>
      </c>
      <c r="M61" s="18" t="s">
        <v>269</v>
      </c>
      <c r="N61" s="18" t="s">
        <v>269</v>
      </c>
      <c r="O61" s="18" t="s">
        <v>269</v>
      </c>
      <c r="P61" s="18" t="s">
        <v>269</v>
      </c>
      <c r="Q61" s="18" t="s">
        <v>269</v>
      </c>
      <c r="R61" s="18" t="s">
        <v>269</v>
      </c>
      <c r="S61" s="18" t="s">
        <v>269</v>
      </c>
      <c r="T61" s="21" t="s">
        <v>291</v>
      </c>
      <c r="U61" s="25"/>
      <c r="V61" s="18" t="s">
        <v>269</v>
      </c>
      <c r="W61" s="38"/>
      <c r="X61" s="19"/>
      <c r="Y61" s="20" t="s">
        <v>268</v>
      </c>
      <c r="Z61" s="19" t="s">
        <v>559</v>
      </c>
      <c r="AA61" s="19"/>
      <c r="AB61" s="19"/>
    </row>
    <row r="62" spans="2:28" x14ac:dyDescent="0.2">
      <c r="B62" s="21" t="s">
        <v>129</v>
      </c>
      <c r="C62" s="22">
        <v>53</v>
      </c>
      <c r="D62" s="21" t="s">
        <v>129</v>
      </c>
      <c r="E62" s="109" t="s">
        <v>981</v>
      </c>
      <c r="F62" s="109" t="s">
        <v>982</v>
      </c>
      <c r="G62" s="109" t="s">
        <v>983</v>
      </c>
      <c r="H62" s="109" t="s">
        <v>984</v>
      </c>
      <c r="I62" s="18" t="s">
        <v>269</v>
      </c>
      <c r="J62" s="18" t="s">
        <v>269</v>
      </c>
      <c r="K62" s="18" t="s">
        <v>269</v>
      </c>
      <c r="L62" s="18" t="s">
        <v>269</v>
      </c>
      <c r="M62" s="18" t="s">
        <v>269</v>
      </c>
      <c r="N62" s="18" t="s">
        <v>269</v>
      </c>
      <c r="O62" s="18" t="s">
        <v>269</v>
      </c>
      <c r="P62" s="18" t="s">
        <v>269</v>
      </c>
      <c r="Q62" s="18" t="s">
        <v>269</v>
      </c>
      <c r="R62" s="18" t="s">
        <v>269</v>
      </c>
      <c r="S62" s="18" t="s">
        <v>269</v>
      </c>
      <c r="T62" s="21" t="s">
        <v>292</v>
      </c>
      <c r="U62" s="25"/>
      <c r="V62" s="18" t="s">
        <v>269</v>
      </c>
      <c r="W62" s="38"/>
      <c r="X62" s="19"/>
      <c r="Y62" s="20" t="s">
        <v>268</v>
      </c>
      <c r="Z62" s="19" t="s">
        <v>559</v>
      </c>
      <c r="AA62" s="19"/>
      <c r="AB62" s="19"/>
    </row>
    <row r="63" spans="2:28" x14ac:dyDescent="0.2">
      <c r="B63" s="21" t="s">
        <v>132</v>
      </c>
      <c r="C63" s="22">
        <v>54</v>
      </c>
      <c r="D63" s="21" t="s">
        <v>132</v>
      </c>
      <c r="E63" s="109" t="s">
        <v>993</v>
      </c>
      <c r="F63" s="109" t="s">
        <v>994</v>
      </c>
      <c r="G63" s="109" t="s">
        <v>995</v>
      </c>
      <c r="H63" s="109" t="s">
        <v>996</v>
      </c>
      <c r="I63" s="18" t="s">
        <v>269</v>
      </c>
      <c r="J63" s="93" t="s">
        <v>660</v>
      </c>
      <c r="K63" s="18" t="s">
        <v>269</v>
      </c>
      <c r="L63" s="93" t="s">
        <v>661</v>
      </c>
      <c r="M63" s="18" t="s">
        <v>269</v>
      </c>
      <c r="N63" s="18" t="s">
        <v>269</v>
      </c>
      <c r="O63" s="21" t="s">
        <v>133</v>
      </c>
      <c r="P63" s="18" t="s">
        <v>269</v>
      </c>
      <c r="Q63" s="18" t="s">
        <v>269</v>
      </c>
      <c r="R63" s="18" t="s">
        <v>269</v>
      </c>
      <c r="S63" s="18" t="s">
        <v>269</v>
      </c>
      <c r="T63" s="18" t="s">
        <v>269</v>
      </c>
      <c r="U63" s="25"/>
      <c r="V63" s="18" t="s">
        <v>269</v>
      </c>
      <c r="W63" s="38" t="str">
        <f>_xlfn.IFS(AND(COUNTIF(U63,"SCB*")=1, 'PCH144'!H60&gt;=2), "See the Notice *2", TRUE, "")</f>
        <v/>
      </c>
      <c r="X63" s="19"/>
      <c r="Y63" s="20" t="s">
        <v>268</v>
      </c>
      <c r="Z63" s="19" t="s">
        <v>560</v>
      </c>
      <c r="AA63" s="19"/>
      <c r="AB63" s="19"/>
    </row>
    <row r="64" spans="2:28" x14ac:dyDescent="0.2">
      <c r="B64" s="21" t="s">
        <v>134</v>
      </c>
      <c r="C64" s="22">
        <v>55</v>
      </c>
      <c r="D64" s="21" t="s">
        <v>134</v>
      </c>
      <c r="E64" s="109" t="s">
        <v>997</v>
      </c>
      <c r="F64" s="109" t="s">
        <v>998</v>
      </c>
      <c r="G64" s="109" t="s">
        <v>999</v>
      </c>
      <c r="H64" s="109" t="s">
        <v>1000</v>
      </c>
      <c r="I64" s="18" t="s">
        <v>269</v>
      </c>
      <c r="J64" s="93" t="s">
        <v>662</v>
      </c>
      <c r="K64" s="93" t="s">
        <v>663</v>
      </c>
      <c r="L64" s="93" t="s">
        <v>664</v>
      </c>
      <c r="M64" s="18" t="s">
        <v>269</v>
      </c>
      <c r="N64" s="18" t="s">
        <v>269</v>
      </c>
      <c r="O64" s="21" t="s">
        <v>135</v>
      </c>
      <c r="P64" s="18" t="s">
        <v>269</v>
      </c>
      <c r="Q64" s="18" t="s">
        <v>269</v>
      </c>
      <c r="R64" s="18" t="s">
        <v>269</v>
      </c>
      <c r="S64" s="18" t="s">
        <v>269</v>
      </c>
      <c r="T64" s="18" t="s">
        <v>269</v>
      </c>
      <c r="U64" s="25"/>
      <c r="V64" s="18" t="s">
        <v>269</v>
      </c>
      <c r="W64" s="38" t="str">
        <f>_xlfn.IFS(AND(COUNTIF(U64,"SCB*")=1, 'PCH144'!H60&gt;=2), "See the Notice *2", TRUE, "")</f>
        <v/>
      </c>
      <c r="X64" s="19"/>
      <c r="Y64" s="20" t="s">
        <v>268</v>
      </c>
      <c r="Z64" s="19" t="s">
        <v>560</v>
      </c>
      <c r="AA64" s="19"/>
      <c r="AB64" s="19"/>
    </row>
    <row r="65" spans="2:28" x14ac:dyDescent="0.2">
      <c r="B65" s="21" t="s">
        <v>136</v>
      </c>
      <c r="C65" s="22">
        <v>56</v>
      </c>
      <c r="D65" s="21" t="s">
        <v>136</v>
      </c>
      <c r="E65" s="109" t="s">
        <v>1001</v>
      </c>
      <c r="F65" s="109" t="s">
        <v>1002</v>
      </c>
      <c r="G65" s="109" t="s">
        <v>1003</v>
      </c>
      <c r="H65" s="109" t="s">
        <v>1004</v>
      </c>
      <c r="I65" s="18" t="s">
        <v>269</v>
      </c>
      <c r="J65" s="93" t="s">
        <v>665</v>
      </c>
      <c r="K65" s="93" t="s">
        <v>666</v>
      </c>
      <c r="L65" s="93" t="s">
        <v>667</v>
      </c>
      <c r="M65" s="18" t="s">
        <v>269</v>
      </c>
      <c r="N65" s="18" t="s">
        <v>269</v>
      </c>
      <c r="O65" s="18" t="s">
        <v>269</v>
      </c>
      <c r="P65" s="18" t="s">
        <v>269</v>
      </c>
      <c r="Q65" s="18" t="s">
        <v>269</v>
      </c>
      <c r="R65" s="18" t="s">
        <v>269</v>
      </c>
      <c r="S65" s="18" t="s">
        <v>269</v>
      </c>
      <c r="T65" s="18" t="s">
        <v>269</v>
      </c>
      <c r="U65" s="25"/>
      <c r="V65" s="18" t="s">
        <v>269</v>
      </c>
      <c r="W65" s="38" t="str">
        <f>_xlfn.IFS(AND(COUNTIF(U65,"SCB*")=1, 'PCH144'!H60&gt;=2), "See the Notice *2", TRUE, "")</f>
        <v/>
      </c>
      <c r="X65" s="19"/>
      <c r="Y65" s="20" t="s">
        <v>268</v>
      </c>
      <c r="Z65" s="19" t="s">
        <v>560</v>
      </c>
      <c r="AA65" s="19"/>
      <c r="AB65" s="19"/>
    </row>
    <row r="66" spans="2:28" x14ac:dyDescent="0.2">
      <c r="B66" s="21" t="s">
        <v>137</v>
      </c>
      <c r="C66" s="22">
        <v>57</v>
      </c>
      <c r="D66" s="21" t="s">
        <v>137</v>
      </c>
      <c r="E66" s="109" t="s">
        <v>1005</v>
      </c>
      <c r="F66" s="109" t="s">
        <v>1006</v>
      </c>
      <c r="G66" s="109" t="s">
        <v>1007</v>
      </c>
      <c r="H66" s="109" t="s">
        <v>1008</v>
      </c>
      <c r="I66" s="18" t="s">
        <v>269</v>
      </c>
      <c r="J66" s="93" t="s">
        <v>668</v>
      </c>
      <c r="K66" s="18" t="s">
        <v>269</v>
      </c>
      <c r="L66" s="93" t="s">
        <v>669</v>
      </c>
      <c r="M66" s="18" t="s">
        <v>269</v>
      </c>
      <c r="N66" s="18" t="s">
        <v>269</v>
      </c>
      <c r="O66" s="18" t="s">
        <v>269</v>
      </c>
      <c r="P66" s="18" t="s">
        <v>269</v>
      </c>
      <c r="Q66" s="18" t="s">
        <v>269</v>
      </c>
      <c r="R66" s="18" t="s">
        <v>269</v>
      </c>
      <c r="S66" s="18" t="s">
        <v>269</v>
      </c>
      <c r="T66" s="18" t="s">
        <v>269</v>
      </c>
      <c r="U66" s="25"/>
      <c r="V66" s="18" t="s">
        <v>269</v>
      </c>
      <c r="W66" s="38" t="str">
        <f>_xlfn.IFS(AND(COUNTIF(U66,"SCB*")=1, 'PCH144'!H60&gt;=2), "See the Notice *2", TRUE, "")</f>
        <v/>
      </c>
      <c r="X66" s="19"/>
      <c r="Y66" s="20" t="s">
        <v>268</v>
      </c>
      <c r="Z66" s="19" t="s">
        <v>560</v>
      </c>
      <c r="AA66" s="19"/>
      <c r="AB66" s="19"/>
    </row>
    <row r="67" spans="2:28" x14ac:dyDescent="0.2">
      <c r="B67" s="21" t="s">
        <v>138</v>
      </c>
      <c r="C67" s="22">
        <v>58</v>
      </c>
      <c r="D67" s="21" t="s">
        <v>138</v>
      </c>
      <c r="E67" s="109" t="s">
        <v>1009</v>
      </c>
      <c r="F67" s="109" t="s">
        <v>1010</v>
      </c>
      <c r="G67" s="109" t="s">
        <v>1011</v>
      </c>
      <c r="H67" s="109" t="s">
        <v>1012</v>
      </c>
      <c r="I67" s="18" t="s">
        <v>269</v>
      </c>
      <c r="J67" s="18" t="s">
        <v>269</v>
      </c>
      <c r="K67" s="18" t="s">
        <v>269</v>
      </c>
      <c r="L67" s="93" t="s">
        <v>670</v>
      </c>
      <c r="M67" s="18" t="s">
        <v>269</v>
      </c>
      <c r="N67" s="18" t="s">
        <v>269</v>
      </c>
      <c r="O67" s="18" t="s">
        <v>269</v>
      </c>
      <c r="P67" s="18" t="s">
        <v>269</v>
      </c>
      <c r="Q67" s="18" t="s">
        <v>269</v>
      </c>
      <c r="R67" s="18" t="s">
        <v>269</v>
      </c>
      <c r="S67" s="18" t="s">
        <v>269</v>
      </c>
      <c r="T67" s="21" t="s">
        <v>295</v>
      </c>
      <c r="U67" s="25"/>
      <c r="V67" s="18" t="s">
        <v>269</v>
      </c>
      <c r="W67" s="38" t="str">
        <f>_xlfn.IFS(AND(COUNTIF(U67,"SCB*")=1, 'PCH144'!H60&gt;=2), "See the Notice *2", TRUE, "")</f>
        <v/>
      </c>
      <c r="X67" s="19"/>
      <c r="Y67" s="20" t="s">
        <v>268</v>
      </c>
      <c r="Z67" s="19" t="s">
        <v>560</v>
      </c>
      <c r="AA67" s="19"/>
      <c r="AB67" s="19"/>
    </row>
    <row r="68" spans="2:28" x14ac:dyDescent="0.2">
      <c r="B68" s="30" t="s">
        <v>564</v>
      </c>
      <c r="C68" s="22">
        <v>59</v>
      </c>
      <c r="D68" s="30" t="s">
        <v>562</v>
      </c>
      <c r="E68" s="18" t="s">
        <v>269</v>
      </c>
      <c r="F68" s="18" t="s">
        <v>269</v>
      </c>
      <c r="G68" s="18" t="s">
        <v>269</v>
      </c>
      <c r="H68" s="18" t="s">
        <v>269</v>
      </c>
      <c r="I68" s="18" t="s">
        <v>269</v>
      </c>
      <c r="J68" s="18" t="s">
        <v>269</v>
      </c>
      <c r="K68" s="18" t="s">
        <v>269</v>
      </c>
      <c r="L68" s="18" t="s">
        <v>269</v>
      </c>
      <c r="M68" s="18" t="s">
        <v>269</v>
      </c>
      <c r="N68" s="18" t="s">
        <v>269</v>
      </c>
      <c r="O68" s="18" t="s">
        <v>269</v>
      </c>
      <c r="P68" s="18" t="s">
        <v>269</v>
      </c>
      <c r="Q68" s="18" t="s">
        <v>269</v>
      </c>
      <c r="R68" s="18" t="s">
        <v>269</v>
      </c>
      <c r="S68" s="18" t="s">
        <v>269</v>
      </c>
      <c r="T68" s="21" t="s">
        <v>299</v>
      </c>
      <c r="U68" s="25"/>
      <c r="V68" s="18" t="s">
        <v>269</v>
      </c>
      <c r="W68" s="38"/>
      <c r="X68" s="19"/>
      <c r="Y68" s="20" t="s">
        <v>268</v>
      </c>
      <c r="Z68" s="19" t="s">
        <v>560</v>
      </c>
      <c r="AA68" s="19"/>
      <c r="AB68" s="19"/>
    </row>
    <row r="69" spans="2:28" x14ac:dyDescent="0.2">
      <c r="B69" s="30" t="s">
        <v>565</v>
      </c>
      <c r="C69" s="22">
        <v>60</v>
      </c>
      <c r="D69" s="30" t="s">
        <v>776</v>
      </c>
      <c r="E69" s="18" t="s">
        <v>269</v>
      </c>
      <c r="F69" s="18" t="s">
        <v>269</v>
      </c>
      <c r="G69" s="18" t="s">
        <v>269</v>
      </c>
      <c r="H69" s="18" t="s">
        <v>269</v>
      </c>
      <c r="I69" s="18" t="s">
        <v>269</v>
      </c>
      <c r="J69" s="18" t="s">
        <v>269</v>
      </c>
      <c r="K69" s="18" t="s">
        <v>269</v>
      </c>
      <c r="L69" s="18" t="s">
        <v>269</v>
      </c>
      <c r="M69" s="18" t="s">
        <v>269</v>
      </c>
      <c r="N69" s="18" t="s">
        <v>269</v>
      </c>
      <c r="O69" s="18" t="s">
        <v>269</v>
      </c>
      <c r="P69" s="18" t="s">
        <v>269</v>
      </c>
      <c r="Q69" s="18" t="s">
        <v>269</v>
      </c>
      <c r="R69" s="18" t="s">
        <v>269</v>
      </c>
      <c r="S69" s="18" t="s">
        <v>269</v>
      </c>
      <c r="T69" s="21" t="s">
        <v>300</v>
      </c>
      <c r="U69" s="25"/>
      <c r="V69" s="18" t="s">
        <v>269</v>
      </c>
      <c r="W69" s="38"/>
      <c r="X69" s="19"/>
      <c r="Y69" s="20" t="s">
        <v>268</v>
      </c>
      <c r="Z69" s="19" t="s">
        <v>560</v>
      </c>
      <c r="AA69" s="19"/>
      <c r="AB69" s="19"/>
    </row>
    <row r="70" spans="2:28" x14ac:dyDescent="0.2">
      <c r="B70" s="30" t="s">
        <v>566</v>
      </c>
      <c r="C70" s="22">
        <v>61</v>
      </c>
      <c r="D70" s="30" t="s">
        <v>777</v>
      </c>
      <c r="E70" s="18" t="s">
        <v>269</v>
      </c>
      <c r="F70" s="18" t="s">
        <v>269</v>
      </c>
      <c r="G70" s="18" t="s">
        <v>269</v>
      </c>
      <c r="H70" s="18" t="s">
        <v>269</v>
      </c>
      <c r="I70" s="18" t="s">
        <v>269</v>
      </c>
      <c r="J70" s="18" t="s">
        <v>269</v>
      </c>
      <c r="K70" s="18" t="s">
        <v>269</v>
      </c>
      <c r="L70" s="18" t="s">
        <v>269</v>
      </c>
      <c r="M70" s="18" t="s">
        <v>269</v>
      </c>
      <c r="N70" s="18" t="s">
        <v>269</v>
      </c>
      <c r="O70" s="18" t="s">
        <v>269</v>
      </c>
      <c r="P70" s="18" t="s">
        <v>269</v>
      </c>
      <c r="Q70" s="18" t="s">
        <v>269</v>
      </c>
      <c r="R70" s="18" t="s">
        <v>269</v>
      </c>
      <c r="S70" s="18" t="s">
        <v>269</v>
      </c>
      <c r="T70" s="21" t="s">
        <v>301</v>
      </c>
      <c r="U70" s="25"/>
      <c r="V70" s="18" t="s">
        <v>269</v>
      </c>
      <c r="W70" s="38"/>
      <c r="X70" s="19"/>
      <c r="Y70" s="20" t="s">
        <v>268</v>
      </c>
      <c r="Z70" s="19" t="s">
        <v>560</v>
      </c>
      <c r="AA70" s="19"/>
      <c r="AB70" s="19"/>
    </row>
    <row r="71" spans="2:28" x14ac:dyDescent="0.2">
      <c r="B71" s="31" t="s">
        <v>260</v>
      </c>
      <c r="C71" s="17">
        <v>62</v>
      </c>
      <c r="D71" s="18" t="s">
        <v>269</v>
      </c>
      <c r="E71" s="18" t="s">
        <v>269</v>
      </c>
      <c r="F71" s="18" t="s">
        <v>269</v>
      </c>
      <c r="G71" s="18" t="s">
        <v>269</v>
      </c>
      <c r="H71" s="18" t="s">
        <v>269</v>
      </c>
      <c r="I71" s="18" t="s">
        <v>269</v>
      </c>
      <c r="J71" s="18" t="s">
        <v>269</v>
      </c>
      <c r="K71" s="18" t="s">
        <v>269</v>
      </c>
      <c r="L71" s="18" t="s">
        <v>269</v>
      </c>
      <c r="M71" s="18" t="s">
        <v>269</v>
      </c>
      <c r="N71" s="18" t="s">
        <v>269</v>
      </c>
      <c r="O71" s="18" t="s">
        <v>269</v>
      </c>
      <c r="P71" s="18" t="s">
        <v>269</v>
      </c>
      <c r="Q71" s="18" t="s">
        <v>269</v>
      </c>
      <c r="R71" s="18" t="s">
        <v>269</v>
      </c>
      <c r="S71" s="18" t="s">
        <v>269</v>
      </c>
      <c r="T71" s="18" t="s">
        <v>269</v>
      </c>
      <c r="U71" s="31" t="s">
        <v>260</v>
      </c>
      <c r="V71" s="18" t="s">
        <v>269</v>
      </c>
      <c r="W71" s="38"/>
      <c r="X71" s="19" t="s">
        <v>548</v>
      </c>
      <c r="Y71" s="20" t="s">
        <v>555</v>
      </c>
      <c r="Z71" s="20" t="s">
        <v>555</v>
      </c>
      <c r="AA71" s="19"/>
      <c r="AB71" s="19"/>
    </row>
    <row r="72" spans="2:28" x14ac:dyDescent="0.2">
      <c r="B72" s="16" t="s">
        <v>261</v>
      </c>
      <c r="C72" s="17">
        <v>63</v>
      </c>
      <c r="D72" s="18" t="s">
        <v>269</v>
      </c>
      <c r="E72" s="18" t="s">
        <v>269</v>
      </c>
      <c r="F72" s="18" t="s">
        <v>269</v>
      </c>
      <c r="G72" s="18" t="s">
        <v>269</v>
      </c>
      <c r="H72" s="18" t="s">
        <v>269</v>
      </c>
      <c r="I72" s="18" t="s">
        <v>269</v>
      </c>
      <c r="J72" s="18" t="s">
        <v>269</v>
      </c>
      <c r="K72" s="18" t="s">
        <v>269</v>
      </c>
      <c r="L72" s="18" t="s">
        <v>269</v>
      </c>
      <c r="M72" s="18" t="s">
        <v>269</v>
      </c>
      <c r="N72" s="18" t="s">
        <v>269</v>
      </c>
      <c r="O72" s="18" t="s">
        <v>269</v>
      </c>
      <c r="P72" s="18" t="s">
        <v>269</v>
      </c>
      <c r="Q72" s="18" t="s">
        <v>269</v>
      </c>
      <c r="R72" s="18" t="s">
        <v>269</v>
      </c>
      <c r="S72" s="18" t="s">
        <v>269</v>
      </c>
      <c r="T72" s="18" t="s">
        <v>269</v>
      </c>
      <c r="U72" s="16" t="s">
        <v>261</v>
      </c>
      <c r="V72" s="18" t="s">
        <v>269</v>
      </c>
      <c r="W72" s="38"/>
      <c r="X72" s="19" t="s">
        <v>550</v>
      </c>
      <c r="Y72" s="20" t="s">
        <v>555</v>
      </c>
      <c r="Z72" s="20" t="s">
        <v>555</v>
      </c>
      <c r="AA72" s="19"/>
      <c r="AB72" s="19"/>
    </row>
    <row r="73" spans="2:28" x14ac:dyDescent="0.2">
      <c r="B73" s="28" t="s">
        <v>262</v>
      </c>
      <c r="C73" s="17">
        <v>64</v>
      </c>
      <c r="D73" s="18" t="s">
        <v>269</v>
      </c>
      <c r="E73" s="18" t="s">
        <v>269</v>
      </c>
      <c r="F73" s="18" t="s">
        <v>269</v>
      </c>
      <c r="G73" s="18" t="s">
        <v>269</v>
      </c>
      <c r="H73" s="18" t="s">
        <v>269</v>
      </c>
      <c r="I73" s="18" t="s">
        <v>269</v>
      </c>
      <c r="J73" s="18" t="s">
        <v>269</v>
      </c>
      <c r="K73" s="18" t="s">
        <v>269</v>
      </c>
      <c r="L73" s="18" t="s">
        <v>269</v>
      </c>
      <c r="M73" s="18" t="s">
        <v>269</v>
      </c>
      <c r="N73" s="18" t="s">
        <v>269</v>
      </c>
      <c r="O73" s="18" t="s">
        <v>269</v>
      </c>
      <c r="P73" s="18" t="s">
        <v>269</v>
      </c>
      <c r="Q73" s="18" t="s">
        <v>269</v>
      </c>
      <c r="R73" s="18" t="s">
        <v>269</v>
      </c>
      <c r="S73" s="18" t="s">
        <v>269</v>
      </c>
      <c r="T73" s="18" t="s">
        <v>269</v>
      </c>
      <c r="U73" s="28" t="s">
        <v>262</v>
      </c>
      <c r="V73" s="18" t="s">
        <v>269</v>
      </c>
      <c r="W73" s="38"/>
      <c r="X73" s="19" t="s">
        <v>551</v>
      </c>
      <c r="Y73" s="20" t="s">
        <v>555</v>
      </c>
      <c r="Z73" s="20" t="s">
        <v>555</v>
      </c>
      <c r="AA73" s="19"/>
      <c r="AB73" s="19"/>
    </row>
    <row r="74" spans="2:28" x14ac:dyDescent="0.2">
      <c r="B74" s="31" t="s">
        <v>263</v>
      </c>
      <c r="C74" s="17">
        <v>65</v>
      </c>
      <c r="D74" s="18" t="s">
        <v>269</v>
      </c>
      <c r="E74" s="18" t="s">
        <v>269</v>
      </c>
      <c r="F74" s="18" t="s">
        <v>269</v>
      </c>
      <c r="G74" s="18" t="s">
        <v>269</v>
      </c>
      <c r="H74" s="18" t="s">
        <v>269</v>
      </c>
      <c r="I74" s="18" t="s">
        <v>269</v>
      </c>
      <c r="J74" s="18" t="s">
        <v>269</v>
      </c>
      <c r="K74" s="18" t="s">
        <v>269</v>
      </c>
      <c r="L74" s="18" t="s">
        <v>269</v>
      </c>
      <c r="M74" s="18" t="s">
        <v>269</v>
      </c>
      <c r="N74" s="18" t="s">
        <v>269</v>
      </c>
      <c r="O74" s="18" t="s">
        <v>269</v>
      </c>
      <c r="P74" s="18" t="s">
        <v>269</v>
      </c>
      <c r="Q74" s="18" t="s">
        <v>269</v>
      </c>
      <c r="R74" s="18" t="s">
        <v>269</v>
      </c>
      <c r="S74" s="18" t="s">
        <v>269</v>
      </c>
      <c r="T74" s="18" t="s">
        <v>269</v>
      </c>
      <c r="U74" s="31" t="s">
        <v>263</v>
      </c>
      <c r="V74" s="18" t="s">
        <v>269</v>
      </c>
      <c r="W74" s="38"/>
      <c r="X74" s="19" t="s">
        <v>549</v>
      </c>
      <c r="Y74" s="20" t="s">
        <v>555</v>
      </c>
      <c r="Z74" s="20" t="s">
        <v>555</v>
      </c>
      <c r="AA74" s="19"/>
      <c r="AB74" s="19"/>
    </row>
    <row r="75" spans="2:28" x14ac:dyDescent="0.2">
      <c r="B75" s="21" t="s">
        <v>142</v>
      </c>
      <c r="C75" s="22">
        <v>66</v>
      </c>
      <c r="D75" s="21" t="s">
        <v>142</v>
      </c>
      <c r="E75" s="109" t="s">
        <v>1025</v>
      </c>
      <c r="F75" s="109" t="s">
        <v>1026</v>
      </c>
      <c r="G75" s="109" t="s">
        <v>1027</v>
      </c>
      <c r="H75" s="109" t="s">
        <v>1028</v>
      </c>
      <c r="I75" s="18" t="s">
        <v>269</v>
      </c>
      <c r="J75" s="18" t="s">
        <v>269</v>
      </c>
      <c r="K75" s="18" t="s">
        <v>269</v>
      </c>
      <c r="L75" s="18" t="s">
        <v>269</v>
      </c>
      <c r="M75" s="18" t="s">
        <v>269</v>
      </c>
      <c r="N75" s="21" t="s">
        <v>98</v>
      </c>
      <c r="O75" s="21" t="s">
        <v>143</v>
      </c>
      <c r="P75" s="18" t="s">
        <v>269</v>
      </c>
      <c r="Q75" s="18" t="s">
        <v>269</v>
      </c>
      <c r="R75" s="18" t="s">
        <v>269</v>
      </c>
      <c r="S75" s="18" t="s">
        <v>269</v>
      </c>
      <c r="T75" s="21" t="s">
        <v>302</v>
      </c>
      <c r="U75" s="25"/>
      <c r="V75" s="33"/>
      <c r="W75" s="38"/>
      <c r="X75" s="19"/>
      <c r="Y75" s="20" t="s">
        <v>268</v>
      </c>
      <c r="Z75" s="19" t="s">
        <v>560</v>
      </c>
      <c r="AA75" s="19"/>
      <c r="AB75" s="19"/>
    </row>
    <row r="76" spans="2:28" x14ac:dyDescent="0.2">
      <c r="B76" s="21" t="s">
        <v>144</v>
      </c>
      <c r="C76" s="22">
        <v>67</v>
      </c>
      <c r="D76" s="21" t="s">
        <v>144</v>
      </c>
      <c r="E76" s="109" t="s">
        <v>1029</v>
      </c>
      <c r="F76" s="109" t="s">
        <v>1030</v>
      </c>
      <c r="G76" s="109" t="s">
        <v>1031</v>
      </c>
      <c r="H76" s="109" t="s">
        <v>1032</v>
      </c>
      <c r="I76" s="18" t="s">
        <v>269</v>
      </c>
      <c r="J76" s="18" t="s">
        <v>269</v>
      </c>
      <c r="K76" s="18" t="s">
        <v>269</v>
      </c>
      <c r="L76" s="18" t="s">
        <v>269</v>
      </c>
      <c r="M76" s="21" t="s">
        <v>145</v>
      </c>
      <c r="N76" s="21" t="s">
        <v>101</v>
      </c>
      <c r="O76" s="21" t="s">
        <v>146</v>
      </c>
      <c r="P76" s="18" t="s">
        <v>269</v>
      </c>
      <c r="Q76" s="18" t="s">
        <v>269</v>
      </c>
      <c r="R76" s="18" t="s">
        <v>269</v>
      </c>
      <c r="S76" s="18" t="s">
        <v>269</v>
      </c>
      <c r="T76" s="21" t="s">
        <v>303</v>
      </c>
      <c r="U76" s="25"/>
      <c r="V76" s="33"/>
      <c r="W76" s="38"/>
      <c r="X76" s="19"/>
      <c r="Y76" s="20" t="s">
        <v>268</v>
      </c>
      <c r="Z76" s="19" t="s">
        <v>560</v>
      </c>
      <c r="AA76" s="19"/>
      <c r="AB76" s="19"/>
    </row>
    <row r="77" spans="2:28" x14ac:dyDescent="0.2">
      <c r="B77" s="21" t="s">
        <v>147</v>
      </c>
      <c r="C77" s="22">
        <v>68</v>
      </c>
      <c r="D77" s="21" t="s">
        <v>147</v>
      </c>
      <c r="E77" s="109" t="s">
        <v>1033</v>
      </c>
      <c r="F77" s="109" t="s">
        <v>1034</v>
      </c>
      <c r="G77" s="109" t="s">
        <v>1035</v>
      </c>
      <c r="H77" s="110" t="s">
        <v>1036</v>
      </c>
      <c r="I77" s="21" t="s">
        <v>148</v>
      </c>
      <c r="J77" s="18" t="s">
        <v>269</v>
      </c>
      <c r="K77" s="18" t="s">
        <v>269</v>
      </c>
      <c r="L77" s="18" t="s">
        <v>269</v>
      </c>
      <c r="M77" s="21" t="s">
        <v>149</v>
      </c>
      <c r="N77" s="18" t="s">
        <v>269</v>
      </c>
      <c r="O77" s="18" t="s">
        <v>269</v>
      </c>
      <c r="P77" s="18" t="s">
        <v>269</v>
      </c>
      <c r="Q77" s="18" t="s">
        <v>269</v>
      </c>
      <c r="R77" s="18" t="s">
        <v>269</v>
      </c>
      <c r="S77" s="18" t="s">
        <v>269</v>
      </c>
      <c r="T77" s="21" t="s">
        <v>304</v>
      </c>
      <c r="U77" s="25"/>
      <c r="V77" s="33"/>
      <c r="W77" s="38"/>
      <c r="X77" s="19"/>
      <c r="Y77" s="20" t="s">
        <v>268</v>
      </c>
      <c r="Z77" s="19" t="s">
        <v>560</v>
      </c>
      <c r="AA77" s="19"/>
      <c r="AB77" s="19"/>
    </row>
    <row r="78" spans="2:28" x14ac:dyDescent="0.2">
      <c r="B78" s="21" t="s">
        <v>150</v>
      </c>
      <c r="C78" s="22">
        <v>69</v>
      </c>
      <c r="D78" s="21" t="s">
        <v>150</v>
      </c>
      <c r="E78" s="109" t="s">
        <v>1037</v>
      </c>
      <c r="F78" s="109" t="s">
        <v>1038</v>
      </c>
      <c r="G78" s="109" t="s">
        <v>1039</v>
      </c>
      <c r="H78" s="110" t="s">
        <v>1040</v>
      </c>
      <c r="I78" s="21" t="s">
        <v>151</v>
      </c>
      <c r="J78" s="18" t="s">
        <v>269</v>
      </c>
      <c r="K78" s="18" t="s">
        <v>269</v>
      </c>
      <c r="L78" s="18" t="s">
        <v>269</v>
      </c>
      <c r="M78" s="21" t="s">
        <v>152</v>
      </c>
      <c r="N78" s="18" t="s">
        <v>269</v>
      </c>
      <c r="O78" s="18" t="s">
        <v>269</v>
      </c>
      <c r="P78" s="18" t="s">
        <v>269</v>
      </c>
      <c r="Q78" s="18" t="s">
        <v>269</v>
      </c>
      <c r="R78" s="18" t="s">
        <v>269</v>
      </c>
      <c r="S78" s="18" t="s">
        <v>269</v>
      </c>
      <c r="T78" s="21" t="s">
        <v>305</v>
      </c>
      <c r="U78" s="25"/>
      <c r="V78" s="33"/>
      <c r="W78" s="38"/>
      <c r="X78" s="19"/>
      <c r="Y78" s="20" t="s">
        <v>268</v>
      </c>
      <c r="Z78" s="19" t="s">
        <v>560</v>
      </c>
      <c r="AA78" s="19"/>
      <c r="AB78" s="19"/>
    </row>
    <row r="79" spans="2:28" x14ac:dyDescent="0.2">
      <c r="B79" s="21" t="s">
        <v>153</v>
      </c>
      <c r="C79" s="22">
        <v>70</v>
      </c>
      <c r="D79" s="21" t="s">
        <v>153</v>
      </c>
      <c r="E79" s="109" t="s">
        <v>1041</v>
      </c>
      <c r="F79" s="109" t="s">
        <v>1042</v>
      </c>
      <c r="G79" s="109" t="s">
        <v>1043</v>
      </c>
      <c r="H79" s="110" t="s">
        <v>1044</v>
      </c>
      <c r="I79" s="21" t="s">
        <v>154</v>
      </c>
      <c r="J79" s="18" t="s">
        <v>269</v>
      </c>
      <c r="K79" s="18" t="s">
        <v>269</v>
      </c>
      <c r="L79" s="18" t="s">
        <v>269</v>
      </c>
      <c r="M79" s="18" t="s">
        <v>269</v>
      </c>
      <c r="N79" s="18" t="s">
        <v>269</v>
      </c>
      <c r="O79" s="18" t="s">
        <v>269</v>
      </c>
      <c r="P79" s="18" t="s">
        <v>269</v>
      </c>
      <c r="Q79" s="18" t="s">
        <v>269</v>
      </c>
      <c r="R79" s="18" t="s">
        <v>269</v>
      </c>
      <c r="S79" s="18" t="s">
        <v>269</v>
      </c>
      <c r="T79" s="21" t="s">
        <v>306</v>
      </c>
      <c r="U79" s="25"/>
      <c r="V79" s="33"/>
      <c r="W79" s="38"/>
      <c r="X79" s="19"/>
      <c r="Y79" s="20" t="s">
        <v>268</v>
      </c>
      <c r="Z79" s="19" t="s">
        <v>560</v>
      </c>
      <c r="AA79" s="19"/>
      <c r="AB79" s="19"/>
    </row>
    <row r="80" spans="2:28" x14ac:dyDescent="0.2">
      <c r="B80" s="21" t="s">
        <v>155</v>
      </c>
      <c r="C80" s="22">
        <v>71</v>
      </c>
      <c r="D80" s="21" t="s">
        <v>155</v>
      </c>
      <c r="E80" s="109" t="s">
        <v>1045</v>
      </c>
      <c r="F80" s="109" t="s">
        <v>1046</v>
      </c>
      <c r="G80" s="109" t="s">
        <v>1047</v>
      </c>
      <c r="H80" s="110" t="s">
        <v>1048</v>
      </c>
      <c r="I80" s="21" t="s">
        <v>156</v>
      </c>
      <c r="J80" s="18" t="s">
        <v>269</v>
      </c>
      <c r="K80" s="18" t="s">
        <v>269</v>
      </c>
      <c r="L80" s="18" t="s">
        <v>269</v>
      </c>
      <c r="M80" s="18" t="s">
        <v>269</v>
      </c>
      <c r="N80" s="18" t="s">
        <v>269</v>
      </c>
      <c r="O80" s="18" t="s">
        <v>269</v>
      </c>
      <c r="P80" s="18" t="s">
        <v>269</v>
      </c>
      <c r="Q80" s="18" t="s">
        <v>269</v>
      </c>
      <c r="R80" s="18" t="s">
        <v>269</v>
      </c>
      <c r="S80" s="18" t="s">
        <v>269</v>
      </c>
      <c r="T80" s="21" t="s">
        <v>307</v>
      </c>
      <c r="U80" s="25"/>
      <c r="V80" s="33"/>
      <c r="W80" s="38"/>
      <c r="X80" s="19"/>
      <c r="Y80" s="20" t="s">
        <v>268</v>
      </c>
      <c r="Z80" s="19" t="s">
        <v>560</v>
      </c>
      <c r="AA80" s="19"/>
      <c r="AB80" s="19"/>
    </row>
    <row r="81" spans="2:28" x14ac:dyDescent="0.2">
      <c r="B81" s="28" t="s">
        <v>363</v>
      </c>
      <c r="C81" s="17">
        <v>72</v>
      </c>
      <c r="D81" s="18" t="s">
        <v>269</v>
      </c>
      <c r="E81" s="18" t="s">
        <v>269</v>
      </c>
      <c r="F81" s="18" t="s">
        <v>269</v>
      </c>
      <c r="G81" s="18" t="s">
        <v>269</v>
      </c>
      <c r="H81" s="18" t="s">
        <v>269</v>
      </c>
      <c r="I81" s="18" t="s">
        <v>269</v>
      </c>
      <c r="J81" s="18" t="s">
        <v>269</v>
      </c>
      <c r="K81" s="18" t="s">
        <v>269</v>
      </c>
      <c r="L81" s="18" t="s">
        <v>269</v>
      </c>
      <c r="M81" s="18" t="s">
        <v>269</v>
      </c>
      <c r="N81" s="18" t="s">
        <v>269</v>
      </c>
      <c r="O81" s="18" t="s">
        <v>269</v>
      </c>
      <c r="P81" s="18" t="s">
        <v>269</v>
      </c>
      <c r="Q81" s="18" t="s">
        <v>269</v>
      </c>
      <c r="R81" s="18" t="s">
        <v>269</v>
      </c>
      <c r="S81" s="18" t="s">
        <v>269</v>
      </c>
      <c r="T81" s="18" t="s">
        <v>269</v>
      </c>
      <c r="U81" s="28" t="s">
        <v>363</v>
      </c>
      <c r="V81" s="18" t="s">
        <v>269</v>
      </c>
      <c r="W81" s="38"/>
      <c r="X81" s="19" t="s">
        <v>546</v>
      </c>
      <c r="Y81" s="20" t="s">
        <v>555</v>
      </c>
      <c r="Z81" s="20" t="s">
        <v>555</v>
      </c>
      <c r="AA81" s="19"/>
      <c r="AB81" s="19"/>
    </row>
    <row r="82" spans="2:28" x14ac:dyDescent="0.2">
      <c r="B82" s="16" t="s">
        <v>256</v>
      </c>
      <c r="C82" s="17">
        <v>73</v>
      </c>
      <c r="D82" s="18" t="s">
        <v>269</v>
      </c>
      <c r="E82" s="18" t="s">
        <v>269</v>
      </c>
      <c r="F82" s="18" t="s">
        <v>269</v>
      </c>
      <c r="G82" s="18" t="s">
        <v>269</v>
      </c>
      <c r="H82" s="18" t="s">
        <v>269</v>
      </c>
      <c r="I82" s="18" t="s">
        <v>269</v>
      </c>
      <c r="J82" s="18" t="s">
        <v>269</v>
      </c>
      <c r="K82" s="18" t="s">
        <v>269</v>
      </c>
      <c r="L82" s="18" t="s">
        <v>269</v>
      </c>
      <c r="M82" s="18" t="s">
        <v>269</v>
      </c>
      <c r="N82" s="18" t="s">
        <v>269</v>
      </c>
      <c r="O82" s="18" t="s">
        <v>269</v>
      </c>
      <c r="P82" s="18" t="s">
        <v>269</v>
      </c>
      <c r="Q82" s="18" t="s">
        <v>269</v>
      </c>
      <c r="R82" s="18" t="s">
        <v>269</v>
      </c>
      <c r="S82" s="18" t="s">
        <v>269</v>
      </c>
      <c r="T82" s="18" t="s">
        <v>269</v>
      </c>
      <c r="U82" s="16" t="s">
        <v>256</v>
      </c>
      <c r="V82" s="18" t="s">
        <v>269</v>
      </c>
      <c r="W82" s="38"/>
      <c r="X82" s="19" t="s">
        <v>545</v>
      </c>
      <c r="Y82" s="20" t="s">
        <v>555</v>
      </c>
      <c r="Z82" s="20" t="s">
        <v>555</v>
      </c>
      <c r="AA82" s="19"/>
      <c r="AB82" s="19"/>
    </row>
    <row r="83" spans="2:28" x14ac:dyDescent="0.2">
      <c r="B83" s="21" t="s">
        <v>159</v>
      </c>
      <c r="C83" s="22">
        <v>74</v>
      </c>
      <c r="D83" s="21" t="s">
        <v>159</v>
      </c>
      <c r="E83" s="109" t="s">
        <v>1057</v>
      </c>
      <c r="F83" s="109" t="s">
        <v>1058</v>
      </c>
      <c r="G83" s="109" t="s">
        <v>1059</v>
      </c>
      <c r="H83" s="110" t="s">
        <v>1060</v>
      </c>
      <c r="I83" s="21" t="s">
        <v>160</v>
      </c>
      <c r="J83" s="93" t="s">
        <v>672</v>
      </c>
      <c r="K83" s="18" t="s">
        <v>269</v>
      </c>
      <c r="L83" s="93" t="s">
        <v>673</v>
      </c>
      <c r="M83" s="18" t="s">
        <v>269</v>
      </c>
      <c r="N83" s="18" t="s">
        <v>269</v>
      </c>
      <c r="O83" s="18" t="s">
        <v>269</v>
      </c>
      <c r="P83" s="18" t="s">
        <v>269</v>
      </c>
      <c r="Q83" s="18" t="s">
        <v>269</v>
      </c>
      <c r="R83" s="18" t="s">
        <v>269</v>
      </c>
      <c r="S83" s="18" t="s">
        <v>269</v>
      </c>
      <c r="T83" s="21" t="s">
        <v>310</v>
      </c>
      <c r="U83" s="24"/>
      <c r="V83" s="33"/>
      <c r="W83" s="38" t="str">
        <f>_xlfn.IFS(AND(COUNTIF(U83,"SCB*")=1, 'PCH144'!G60&gt;=2), "See the Notice *2", TRUE, "")</f>
        <v/>
      </c>
      <c r="X83" s="19"/>
      <c r="Y83" s="20" t="s">
        <v>268</v>
      </c>
      <c r="Z83" s="19" t="s">
        <v>560</v>
      </c>
      <c r="AA83" s="19"/>
      <c r="AB83" s="19"/>
    </row>
    <row r="84" spans="2:28" x14ac:dyDescent="0.2">
      <c r="B84" s="21" t="s">
        <v>161</v>
      </c>
      <c r="C84" s="22">
        <v>75</v>
      </c>
      <c r="D84" s="21" t="s">
        <v>161</v>
      </c>
      <c r="E84" s="109" t="s">
        <v>1061</v>
      </c>
      <c r="F84" s="109" t="s">
        <v>1062</v>
      </c>
      <c r="G84" s="109" t="s">
        <v>1063</v>
      </c>
      <c r="H84" s="110" t="s">
        <v>1064</v>
      </c>
      <c r="I84" s="21" t="s">
        <v>162</v>
      </c>
      <c r="J84" s="93" t="s">
        <v>674</v>
      </c>
      <c r="K84" s="93" t="s">
        <v>675</v>
      </c>
      <c r="L84" s="93" t="s">
        <v>676</v>
      </c>
      <c r="M84" s="18" t="s">
        <v>269</v>
      </c>
      <c r="N84" s="18" t="s">
        <v>269</v>
      </c>
      <c r="O84" s="18" t="s">
        <v>269</v>
      </c>
      <c r="P84" s="18" t="s">
        <v>269</v>
      </c>
      <c r="Q84" s="18" t="s">
        <v>269</v>
      </c>
      <c r="R84" s="18" t="s">
        <v>269</v>
      </c>
      <c r="S84" s="18" t="s">
        <v>269</v>
      </c>
      <c r="T84" s="21" t="s">
        <v>311</v>
      </c>
      <c r="U84" s="25"/>
      <c r="V84" s="33"/>
      <c r="W84" s="38" t="str">
        <f>_xlfn.IFS(AND(COUNTIF(U84,"SCB*")=1, 'PCH144'!G60&gt;=2), "See the Notice *2", TRUE, "")</f>
        <v/>
      </c>
      <c r="X84" s="19"/>
      <c r="Y84" s="20" t="s">
        <v>268</v>
      </c>
      <c r="Z84" s="19" t="s">
        <v>560</v>
      </c>
      <c r="AA84" s="19"/>
      <c r="AB84" s="19"/>
    </row>
    <row r="85" spans="2:28" x14ac:dyDescent="0.2">
      <c r="B85" s="21" t="s">
        <v>163</v>
      </c>
      <c r="C85" s="22">
        <v>76</v>
      </c>
      <c r="D85" s="21" t="s">
        <v>163</v>
      </c>
      <c r="E85" s="109" t="s">
        <v>1065</v>
      </c>
      <c r="F85" s="109" t="s">
        <v>1066</v>
      </c>
      <c r="G85" s="109" t="s">
        <v>1067</v>
      </c>
      <c r="H85" s="110" t="s">
        <v>1068</v>
      </c>
      <c r="I85" s="21" t="s">
        <v>164</v>
      </c>
      <c r="J85" s="93" t="s">
        <v>677</v>
      </c>
      <c r="K85" s="93" t="s">
        <v>678</v>
      </c>
      <c r="L85" s="93" t="s">
        <v>679</v>
      </c>
      <c r="M85" s="18" t="s">
        <v>269</v>
      </c>
      <c r="N85" s="18" t="s">
        <v>269</v>
      </c>
      <c r="O85" s="18" t="s">
        <v>269</v>
      </c>
      <c r="P85" s="18" t="s">
        <v>269</v>
      </c>
      <c r="Q85" s="18" t="s">
        <v>269</v>
      </c>
      <c r="R85" s="18" t="s">
        <v>269</v>
      </c>
      <c r="S85" s="18" t="s">
        <v>269</v>
      </c>
      <c r="T85" s="21" t="s">
        <v>312</v>
      </c>
      <c r="U85" s="25"/>
      <c r="V85" s="33"/>
      <c r="W85" s="38" t="str">
        <f>_xlfn.IFS(AND(COUNTIF(U85,"SCB*")=1, 'PCH144'!G60&gt;=2), "See the Notice *2", TRUE, "")</f>
        <v/>
      </c>
      <c r="X85" s="19"/>
      <c r="Y85" s="20" t="s">
        <v>268</v>
      </c>
      <c r="Z85" s="19" t="s">
        <v>560</v>
      </c>
      <c r="AA85" s="19"/>
      <c r="AB85" s="19"/>
    </row>
    <row r="86" spans="2:28" x14ac:dyDescent="0.2">
      <c r="B86" s="21" t="s">
        <v>165</v>
      </c>
      <c r="C86" s="22">
        <v>77</v>
      </c>
      <c r="D86" s="21" t="s">
        <v>165</v>
      </c>
      <c r="E86" s="109" t="s">
        <v>1069</v>
      </c>
      <c r="F86" s="109" t="s">
        <v>1070</v>
      </c>
      <c r="G86" s="109" t="s">
        <v>1071</v>
      </c>
      <c r="H86" s="110" t="s">
        <v>1072</v>
      </c>
      <c r="I86" s="21" t="s">
        <v>166</v>
      </c>
      <c r="J86" s="93" t="s">
        <v>680</v>
      </c>
      <c r="K86" s="18" t="s">
        <v>269</v>
      </c>
      <c r="L86" s="93" t="s">
        <v>681</v>
      </c>
      <c r="M86" s="18" t="s">
        <v>269</v>
      </c>
      <c r="N86" s="18" t="s">
        <v>269</v>
      </c>
      <c r="O86" s="18" t="s">
        <v>269</v>
      </c>
      <c r="P86" s="18" t="s">
        <v>269</v>
      </c>
      <c r="Q86" s="18" t="s">
        <v>269</v>
      </c>
      <c r="R86" s="18" t="s">
        <v>269</v>
      </c>
      <c r="S86" s="18" t="s">
        <v>269</v>
      </c>
      <c r="T86" s="21" t="s">
        <v>313</v>
      </c>
      <c r="U86" s="25"/>
      <c r="V86" s="33"/>
      <c r="W86" s="38" t="str">
        <f>_xlfn.IFS(AND(COUNTIF(U86,"SCB*")=1, 'PCH144'!G60&gt;=2), "See the Notice *2", TRUE, "")</f>
        <v/>
      </c>
      <c r="X86" s="19"/>
      <c r="Y86" s="20" t="s">
        <v>268</v>
      </c>
      <c r="Z86" s="19" t="s">
        <v>560</v>
      </c>
      <c r="AA86" s="19"/>
      <c r="AB86" s="19"/>
    </row>
    <row r="87" spans="2:28" x14ac:dyDescent="0.2">
      <c r="B87" s="21" t="s">
        <v>167</v>
      </c>
      <c r="C87" s="22">
        <v>78</v>
      </c>
      <c r="D87" s="21" t="s">
        <v>167</v>
      </c>
      <c r="E87" s="109" t="s">
        <v>1073</v>
      </c>
      <c r="F87" s="109" t="s">
        <v>1178</v>
      </c>
      <c r="G87" s="109" t="s">
        <v>1075</v>
      </c>
      <c r="H87" s="109" t="s">
        <v>1076</v>
      </c>
      <c r="I87" s="18" t="s">
        <v>269</v>
      </c>
      <c r="J87" s="18" t="s">
        <v>269</v>
      </c>
      <c r="K87" s="18" t="s">
        <v>269</v>
      </c>
      <c r="L87" s="93" t="s">
        <v>682</v>
      </c>
      <c r="M87" s="18" t="s">
        <v>269</v>
      </c>
      <c r="N87" s="18" t="s">
        <v>269</v>
      </c>
      <c r="O87" s="18" t="s">
        <v>269</v>
      </c>
      <c r="P87" s="18" t="s">
        <v>269</v>
      </c>
      <c r="Q87" s="18" t="s">
        <v>269</v>
      </c>
      <c r="R87" s="18" t="s">
        <v>269</v>
      </c>
      <c r="S87" s="18" t="s">
        <v>269</v>
      </c>
      <c r="T87" s="21" t="s">
        <v>314</v>
      </c>
      <c r="U87" s="25"/>
      <c r="V87" s="33"/>
      <c r="W87" s="38" t="str">
        <f>_xlfn.IFS(AND(COUNTIF(U87,"SCB*")=1, 'PCH144'!G60&gt;=2), "See the Notice *2", TRUE, "")</f>
        <v/>
      </c>
      <c r="X87" s="19"/>
      <c r="Y87" s="20" t="s">
        <v>268</v>
      </c>
      <c r="Z87" s="19" t="s">
        <v>560</v>
      </c>
      <c r="AA87" s="19"/>
      <c r="AB87" s="19"/>
    </row>
    <row r="88" spans="2:28" x14ac:dyDescent="0.2">
      <c r="B88" s="21" t="s">
        <v>168</v>
      </c>
      <c r="C88" s="22">
        <v>79</v>
      </c>
      <c r="D88" s="21" t="s">
        <v>168</v>
      </c>
      <c r="E88" s="109" t="s">
        <v>1077</v>
      </c>
      <c r="F88" s="109" t="s">
        <v>1179</v>
      </c>
      <c r="G88" s="109" t="s">
        <v>1079</v>
      </c>
      <c r="H88" s="109" t="s">
        <v>1080</v>
      </c>
      <c r="I88" s="18" t="s">
        <v>269</v>
      </c>
      <c r="J88" s="18" t="s">
        <v>269</v>
      </c>
      <c r="K88" s="18" t="s">
        <v>269</v>
      </c>
      <c r="L88" s="93" t="s">
        <v>683</v>
      </c>
      <c r="M88" s="18" t="s">
        <v>269</v>
      </c>
      <c r="N88" s="18" t="s">
        <v>269</v>
      </c>
      <c r="O88" s="18" t="s">
        <v>269</v>
      </c>
      <c r="P88" s="18" t="s">
        <v>269</v>
      </c>
      <c r="Q88" s="18" t="s">
        <v>269</v>
      </c>
      <c r="R88" s="18" t="s">
        <v>269</v>
      </c>
      <c r="S88" s="18" t="s">
        <v>269</v>
      </c>
      <c r="T88" s="21" t="s">
        <v>315</v>
      </c>
      <c r="U88" s="25"/>
      <c r="V88" s="33"/>
      <c r="W88" s="38" t="str">
        <f>_xlfn.IFS(AND(COUNTIF(U88,"SCB*")=1, 'PCH144'!G60&gt;=2), "See the Notice *2", TRUE, "")</f>
        <v/>
      </c>
      <c r="X88" s="19"/>
      <c r="Y88" s="20" t="s">
        <v>268</v>
      </c>
      <c r="Z88" s="19" t="s">
        <v>560</v>
      </c>
      <c r="AA88" s="19"/>
      <c r="AB88" s="19"/>
    </row>
    <row r="89" spans="2:28" x14ac:dyDescent="0.2">
      <c r="B89" s="21" t="s">
        <v>169</v>
      </c>
      <c r="C89" s="22">
        <v>80</v>
      </c>
      <c r="D89" s="21" t="s">
        <v>169</v>
      </c>
      <c r="E89" s="109" t="s">
        <v>1081</v>
      </c>
      <c r="F89" s="109" t="s">
        <v>1180</v>
      </c>
      <c r="G89" s="109" t="s">
        <v>1083</v>
      </c>
      <c r="H89" s="109" t="s">
        <v>1084</v>
      </c>
      <c r="I89" s="18" t="s">
        <v>269</v>
      </c>
      <c r="J89" s="18" t="s">
        <v>269</v>
      </c>
      <c r="K89" s="18" t="s">
        <v>269</v>
      </c>
      <c r="L89" s="93" t="s">
        <v>684</v>
      </c>
      <c r="M89" s="18" t="s">
        <v>269</v>
      </c>
      <c r="N89" s="18" t="s">
        <v>269</v>
      </c>
      <c r="O89" s="21" t="s">
        <v>170</v>
      </c>
      <c r="P89" s="18" t="s">
        <v>269</v>
      </c>
      <c r="Q89" s="18" t="s">
        <v>269</v>
      </c>
      <c r="R89" s="18" t="s">
        <v>269</v>
      </c>
      <c r="S89" s="18" t="s">
        <v>269</v>
      </c>
      <c r="T89" s="21" t="s">
        <v>316</v>
      </c>
      <c r="U89" s="25"/>
      <c r="V89" s="33"/>
      <c r="W89" s="38" t="str">
        <f>_xlfn.IFS(AND(COUNTIF(U89,"SCB*")=1, 'PCH144'!G60&gt;=2), "See the Notice *2", TRUE, "")</f>
        <v/>
      </c>
      <c r="X89" s="19"/>
      <c r="Y89" s="20" t="s">
        <v>268</v>
      </c>
      <c r="Z89" s="19" t="s">
        <v>560</v>
      </c>
      <c r="AA89" s="19"/>
      <c r="AB89" s="19"/>
    </row>
    <row r="90" spans="2:28" x14ac:dyDescent="0.2">
      <c r="B90" s="21" t="s">
        <v>171</v>
      </c>
      <c r="C90" s="22">
        <v>81</v>
      </c>
      <c r="D90" s="21" t="s">
        <v>171</v>
      </c>
      <c r="E90" s="109" t="s">
        <v>1085</v>
      </c>
      <c r="F90" s="109" t="s">
        <v>1181</v>
      </c>
      <c r="G90" s="109" t="s">
        <v>1087</v>
      </c>
      <c r="H90" s="109" t="s">
        <v>1088</v>
      </c>
      <c r="I90" s="18" t="s">
        <v>269</v>
      </c>
      <c r="J90" s="18" t="s">
        <v>269</v>
      </c>
      <c r="K90" s="18" t="s">
        <v>269</v>
      </c>
      <c r="L90" s="18" t="s">
        <v>269</v>
      </c>
      <c r="M90" s="18" t="s">
        <v>269</v>
      </c>
      <c r="N90" s="18" t="s">
        <v>269</v>
      </c>
      <c r="O90" s="21" t="s">
        <v>172</v>
      </c>
      <c r="P90" s="18" t="s">
        <v>269</v>
      </c>
      <c r="Q90" s="18" t="s">
        <v>269</v>
      </c>
      <c r="R90" s="18" t="s">
        <v>269</v>
      </c>
      <c r="S90" s="18" t="s">
        <v>269</v>
      </c>
      <c r="T90" s="21" t="s">
        <v>317</v>
      </c>
      <c r="U90" s="25"/>
      <c r="V90" s="33"/>
      <c r="W90" s="38"/>
      <c r="X90" s="19"/>
      <c r="Y90" s="20" t="s">
        <v>268</v>
      </c>
      <c r="Z90" s="19" t="s">
        <v>560</v>
      </c>
      <c r="AA90" s="19"/>
      <c r="AB90" s="19"/>
    </row>
    <row r="91" spans="2:28" x14ac:dyDescent="0.2">
      <c r="B91" s="21" t="s">
        <v>173</v>
      </c>
      <c r="C91" s="22">
        <v>82</v>
      </c>
      <c r="D91" s="21" t="s">
        <v>173</v>
      </c>
      <c r="E91" s="109" t="s">
        <v>1089</v>
      </c>
      <c r="F91" s="109" t="s">
        <v>1090</v>
      </c>
      <c r="G91" s="109" t="s">
        <v>1091</v>
      </c>
      <c r="H91" s="109" t="s">
        <v>1092</v>
      </c>
      <c r="I91" s="18" t="s">
        <v>269</v>
      </c>
      <c r="J91" s="93" t="s">
        <v>685</v>
      </c>
      <c r="K91" s="18" t="s">
        <v>269</v>
      </c>
      <c r="L91" s="93" t="s">
        <v>686</v>
      </c>
      <c r="M91" s="18" t="s">
        <v>269</v>
      </c>
      <c r="N91" s="21" t="s">
        <v>174</v>
      </c>
      <c r="O91" s="18" t="s">
        <v>269</v>
      </c>
      <c r="P91" s="18" t="s">
        <v>269</v>
      </c>
      <c r="Q91" s="18" t="s">
        <v>269</v>
      </c>
      <c r="R91" s="18" t="s">
        <v>269</v>
      </c>
      <c r="S91" s="18" t="s">
        <v>269</v>
      </c>
      <c r="T91" s="21" t="s">
        <v>318</v>
      </c>
      <c r="U91" s="25"/>
      <c r="V91" s="33"/>
      <c r="W91" s="38" t="str">
        <f>_xlfn.IFS(AND(COUNTIF(U91,"SCB*")=1, 'PCH144'!F60&gt;=2), "See the Notice *2", TRUE, "")</f>
        <v/>
      </c>
      <c r="X91" s="19"/>
      <c r="Y91" s="20" t="s">
        <v>268</v>
      </c>
      <c r="Z91" s="19" t="s">
        <v>560</v>
      </c>
      <c r="AA91" s="19"/>
      <c r="AB91" s="19"/>
    </row>
    <row r="92" spans="2:28" x14ac:dyDescent="0.2">
      <c r="B92" s="21" t="s">
        <v>175</v>
      </c>
      <c r="C92" s="22">
        <v>83</v>
      </c>
      <c r="D92" s="21" t="s">
        <v>175</v>
      </c>
      <c r="E92" s="109" t="s">
        <v>1093</v>
      </c>
      <c r="F92" s="109" t="s">
        <v>1094</v>
      </c>
      <c r="G92" s="109" t="s">
        <v>1095</v>
      </c>
      <c r="H92" s="109" t="s">
        <v>1096</v>
      </c>
      <c r="I92" s="18" t="s">
        <v>269</v>
      </c>
      <c r="J92" s="93" t="s">
        <v>687</v>
      </c>
      <c r="K92" s="93" t="s">
        <v>688</v>
      </c>
      <c r="L92" s="93" t="s">
        <v>689</v>
      </c>
      <c r="M92" s="18" t="s">
        <v>269</v>
      </c>
      <c r="N92" s="21" t="s">
        <v>176</v>
      </c>
      <c r="O92" s="18" t="s">
        <v>269</v>
      </c>
      <c r="P92" s="18" t="s">
        <v>269</v>
      </c>
      <c r="Q92" s="18" t="s">
        <v>269</v>
      </c>
      <c r="R92" s="18" t="s">
        <v>269</v>
      </c>
      <c r="S92" s="18" t="s">
        <v>269</v>
      </c>
      <c r="T92" s="21" t="s">
        <v>319</v>
      </c>
      <c r="U92" s="24"/>
      <c r="V92" s="33"/>
      <c r="W92" s="38" t="str">
        <f>_xlfn.IFS(AND(COUNTIF(U92,"SCB*")=1, 'PCH144'!F60&gt;=2), "See the Notice *2", TRUE, "")</f>
        <v/>
      </c>
      <c r="X92" s="19"/>
      <c r="Y92" s="20" t="s">
        <v>268</v>
      </c>
      <c r="Z92" s="19" t="s">
        <v>560</v>
      </c>
      <c r="AA92" s="19"/>
      <c r="AB92" s="19"/>
    </row>
    <row r="93" spans="2:28" x14ac:dyDescent="0.2">
      <c r="B93" s="21" t="s">
        <v>177</v>
      </c>
      <c r="C93" s="22">
        <v>84</v>
      </c>
      <c r="D93" s="21" t="s">
        <v>177</v>
      </c>
      <c r="E93" s="109" t="s">
        <v>1097</v>
      </c>
      <c r="F93" s="109" t="s">
        <v>1098</v>
      </c>
      <c r="G93" s="109" t="s">
        <v>1099</v>
      </c>
      <c r="H93" s="109" t="s">
        <v>1100</v>
      </c>
      <c r="I93" s="18" t="s">
        <v>269</v>
      </c>
      <c r="J93" s="93" t="s">
        <v>690</v>
      </c>
      <c r="K93" s="93" t="s">
        <v>691</v>
      </c>
      <c r="L93" s="93" t="s">
        <v>692</v>
      </c>
      <c r="M93" s="21" t="s">
        <v>149</v>
      </c>
      <c r="N93" s="18" t="s">
        <v>269</v>
      </c>
      <c r="O93" s="18" t="s">
        <v>269</v>
      </c>
      <c r="P93" s="18" t="s">
        <v>269</v>
      </c>
      <c r="Q93" s="18" t="s">
        <v>269</v>
      </c>
      <c r="R93" s="18" t="s">
        <v>269</v>
      </c>
      <c r="S93" s="18" t="s">
        <v>269</v>
      </c>
      <c r="T93" s="21" t="s">
        <v>320</v>
      </c>
      <c r="U93" s="24"/>
      <c r="V93" s="33"/>
      <c r="W93" s="38" t="str">
        <f>_xlfn.IFS(AND(COUNTIF(U93,"SCB*")=1, 'PCH144'!F60&gt;=2), "See the Notice *2", TRUE, "")</f>
        <v/>
      </c>
      <c r="X93" s="19"/>
      <c r="Y93" s="20" t="s">
        <v>268</v>
      </c>
      <c r="Z93" s="19" t="s">
        <v>560</v>
      </c>
      <c r="AA93" s="19"/>
      <c r="AB93" s="19"/>
    </row>
    <row r="94" spans="2:28" x14ac:dyDescent="0.2">
      <c r="B94" s="21" t="s">
        <v>178</v>
      </c>
      <c r="C94" s="22">
        <v>85</v>
      </c>
      <c r="D94" s="21" t="s">
        <v>178</v>
      </c>
      <c r="E94" s="109" t="s">
        <v>1128</v>
      </c>
      <c r="F94" s="109" t="s">
        <v>1101</v>
      </c>
      <c r="G94" s="109" t="s">
        <v>1102</v>
      </c>
      <c r="H94" s="109" t="s">
        <v>1103</v>
      </c>
      <c r="I94" s="18" t="s">
        <v>269</v>
      </c>
      <c r="J94" s="93" t="s">
        <v>693</v>
      </c>
      <c r="K94" s="18" t="s">
        <v>269</v>
      </c>
      <c r="L94" s="93" t="s">
        <v>694</v>
      </c>
      <c r="M94" s="21" t="s">
        <v>152</v>
      </c>
      <c r="N94" s="18" t="s">
        <v>269</v>
      </c>
      <c r="O94" s="18" t="s">
        <v>269</v>
      </c>
      <c r="P94" s="18" t="s">
        <v>269</v>
      </c>
      <c r="Q94" s="18" t="s">
        <v>269</v>
      </c>
      <c r="R94" s="18" t="s">
        <v>269</v>
      </c>
      <c r="S94" s="18" t="s">
        <v>269</v>
      </c>
      <c r="T94" s="21" t="s">
        <v>321</v>
      </c>
      <c r="U94" s="24"/>
      <c r="V94" s="33"/>
      <c r="W94" s="38" t="str">
        <f>_xlfn.IFS(AND(COUNTIF(U94,"SCB*")=1, 'PCH144'!F60&gt;=2), "See the Notice *2", TRUE, "")</f>
        <v/>
      </c>
      <c r="X94" s="19"/>
      <c r="Y94" s="20" t="s">
        <v>268</v>
      </c>
      <c r="Z94" s="19" t="s">
        <v>560</v>
      </c>
      <c r="AA94" s="19"/>
      <c r="AB94" s="19"/>
    </row>
    <row r="95" spans="2:28" x14ac:dyDescent="0.2">
      <c r="B95" s="21" t="s">
        <v>179</v>
      </c>
      <c r="C95" s="22">
        <v>86</v>
      </c>
      <c r="D95" s="21" t="s">
        <v>179</v>
      </c>
      <c r="E95" s="109" t="s">
        <v>1129</v>
      </c>
      <c r="F95" s="109" t="s">
        <v>1104</v>
      </c>
      <c r="G95" s="109" t="s">
        <v>1105</v>
      </c>
      <c r="H95" s="109" t="s">
        <v>1106</v>
      </c>
      <c r="I95" s="18" t="s">
        <v>269</v>
      </c>
      <c r="J95" s="18" t="s">
        <v>269</v>
      </c>
      <c r="K95" s="18" t="s">
        <v>269</v>
      </c>
      <c r="L95" s="93" t="s">
        <v>695</v>
      </c>
      <c r="M95" s="21" t="s">
        <v>145</v>
      </c>
      <c r="N95" s="18" t="s">
        <v>269</v>
      </c>
      <c r="O95" s="18" t="s">
        <v>269</v>
      </c>
      <c r="P95" s="18" t="s">
        <v>269</v>
      </c>
      <c r="Q95" s="18" t="s">
        <v>269</v>
      </c>
      <c r="R95" s="18" t="s">
        <v>269</v>
      </c>
      <c r="S95" s="18" t="s">
        <v>269</v>
      </c>
      <c r="T95" s="21" t="s">
        <v>322</v>
      </c>
      <c r="U95" s="24"/>
      <c r="V95" s="33"/>
      <c r="W95" s="38" t="str">
        <f>_xlfn.IFS(AND(COUNTIF(U95,"SCB*")=1, 'PCH144'!F60&gt;=2), "See the Notice *2", TRUE, "")</f>
        <v/>
      </c>
      <c r="X95" s="19"/>
      <c r="Y95" s="20" t="s">
        <v>268</v>
      </c>
      <c r="Z95" s="19" t="s">
        <v>560</v>
      </c>
      <c r="AA95" s="19"/>
      <c r="AB95" s="19"/>
    </row>
    <row r="96" spans="2:28" x14ac:dyDescent="0.2">
      <c r="B96" s="21" t="s">
        <v>180</v>
      </c>
      <c r="C96" s="22">
        <v>87</v>
      </c>
      <c r="D96" s="21" t="s">
        <v>180</v>
      </c>
      <c r="E96" s="109" t="s">
        <v>1130</v>
      </c>
      <c r="F96" s="109" t="s">
        <v>1107</v>
      </c>
      <c r="G96" s="109" t="s">
        <v>1108</v>
      </c>
      <c r="H96" s="109" t="s">
        <v>1109</v>
      </c>
      <c r="I96" s="18" t="s">
        <v>269</v>
      </c>
      <c r="J96" s="18" t="s">
        <v>269</v>
      </c>
      <c r="K96" s="18" t="s">
        <v>269</v>
      </c>
      <c r="L96" s="93" t="s">
        <v>696</v>
      </c>
      <c r="M96" s="18" t="s">
        <v>269</v>
      </c>
      <c r="N96" s="18" t="s">
        <v>269</v>
      </c>
      <c r="O96" s="18" t="s">
        <v>269</v>
      </c>
      <c r="P96" s="18" t="s">
        <v>269</v>
      </c>
      <c r="Q96" s="18" t="s">
        <v>269</v>
      </c>
      <c r="R96" s="18" t="s">
        <v>269</v>
      </c>
      <c r="S96" s="18" t="s">
        <v>269</v>
      </c>
      <c r="T96" s="21" t="s">
        <v>323</v>
      </c>
      <c r="U96" s="24"/>
      <c r="V96" s="33"/>
      <c r="W96" s="38" t="str">
        <f>_xlfn.IFS(AND(COUNTIF(U96,"SCB*")=1, 'PCH144'!F60&gt;=2), "See the Notice *2", TRUE, "")</f>
        <v/>
      </c>
      <c r="X96" s="19"/>
      <c r="Y96" s="20" t="s">
        <v>268</v>
      </c>
      <c r="Z96" s="19" t="s">
        <v>560</v>
      </c>
      <c r="AA96" s="19"/>
      <c r="AB96" s="19"/>
    </row>
    <row r="97" spans="2:28" x14ac:dyDescent="0.2">
      <c r="B97" s="21" t="s">
        <v>185</v>
      </c>
      <c r="C97" s="22">
        <v>88</v>
      </c>
      <c r="D97" s="21" t="s">
        <v>185</v>
      </c>
      <c r="E97" s="109" t="s">
        <v>1133</v>
      </c>
      <c r="F97" s="109" t="s">
        <v>1116</v>
      </c>
      <c r="G97" s="109" t="s">
        <v>1117</v>
      </c>
      <c r="H97" s="109" t="s">
        <v>1118</v>
      </c>
      <c r="I97" s="18" t="s">
        <v>269</v>
      </c>
      <c r="J97" s="18" t="s">
        <v>269</v>
      </c>
      <c r="K97" s="18" t="s">
        <v>269</v>
      </c>
      <c r="L97" s="18" t="s">
        <v>269</v>
      </c>
      <c r="M97" s="18" t="s">
        <v>269</v>
      </c>
      <c r="N97" s="18" t="s">
        <v>269</v>
      </c>
      <c r="O97" s="18" t="s">
        <v>269</v>
      </c>
      <c r="P97" s="18" t="s">
        <v>269</v>
      </c>
      <c r="Q97" s="18" t="s">
        <v>269</v>
      </c>
      <c r="R97" s="18" t="s">
        <v>269</v>
      </c>
      <c r="S97" s="18" t="s">
        <v>269</v>
      </c>
      <c r="T97" s="21" t="s">
        <v>326</v>
      </c>
      <c r="U97" s="25"/>
      <c r="V97" s="33"/>
      <c r="W97" s="38"/>
      <c r="X97" s="19"/>
      <c r="Y97" s="20" t="s">
        <v>268</v>
      </c>
      <c r="Z97" s="19" t="s">
        <v>560</v>
      </c>
      <c r="AA97" s="19"/>
      <c r="AB97" s="19"/>
    </row>
    <row r="98" spans="2:28" x14ac:dyDescent="0.2">
      <c r="B98" s="21" t="s">
        <v>186</v>
      </c>
      <c r="C98" s="22">
        <v>89</v>
      </c>
      <c r="D98" s="21" t="s">
        <v>186</v>
      </c>
      <c r="E98" s="109" t="s">
        <v>1134</v>
      </c>
      <c r="F98" s="109" t="s">
        <v>1119</v>
      </c>
      <c r="G98" s="109" t="s">
        <v>1120</v>
      </c>
      <c r="H98" s="109" t="s">
        <v>1121</v>
      </c>
      <c r="I98" s="18" t="s">
        <v>269</v>
      </c>
      <c r="J98" s="18" t="s">
        <v>269</v>
      </c>
      <c r="K98" s="18" t="s">
        <v>269</v>
      </c>
      <c r="L98" s="18" t="s">
        <v>269</v>
      </c>
      <c r="M98" s="18" t="s">
        <v>269</v>
      </c>
      <c r="N98" s="18" t="s">
        <v>269</v>
      </c>
      <c r="O98" s="18" t="s">
        <v>269</v>
      </c>
      <c r="P98" s="18" t="s">
        <v>269</v>
      </c>
      <c r="Q98" s="18" t="s">
        <v>269</v>
      </c>
      <c r="R98" s="18" t="s">
        <v>269</v>
      </c>
      <c r="S98" s="18" t="s">
        <v>269</v>
      </c>
      <c r="T98" s="21" t="s">
        <v>327</v>
      </c>
      <c r="U98" s="25"/>
      <c r="V98" s="33"/>
      <c r="W98" s="38"/>
      <c r="X98" s="19"/>
      <c r="Y98" s="20" t="s">
        <v>268</v>
      </c>
      <c r="Z98" s="19" t="s">
        <v>560</v>
      </c>
      <c r="AA98" s="19"/>
      <c r="AB98" s="19"/>
    </row>
    <row r="99" spans="2:28" x14ac:dyDescent="0.2">
      <c r="B99" s="21" t="s">
        <v>187</v>
      </c>
      <c r="C99" s="22">
        <v>90</v>
      </c>
      <c r="D99" s="21" t="s">
        <v>187</v>
      </c>
      <c r="E99" s="109" t="s">
        <v>1135</v>
      </c>
      <c r="F99" s="109" t="s">
        <v>1122</v>
      </c>
      <c r="G99" s="109" t="s">
        <v>1123</v>
      </c>
      <c r="H99" s="109" t="s">
        <v>1124</v>
      </c>
      <c r="I99" s="18" t="s">
        <v>269</v>
      </c>
      <c r="J99" s="18" t="s">
        <v>269</v>
      </c>
      <c r="K99" s="18" t="s">
        <v>269</v>
      </c>
      <c r="L99" s="18" t="s">
        <v>269</v>
      </c>
      <c r="M99" s="18" t="s">
        <v>269</v>
      </c>
      <c r="N99" s="18" t="s">
        <v>269</v>
      </c>
      <c r="O99" s="18" t="s">
        <v>269</v>
      </c>
      <c r="P99" s="18" t="s">
        <v>269</v>
      </c>
      <c r="Q99" s="18" t="s">
        <v>269</v>
      </c>
      <c r="R99" s="18" t="s">
        <v>269</v>
      </c>
      <c r="S99" s="18" t="s">
        <v>269</v>
      </c>
      <c r="T99" s="21" t="s">
        <v>328</v>
      </c>
      <c r="U99" s="25"/>
      <c r="V99" s="33"/>
      <c r="W99" s="38"/>
      <c r="X99" s="19"/>
      <c r="Y99" s="20" t="s">
        <v>268</v>
      </c>
      <c r="Z99" s="19" t="s">
        <v>560</v>
      </c>
      <c r="AA99" s="19"/>
      <c r="AB99" s="19"/>
    </row>
    <row r="100" spans="2:28" x14ac:dyDescent="0.2">
      <c r="B100" s="21" t="s">
        <v>188</v>
      </c>
      <c r="C100" s="22">
        <v>91</v>
      </c>
      <c r="D100" s="21" t="s">
        <v>188</v>
      </c>
      <c r="E100" s="109" t="s">
        <v>1136</v>
      </c>
      <c r="F100" s="109" t="s">
        <v>1125</v>
      </c>
      <c r="G100" s="109" t="s">
        <v>1126</v>
      </c>
      <c r="H100" s="109" t="s">
        <v>1127</v>
      </c>
      <c r="I100" s="18" t="s">
        <v>269</v>
      </c>
      <c r="J100" s="18" t="s">
        <v>269</v>
      </c>
      <c r="K100" s="18" t="s">
        <v>269</v>
      </c>
      <c r="L100" s="18" t="s">
        <v>269</v>
      </c>
      <c r="M100" s="18" t="s">
        <v>269</v>
      </c>
      <c r="N100" s="18" t="s">
        <v>269</v>
      </c>
      <c r="O100" s="18" t="s">
        <v>269</v>
      </c>
      <c r="P100" s="18" t="s">
        <v>269</v>
      </c>
      <c r="Q100" s="18" t="s">
        <v>269</v>
      </c>
      <c r="R100" s="18" t="s">
        <v>269</v>
      </c>
      <c r="S100" s="18" t="s">
        <v>269</v>
      </c>
      <c r="T100" s="21" t="s">
        <v>329</v>
      </c>
      <c r="U100" s="25"/>
      <c r="V100" s="33"/>
      <c r="W100" s="38"/>
      <c r="X100" s="19"/>
      <c r="Y100" s="20" t="s">
        <v>268</v>
      </c>
      <c r="Z100" s="19" t="s">
        <v>560</v>
      </c>
      <c r="AA100" s="19"/>
      <c r="AB100" s="19"/>
    </row>
    <row r="101" spans="2:28" x14ac:dyDescent="0.2">
      <c r="B101" s="21" t="s">
        <v>189</v>
      </c>
      <c r="C101" s="22">
        <v>92</v>
      </c>
      <c r="D101" s="21" t="s">
        <v>189</v>
      </c>
      <c r="E101" s="109" t="s">
        <v>1137</v>
      </c>
      <c r="F101" s="109" t="s">
        <v>1138</v>
      </c>
      <c r="G101" s="109" t="s">
        <v>1139</v>
      </c>
      <c r="H101" s="110" t="s">
        <v>1140</v>
      </c>
      <c r="I101" s="32" t="s">
        <v>1151</v>
      </c>
      <c r="J101" s="18" t="s">
        <v>269</v>
      </c>
      <c r="K101" s="18" t="s">
        <v>269</v>
      </c>
      <c r="L101" s="18" t="s">
        <v>269</v>
      </c>
      <c r="M101" s="18" t="s">
        <v>269</v>
      </c>
      <c r="N101" s="18" t="s">
        <v>269</v>
      </c>
      <c r="O101" s="18" t="s">
        <v>269</v>
      </c>
      <c r="P101" s="18" t="s">
        <v>269</v>
      </c>
      <c r="Q101" s="18" t="s">
        <v>269</v>
      </c>
      <c r="R101" s="18" t="s">
        <v>269</v>
      </c>
      <c r="S101" s="18" t="s">
        <v>269</v>
      </c>
      <c r="T101" s="18" t="s">
        <v>269</v>
      </c>
      <c r="U101" s="25"/>
      <c r="V101" s="18" t="s">
        <v>269</v>
      </c>
      <c r="W101" s="38"/>
      <c r="X101" s="19"/>
      <c r="Y101" s="20" t="s">
        <v>268</v>
      </c>
      <c r="Z101" s="19" t="s">
        <v>561</v>
      </c>
      <c r="AA101" s="19"/>
      <c r="AB101" s="19"/>
    </row>
    <row r="102" spans="2:28" x14ac:dyDescent="0.2">
      <c r="B102" s="21" t="s">
        <v>190</v>
      </c>
      <c r="C102" s="22">
        <v>93</v>
      </c>
      <c r="D102" s="21" t="s">
        <v>190</v>
      </c>
      <c r="E102" s="109" t="s">
        <v>1141</v>
      </c>
      <c r="F102" s="109" t="s">
        <v>1142</v>
      </c>
      <c r="G102" s="109" t="s">
        <v>1143</v>
      </c>
      <c r="H102" s="110" t="s">
        <v>1144</v>
      </c>
      <c r="I102" s="32" t="s">
        <v>1152</v>
      </c>
      <c r="J102" s="18" t="s">
        <v>269</v>
      </c>
      <c r="K102" s="18" t="s">
        <v>269</v>
      </c>
      <c r="L102" s="18" t="s">
        <v>269</v>
      </c>
      <c r="M102" s="18" t="s">
        <v>269</v>
      </c>
      <c r="N102" s="18" t="s">
        <v>269</v>
      </c>
      <c r="O102" s="18" t="s">
        <v>269</v>
      </c>
      <c r="P102" s="18" t="s">
        <v>269</v>
      </c>
      <c r="Q102" s="18" t="s">
        <v>269</v>
      </c>
      <c r="R102" s="18" t="s">
        <v>269</v>
      </c>
      <c r="S102" s="18" t="s">
        <v>269</v>
      </c>
      <c r="T102" s="18" t="s">
        <v>269</v>
      </c>
      <c r="U102" s="25"/>
      <c r="V102" s="18" t="s">
        <v>269</v>
      </c>
      <c r="W102" s="38"/>
      <c r="X102" s="19"/>
      <c r="Y102" s="20" t="s">
        <v>268</v>
      </c>
      <c r="Z102" s="19" t="s">
        <v>561</v>
      </c>
      <c r="AA102" s="19"/>
      <c r="AB102" s="19"/>
    </row>
    <row r="103" spans="2:28" x14ac:dyDescent="0.2">
      <c r="B103" s="21" t="s">
        <v>191</v>
      </c>
      <c r="C103" s="22">
        <v>94</v>
      </c>
      <c r="D103" s="21" t="s">
        <v>191</v>
      </c>
      <c r="E103" s="109" t="s">
        <v>1145</v>
      </c>
      <c r="F103" s="109" t="s">
        <v>1146</v>
      </c>
      <c r="G103" s="109" t="s">
        <v>1147</v>
      </c>
      <c r="H103" s="110" t="s">
        <v>1148</v>
      </c>
      <c r="I103" s="32" t="s">
        <v>1153</v>
      </c>
      <c r="J103" s="18" t="s">
        <v>269</v>
      </c>
      <c r="K103" s="18" t="s">
        <v>269</v>
      </c>
      <c r="L103" s="18" t="s">
        <v>269</v>
      </c>
      <c r="M103" s="18" t="s">
        <v>269</v>
      </c>
      <c r="N103" s="18" t="s">
        <v>269</v>
      </c>
      <c r="O103" s="18" t="s">
        <v>269</v>
      </c>
      <c r="P103" s="18" t="s">
        <v>269</v>
      </c>
      <c r="Q103" s="18" t="s">
        <v>269</v>
      </c>
      <c r="R103" s="18" t="s">
        <v>269</v>
      </c>
      <c r="S103" s="18" t="s">
        <v>269</v>
      </c>
      <c r="T103" s="18" t="s">
        <v>269</v>
      </c>
      <c r="U103" s="25"/>
      <c r="V103" s="18" t="s">
        <v>269</v>
      </c>
      <c r="W103" s="38"/>
      <c r="X103" s="19"/>
      <c r="Y103" s="20" t="s">
        <v>268</v>
      </c>
      <c r="Z103" s="19" t="s">
        <v>561</v>
      </c>
      <c r="AA103" s="19"/>
      <c r="AB103" s="19"/>
    </row>
    <row r="104" spans="2:28" x14ac:dyDescent="0.2">
      <c r="B104" s="21" t="s">
        <v>193</v>
      </c>
      <c r="C104" s="22">
        <v>95</v>
      </c>
      <c r="D104" s="21" t="s">
        <v>193</v>
      </c>
      <c r="E104" s="109" t="s">
        <v>1141</v>
      </c>
      <c r="F104" s="109" t="s">
        <v>1149</v>
      </c>
      <c r="G104" s="109" t="s">
        <v>1143</v>
      </c>
      <c r="H104" s="109" t="s">
        <v>1150</v>
      </c>
      <c r="I104" s="18" t="s">
        <v>269</v>
      </c>
      <c r="J104" s="18" t="s">
        <v>269</v>
      </c>
      <c r="K104" s="18" t="s">
        <v>269</v>
      </c>
      <c r="L104" s="18" t="s">
        <v>269</v>
      </c>
      <c r="M104" s="18" t="s">
        <v>269</v>
      </c>
      <c r="N104" s="21" t="s">
        <v>194</v>
      </c>
      <c r="O104" s="18" t="s">
        <v>269</v>
      </c>
      <c r="P104" s="18" t="s">
        <v>269</v>
      </c>
      <c r="Q104" s="18" t="s">
        <v>269</v>
      </c>
      <c r="R104" s="18" t="s">
        <v>269</v>
      </c>
      <c r="S104" s="18" t="s">
        <v>269</v>
      </c>
      <c r="T104" s="18" t="s">
        <v>269</v>
      </c>
      <c r="U104" s="24"/>
      <c r="V104" s="33"/>
      <c r="W104" s="38"/>
      <c r="X104" s="19"/>
      <c r="Y104" s="20" t="s">
        <v>268</v>
      </c>
      <c r="Z104" s="19" t="s">
        <v>561</v>
      </c>
      <c r="AA104" s="19"/>
      <c r="AB104" s="19"/>
    </row>
    <row r="105" spans="2:28" x14ac:dyDescent="0.2">
      <c r="B105" s="21" t="s">
        <v>195</v>
      </c>
      <c r="C105" s="22">
        <v>96</v>
      </c>
      <c r="D105" s="21" t="s">
        <v>195</v>
      </c>
      <c r="E105" s="109" t="s">
        <v>1137</v>
      </c>
      <c r="F105" s="109" t="s">
        <v>1146</v>
      </c>
      <c r="G105" s="109" t="s">
        <v>1139</v>
      </c>
      <c r="H105" s="110" t="s">
        <v>1148</v>
      </c>
      <c r="I105" s="32" t="s">
        <v>1155</v>
      </c>
      <c r="J105" s="93" t="s">
        <v>697</v>
      </c>
      <c r="K105" s="18" t="s">
        <v>269</v>
      </c>
      <c r="L105" s="93" t="s">
        <v>698</v>
      </c>
      <c r="M105" s="18" t="s">
        <v>269</v>
      </c>
      <c r="N105" s="21" t="s">
        <v>196</v>
      </c>
      <c r="O105" s="18" t="s">
        <v>269</v>
      </c>
      <c r="P105" s="18" t="s">
        <v>269</v>
      </c>
      <c r="Q105" s="18" t="s">
        <v>269</v>
      </c>
      <c r="R105" s="18" t="s">
        <v>269</v>
      </c>
      <c r="S105" s="18" t="s">
        <v>269</v>
      </c>
      <c r="T105" s="18" t="s">
        <v>269</v>
      </c>
      <c r="U105" s="24"/>
      <c r="V105" s="33"/>
      <c r="W105" s="38" t="str">
        <f>_xlfn.IFS(AND(COUNTIF(U105,"SCB*")=1, 'PCH144'!G60&gt;=2), "See the Notice *2", TRUE, "")</f>
        <v/>
      </c>
      <c r="X105" s="19"/>
      <c r="Y105" s="20" t="s">
        <v>268</v>
      </c>
      <c r="Z105" s="19" t="s">
        <v>561</v>
      </c>
      <c r="AA105" s="19"/>
      <c r="AB105" s="19"/>
    </row>
    <row r="106" spans="2:28" x14ac:dyDescent="0.2">
      <c r="B106" s="21" t="s">
        <v>197</v>
      </c>
      <c r="C106" s="22">
        <v>97</v>
      </c>
      <c r="D106" s="21" t="s">
        <v>197</v>
      </c>
      <c r="E106" s="109" t="s">
        <v>1136</v>
      </c>
      <c r="F106" s="109" t="s">
        <v>1142</v>
      </c>
      <c r="G106" s="109" t="s">
        <v>1126</v>
      </c>
      <c r="H106" s="110" t="s">
        <v>1144</v>
      </c>
      <c r="I106" s="32" t="s">
        <v>1156</v>
      </c>
      <c r="J106" s="93" t="s">
        <v>699</v>
      </c>
      <c r="K106" s="93" t="s">
        <v>700</v>
      </c>
      <c r="L106" s="93" t="s">
        <v>701</v>
      </c>
      <c r="M106" s="18" t="s">
        <v>269</v>
      </c>
      <c r="N106" s="18" t="s">
        <v>269</v>
      </c>
      <c r="O106" s="18" t="s">
        <v>269</v>
      </c>
      <c r="P106" s="18" t="s">
        <v>269</v>
      </c>
      <c r="Q106" s="18" t="s">
        <v>269</v>
      </c>
      <c r="R106" s="18" t="s">
        <v>269</v>
      </c>
      <c r="S106" s="18" t="s">
        <v>269</v>
      </c>
      <c r="T106" s="18" t="s">
        <v>269</v>
      </c>
      <c r="U106" s="24"/>
      <c r="V106" s="33"/>
      <c r="W106" s="38" t="str">
        <f>_xlfn.IFS(AND(COUNTIF(U106,"SCB*")=1, 'PCH144'!G60&gt;=2), "See the Notice *2", TRUE, "")</f>
        <v/>
      </c>
      <c r="X106" s="19"/>
      <c r="Y106" s="20" t="s">
        <v>268</v>
      </c>
      <c r="Z106" s="19" t="s">
        <v>561</v>
      </c>
      <c r="AA106" s="19"/>
      <c r="AB106" s="19"/>
    </row>
    <row r="107" spans="2:28" x14ac:dyDescent="0.2">
      <c r="B107" s="21" t="s">
        <v>198</v>
      </c>
      <c r="C107" s="22">
        <v>98</v>
      </c>
      <c r="D107" s="21" t="s">
        <v>198</v>
      </c>
      <c r="E107" s="109" t="s">
        <v>1135</v>
      </c>
      <c r="F107" s="109" t="s">
        <v>1138</v>
      </c>
      <c r="G107" s="109" t="s">
        <v>1123</v>
      </c>
      <c r="H107" s="110" t="s">
        <v>1140</v>
      </c>
      <c r="I107" s="32" t="s">
        <v>1157</v>
      </c>
      <c r="J107" s="93" t="s">
        <v>702</v>
      </c>
      <c r="K107" s="93" t="s">
        <v>703</v>
      </c>
      <c r="L107" s="93" t="s">
        <v>704</v>
      </c>
      <c r="M107" s="18" t="s">
        <v>269</v>
      </c>
      <c r="N107" s="18" t="s">
        <v>269</v>
      </c>
      <c r="O107" s="21" t="s">
        <v>199</v>
      </c>
      <c r="P107" s="18" t="s">
        <v>269</v>
      </c>
      <c r="Q107" s="18" t="s">
        <v>269</v>
      </c>
      <c r="R107" s="18" t="s">
        <v>269</v>
      </c>
      <c r="S107" s="18" t="s">
        <v>269</v>
      </c>
      <c r="T107" s="18" t="s">
        <v>269</v>
      </c>
      <c r="U107" s="24"/>
      <c r="V107" s="33"/>
      <c r="W107" s="38" t="str">
        <f>_xlfn.IFS(AND(COUNTIF(U107,"SCB*")=1, 'PCH144'!G60&gt;=2), "See the Notice *2", TRUE, "")</f>
        <v/>
      </c>
      <c r="X107" s="19"/>
      <c r="Y107" s="20" t="s">
        <v>268</v>
      </c>
      <c r="Z107" s="19" t="s">
        <v>561</v>
      </c>
      <c r="AA107" s="19"/>
      <c r="AB107" s="19"/>
    </row>
    <row r="108" spans="2:28" x14ac:dyDescent="0.2">
      <c r="B108" s="21" t="s">
        <v>200</v>
      </c>
      <c r="C108" s="22">
        <v>99</v>
      </c>
      <c r="D108" s="21" t="s">
        <v>200</v>
      </c>
      <c r="E108" s="109" t="s">
        <v>1134</v>
      </c>
      <c r="F108" s="109" t="s">
        <v>1125</v>
      </c>
      <c r="G108" s="109" t="s">
        <v>1120</v>
      </c>
      <c r="H108" s="110" t="s">
        <v>1127</v>
      </c>
      <c r="I108" s="32" t="s">
        <v>1158</v>
      </c>
      <c r="J108" s="93" t="s">
        <v>705</v>
      </c>
      <c r="K108" s="18" t="s">
        <v>269</v>
      </c>
      <c r="L108" s="93" t="s">
        <v>706</v>
      </c>
      <c r="M108" s="18" t="s">
        <v>269</v>
      </c>
      <c r="N108" s="18" t="s">
        <v>269</v>
      </c>
      <c r="O108" s="21" t="s">
        <v>201</v>
      </c>
      <c r="P108" s="18" t="s">
        <v>269</v>
      </c>
      <c r="Q108" s="18" t="s">
        <v>269</v>
      </c>
      <c r="R108" s="18" t="s">
        <v>269</v>
      </c>
      <c r="S108" s="18" t="s">
        <v>269</v>
      </c>
      <c r="T108" s="18" t="s">
        <v>269</v>
      </c>
      <c r="U108" s="24"/>
      <c r="V108" s="33"/>
      <c r="W108" s="38" t="str">
        <f>_xlfn.IFS(AND(COUNTIF(U108,"SCB*")=1, 'PCH144'!G60&gt;=2), "See the Notice *2", TRUE, "")</f>
        <v/>
      </c>
      <c r="X108" s="19"/>
      <c r="Y108" s="20" t="s">
        <v>268</v>
      </c>
      <c r="Z108" s="19" t="s">
        <v>561</v>
      </c>
      <c r="AA108" s="19"/>
      <c r="AB108" s="19"/>
    </row>
    <row r="109" spans="2:28" x14ac:dyDescent="0.2">
      <c r="B109" s="21" t="s">
        <v>205</v>
      </c>
      <c r="C109" s="22">
        <v>100</v>
      </c>
      <c r="D109" s="21" t="s">
        <v>205</v>
      </c>
      <c r="E109" s="111" t="s">
        <v>951</v>
      </c>
      <c r="F109" s="111" t="s">
        <v>948</v>
      </c>
      <c r="G109" s="111" t="s">
        <v>953</v>
      </c>
      <c r="H109" s="112" t="s">
        <v>950</v>
      </c>
      <c r="I109" s="113" t="s">
        <v>1151</v>
      </c>
      <c r="J109" s="93" t="s">
        <v>709</v>
      </c>
      <c r="K109" s="18" t="s">
        <v>269</v>
      </c>
      <c r="L109" s="93" t="s">
        <v>710</v>
      </c>
      <c r="M109" s="18" t="s">
        <v>269</v>
      </c>
      <c r="N109" s="18" t="s">
        <v>269</v>
      </c>
      <c r="O109" s="18" t="s">
        <v>269</v>
      </c>
      <c r="P109" s="21" t="s">
        <v>206</v>
      </c>
      <c r="Q109" s="18" t="s">
        <v>269</v>
      </c>
      <c r="R109" s="18" t="s">
        <v>269</v>
      </c>
      <c r="S109" s="18" t="s">
        <v>269</v>
      </c>
      <c r="T109" s="21" t="s">
        <v>330</v>
      </c>
      <c r="U109" s="24"/>
      <c r="V109" s="18" t="s">
        <v>269</v>
      </c>
      <c r="W109" s="38" t="str">
        <f>_xlfn.IFS(AND(COUNTIF(U109,"SCB*")=1, 'PCH144'!E60&gt;=2), "See the Notice *2", TRUE, "")</f>
        <v/>
      </c>
      <c r="X109" s="19"/>
      <c r="Y109" s="20" t="s">
        <v>268</v>
      </c>
      <c r="Z109" s="19" t="s">
        <v>561</v>
      </c>
      <c r="AA109" s="19"/>
      <c r="AB109" s="19"/>
    </row>
    <row r="110" spans="2:28" x14ac:dyDescent="0.2">
      <c r="B110" s="21" t="s">
        <v>207</v>
      </c>
      <c r="C110" s="22">
        <v>101</v>
      </c>
      <c r="D110" s="21" t="s">
        <v>207</v>
      </c>
      <c r="E110" s="112" t="s">
        <v>957</v>
      </c>
      <c r="F110" s="112" t="s">
        <v>955</v>
      </c>
      <c r="G110" s="112" t="s">
        <v>958</v>
      </c>
      <c r="H110" s="112" t="s">
        <v>956</v>
      </c>
      <c r="I110" s="113" t="s">
        <v>1152</v>
      </c>
      <c r="J110" s="93" t="s">
        <v>711</v>
      </c>
      <c r="K110" s="93" t="s">
        <v>712</v>
      </c>
      <c r="L110" s="93" t="s">
        <v>713</v>
      </c>
      <c r="M110" s="18" t="s">
        <v>269</v>
      </c>
      <c r="N110" s="18" t="s">
        <v>269</v>
      </c>
      <c r="O110" s="18" t="s">
        <v>269</v>
      </c>
      <c r="P110" s="21" t="s">
        <v>208</v>
      </c>
      <c r="Q110" s="18" t="s">
        <v>269</v>
      </c>
      <c r="R110" s="18" t="s">
        <v>269</v>
      </c>
      <c r="S110" s="18" t="s">
        <v>269</v>
      </c>
      <c r="T110" s="21" t="s">
        <v>331</v>
      </c>
      <c r="U110" s="24"/>
      <c r="V110" s="18" t="s">
        <v>269</v>
      </c>
      <c r="W110" s="38" t="str">
        <f>_xlfn.IFS(AND(COUNTIF(U110,"SCB*")=1, 'PCH144'!E60&gt;=2), "See the Notice *2", TRUE, "")</f>
        <v/>
      </c>
      <c r="X110" s="19"/>
      <c r="Y110" s="20" t="s">
        <v>268</v>
      </c>
      <c r="Z110" s="19" t="s">
        <v>561</v>
      </c>
      <c r="AA110" s="19"/>
      <c r="AB110" s="19"/>
    </row>
    <row r="111" spans="2:28" x14ac:dyDescent="0.2">
      <c r="B111" s="21" t="s">
        <v>209</v>
      </c>
      <c r="C111" s="22">
        <v>102</v>
      </c>
      <c r="D111" s="21" t="s">
        <v>209</v>
      </c>
      <c r="E111" s="112" t="s">
        <v>1132</v>
      </c>
      <c r="F111" s="112" t="s">
        <v>959</v>
      </c>
      <c r="G111" s="112" t="s">
        <v>1114</v>
      </c>
      <c r="H111" s="112" t="s">
        <v>960</v>
      </c>
      <c r="I111" s="113" t="s">
        <v>1153</v>
      </c>
      <c r="J111" s="93" t="s">
        <v>714</v>
      </c>
      <c r="K111" s="93" t="s">
        <v>715</v>
      </c>
      <c r="L111" s="93" t="s">
        <v>716</v>
      </c>
      <c r="M111" s="18" t="s">
        <v>269</v>
      </c>
      <c r="N111" s="18" t="s">
        <v>269</v>
      </c>
      <c r="O111" s="18" t="s">
        <v>269</v>
      </c>
      <c r="P111" s="18" t="s">
        <v>269</v>
      </c>
      <c r="Q111" s="18" t="s">
        <v>269</v>
      </c>
      <c r="R111" s="18" t="s">
        <v>269</v>
      </c>
      <c r="S111" s="18" t="s">
        <v>269</v>
      </c>
      <c r="T111" s="21" t="s">
        <v>332</v>
      </c>
      <c r="U111" s="24"/>
      <c r="V111" s="18" t="s">
        <v>269</v>
      </c>
      <c r="W111" s="38" t="str">
        <f>_xlfn.IFS(AND(COUNTIF(U111,"SCB*")=1, 'PCH144'!E60&gt;=2), "See the Notice *2", TRUE, "")</f>
        <v/>
      </c>
      <c r="X111" s="19"/>
      <c r="Y111" s="20" t="s">
        <v>268</v>
      </c>
      <c r="Z111" s="19" t="s">
        <v>561</v>
      </c>
      <c r="AA111" s="19"/>
      <c r="AB111" s="19"/>
    </row>
    <row r="112" spans="2:28" x14ac:dyDescent="0.2">
      <c r="B112" s="21" t="s">
        <v>210</v>
      </c>
      <c r="C112" s="22">
        <v>103</v>
      </c>
      <c r="D112" s="21" t="s">
        <v>210</v>
      </c>
      <c r="E112" s="112" t="s">
        <v>1131</v>
      </c>
      <c r="F112" s="112" t="s">
        <v>1116</v>
      </c>
      <c r="G112" s="112" t="s">
        <v>1111</v>
      </c>
      <c r="H112" s="112" t="s">
        <v>1118</v>
      </c>
      <c r="I112" s="113" t="s">
        <v>1154</v>
      </c>
      <c r="J112" s="93" t="s">
        <v>717</v>
      </c>
      <c r="K112" s="18" t="s">
        <v>269</v>
      </c>
      <c r="L112" s="93" t="s">
        <v>718</v>
      </c>
      <c r="M112" s="18" t="s">
        <v>269</v>
      </c>
      <c r="N112" s="18" t="s">
        <v>269</v>
      </c>
      <c r="O112" s="18" t="s">
        <v>269</v>
      </c>
      <c r="P112" s="32" t="s">
        <v>1167</v>
      </c>
      <c r="Q112" s="18" t="s">
        <v>269</v>
      </c>
      <c r="R112" s="18" t="s">
        <v>269</v>
      </c>
      <c r="S112" s="18" t="s">
        <v>269</v>
      </c>
      <c r="T112" s="21" t="s">
        <v>333</v>
      </c>
      <c r="U112" s="24"/>
      <c r="V112" s="18" t="s">
        <v>269</v>
      </c>
      <c r="W112" s="38" t="str">
        <f>_xlfn.IFS(AND(COUNTIF(U112,"SCB*")=1, 'PCH144'!E60&gt;=2), "See the Notice *2", TRUE, "")</f>
        <v/>
      </c>
      <c r="X112" s="19"/>
      <c r="Y112" s="20" t="s">
        <v>268</v>
      </c>
      <c r="Z112" s="19" t="s">
        <v>561</v>
      </c>
      <c r="AA112" s="19"/>
      <c r="AB112" s="19"/>
    </row>
    <row r="113" spans="2:28" x14ac:dyDescent="0.2">
      <c r="B113" s="21" t="s">
        <v>211</v>
      </c>
      <c r="C113" s="22">
        <v>104</v>
      </c>
      <c r="D113" s="21" t="s">
        <v>211</v>
      </c>
      <c r="E113" s="112" t="s">
        <v>1130</v>
      </c>
      <c r="F113" s="112" t="s">
        <v>1113</v>
      </c>
      <c r="G113" s="112" t="s">
        <v>1108</v>
      </c>
      <c r="H113" s="112" t="s">
        <v>1115</v>
      </c>
      <c r="I113" s="32" t="s">
        <v>1155</v>
      </c>
      <c r="J113" s="18" t="s">
        <v>269</v>
      </c>
      <c r="K113" s="18" t="s">
        <v>269</v>
      </c>
      <c r="L113" s="93" t="s">
        <v>719</v>
      </c>
      <c r="M113" s="18" t="s">
        <v>269</v>
      </c>
      <c r="N113" s="18" t="s">
        <v>269</v>
      </c>
      <c r="O113" s="18" t="s">
        <v>269</v>
      </c>
      <c r="P113" s="32" t="s">
        <v>1168</v>
      </c>
      <c r="Q113" s="18" t="s">
        <v>269</v>
      </c>
      <c r="R113" s="18" t="s">
        <v>269</v>
      </c>
      <c r="S113" s="18" t="s">
        <v>269</v>
      </c>
      <c r="T113" s="21" t="s">
        <v>334</v>
      </c>
      <c r="U113" s="24"/>
      <c r="V113" s="18" t="s">
        <v>269</v>
      </c>
      <c r="W113" s="38" t="str">
        <f>_xlfn.IFS(AND(COUNTIF(U113,"SCB*")=1, 'PCH144'!E60&gt;=2), "See the Notice *2", TRUE, "")</f>
        <v/>
      </c>
      <c r="X113" s="19"/>
      <c r="Y113" s="20" t="s">
        <v>268</v>
      </c>
      <c r="Z113" s="19" t="s">
        <v>561</v>
      </c>
      <c r="AA113" s="19"/>
      <c r="AB113" s="19"/>
    </row>
    <row r="114" spans="2:28" x14ac:dyDescent="0.2">
      <c r="B114" s="21" t="s">
        <v>212</v>
      </c>
      <c r="C114" s="22">
        <v>105</v>
      </c>
      <c r="D114" s="21" t="s">
        <v>212</v>
      </c>
      <c r="E114" s="112" t="s">
        <v>1129</v>
      </c>
      <c r="F114" s="112" t="s">
        <v>1110</v>
      </c>
      <c r="G114" s="112" t="s">
        <v>1105</v>
      </c>
      <c r="H114" s="112" t="s">
        <v>1112</v>
      </c>
      <c r="I114" s="32" t="s">
        <v>1156</v>
      </c>
      <c r="J114" s="18" t="s">
        <v>269</v>
      </c>
      <c r="K114" s="18" t="s">
        <v>269</v>
      </c>
      <c r="L114" s="93" t="s">
        <v>720</v>
      </c>
      <c r="M114" s="18" t="s">
        <v>269</v>
      </c>
      <c r="N114" s="18" t="s">
        <v>269</v>
      </c>
      <c r="O114" s="18" t="s">
        <v>269</v>
      </c>
      <c r="P114" s="32" t="s">
        <v>1169</v>
      </c>
      <c r="Q114" s="18" t="s">
        <v>269</v>
      </c>
      <c r="R114" s="18" t="s">
        <v>269</v>
      </c>
      <c r="S114" s="18" t="s">
        <v>269</v>
      </c>
      <c r="T114" s="21" t="s">
        <v>335</v>
      </c>
      <c r="U114" s="24"/>
      <c r="V114" s="18" t="s">
        <v>269</v>
      </c>
      <c r="W114" s="38" t="str">
        <f>_xlfn.IFS(AND(COUNTIF(U114,"SCB*")=1, 'PCH144'!E60&gt;=2), "See the Notice *2", TRUE, "")</f>
        <v/>
      </c>
      <c r="X114" s="19"/>
      <c r="Y114" s="20" t="s">
        <v>268</v>
      </c>
      <c r="Z114" s="19" t="s">
        <v>561</v>
      </c>
      <c r="AA114" s="19"/>
      <c r="AB114" s="19"/>
    </row>
    <row r="115" spans="2:28" x14ac:dyDescent="0.2">
      <c r="B115" s="21" t="s">
        <v>213</v>
      </c>
      <c r="C115" s="22">
        <v>106</v>
      </c>
      <c r="D115" s="21" t="s">
        <v>213</v>
      </c>
      <c r="E115" s="112" t="s">
        <v>1128</v>
      </c>
      <c r="F115" s="112" t="s">
        <v>1107</v>
      </c>
      <c r="G115" s="112" t="s">
        <v>1102</v>
      </c>
      <c r="H115" s="112" t="s">
        <v>1109</v>
      </c>
      <c r="I115" s="32" t="s">
        <v>1157</v>
      </c>
      <c r="J115" s="18" t="s">
        <v>269</v>
      </c>
      <c r="K115" s="18" t="s">
        <v>269</v>
      </c>
      <c r="L115" s="93" t="s">
        <v>721</v>
      </c>
      <c r="M115" s="18" t="s">
        <v>269</v>
      </c>
      <c r="N115" s="21" t="s">
        <v>214</v>
      </c>
      <c r="O115" s="18" t="s">
        <v>269</v>
      </c>
      <c r="P115" s="32" t="s">
        <v>1170</v>
      </c>
      <c r="Q115" s="18" t="s">
        <v>269</v>
      </c>
      <c r="R115" s="18" t="s">
        <v>269</v>
      </c>
      <c r="S115" s="18" t="s">
        <v>269</v>
      </c>
      <c r="T115" s="21" t="s">
        <v>336</v>
      </c>
      <c r="U115" s="24"/>
      <c r="V115" s="18" t="s">
        <v>269</v>
      </c>
      <c r="W115" s="38" t="str">
        <f>_xlfn.IFS(AND(COUNTIF(U115,"SCB*")=1, 'PCH144'!E60&gt;=2), "See the Notice *2", TRUE, "")</f>
        <v/>
      </c>
      <c r="X115" s="19"/>
      <c r="Y115" s="20" t="s">
        <v>268</v>
      </c>
      <c r="Z115" s="19" t="s">
        <v>561</v>
      </c>
      <c r="AA115" s="19"/>
      <c r="AB115" s="19"/>
    </row>
    <row r="116" spans="2:28" x14ac:dyDescent="0.2">
      <c r="B116" s="21" t="s">
        <v>215</v>
      </c>
      <c r="C116" s="22">
        <v>107</v>
      </c>
      <c r="D116" s="21" t="s">
        <v>215</v>
      </c>
      <c r="E116" s="112" t="s">
        <v>1097</v>
      </c>
      <c r="F116" s="112" t="s">
        <v>1104</v>
      </c>
      <c r="G116" s="112" t="s">
        <v>1099</v>
      </c>
      <c r="H116" s="112" t="s">
        <v>1106</v>
      </c>
      <c r="I116" s="32" t="s">
        <v>1158</v>
      </c>
      <c r="J116" s="18" t="s">
        <v>269</v>
      </c>
      <c r="K116" s="18" t="s">
        <v>269</v>
      </c>
      <c r="L116" s="18" t="s">
        <v>269</v>
      </c>
      <c r="M116" s="18" t="s">
        <v>269</v>
      </c>
      <c r="N116" s="21" t="s">
        <v>216</v>
      </c>
      <c r="O116" s="18" t="s">
        <v>269</v>
      </c>
      <c r="P116" s="32" t="s">
        <v>1171</v>
      </c>
      <c r="Q116" s="18" t="s">
        <v>269</v>
      </c>
      <c r="R116" s="18" t="s">
        <v>269</v>
      </c>
      <c r="S116" s="18" t="s">
        <v>269</v>
      </c>
      <c r="T116" s="21" t="s">
        <v>337</v>
      </c>
      <c r="U116" s="24"/>
      <c r="V116" s="18" t="s">
        <v>269</v>
      </c>
      <c r="W116" s="38"/>
      <c r="X116" s="19"/>
      <c r="Y116" s="20" t="s">
        <v>268</v>
      </c>
      <c r="Z116" s="19" t="s">
        <v>561</v>
      </c>
      <c r="AA116" s="19"/>
      <c r="AB116" s="19"/>
    </row>
    <row r="117" spans="2:28" x14ac:dyDescent="0.2">
      <c r="B117" s="28" t="s">
        <v>257</v>
      </c>
      <c r="C117" s="17">
        <v>108</v>
      </c>
      <c r="D117" s="18" t="s">
        <v>269</v>
      </c>
      <c r="E117" s="18" t="s">
        <v>269</v>
      </c>
      <c r="F117" s="18" t="s">
        <v>269</v>
      </c>
      <c r="G117" s="18" t="s">
        <v>269</v>
      </c>
      <c r="H117" s="18" t="s">
        <v>269</v>
      </c>
      <c r="I117" s="18" t="s">
        <v>269</v>
      </c>
      <c r="J117" s="18" t="s">
        <v>269</v>
      </c>
      <c r="K117" s="18" t="s">
        <v>269</v>
      </c>
      <c r="L117" s="18" t="s">
        <v>269</v>
      </c>
      <c r="M117" s="18" t="s">
        <v>269</v>
      </c>
      <c r="N117" s="18" t="s">
        <v>269</v>
      </c>
      <c r="O117" s="18" t="s">
        <v>269</v>
      </c>
      <c r="P117" s="18" t="s">
        <v>269</v>
      </c>
      <c r="Q117" s="18" t="s">
        <v>269</v>
      </c>
      <c r="R117" s="18" t="s">
        <v>269</v>
      </c>
      <c r="S117" s="18" t="s">
        <v>269</v>
      </c>
      <c r="T117" s="18" t="s">
        <v>269</v>
      </c>
      <c r="U117" s="28" t="s">
        <v>257</v>
      </c>
      <c r="V117" s="18" t="s">
        <v>269</v>
      </c>
      <c r="W117" s="38"/>
      <c r="X117" s="19" t="s">
        <v>544</v>
      </c>
      <c r="Y117" s="20" t="s">
        <v>555</v>
      </c>
      <c r="Z117" s="20" t="s">
        <v>555</v>
      </c>
      <c r="AA117" s="19"/>
      <c r="AB117" s="19"/>
    </row>
    <row r="118" spans="2:28" x14ac:dyDescent="0.2">
      <c r="B118" s="16" t="s">
        <v>256</v>
      </c>
      <c r="C118" s="17">
        <v>109</v>
      </c>
      <c r="D118" s="18" t="s">
        <v>269</v>
      </c>
      <c r="E118" s="18" t="s">
        <v>269</v>
      </c>
      <c r="F118" s="18" t="s">
        <v>269</v>
      </c>
      <c r="G118" s="18" t="s">
        <v>269</v>
      </c>
      <c r="H118" s="18" t="s">
        <v>269</v>
      </c>
      <c r="I118" s="18" t="s">
        <v>269</v>
      </c>
      <c r="J118" s="18" t="s">
        <v>269</v>
      </c>
      <c r="K118" s="18" t="s">
        <v>269</v>
      </c>
      <c r="L118" s="18" t="s">
        <v>269</v>
      </c>
      <c r="M118" s="18" t="s">
        <v>269</v>
      </c>
      <c r="N118" s="18" t="s">
        <v>269</v>
      </c>
      <c r="O118" s="18" t="s">
        <v>269</v>
      </c>
      <c r="P118" s="18" t="s">
        <v>269</v>
      </c>
      <c r="Q118" s="18" t="s">
        <v>269</v>
      </c>
      <c r="R118" s="18" t="s">
        <v>269</v>
      </c>
      <c r="S118" s="18" t="s">
        <v>269</v>
      </c>
      <c r="T118" s="18" t="s">
        <v>269</v>
      </c>
      <c r="U118" s="16" t="s">
        <v>256</v>
      </c>
      <c r="V118" s="18" t="s">
        <v>269</v>
      </c>
      <c r="W118" s="38"/>
      <c r="X118" s="19" t="s">
        <v>545</v>
      </c>
      <c r="Y118" s="20" t="s">
        <v>555</v>
      </c>
      <c r="Z118" s="20" t="s">
        <v>555</v>
      </c>
      <c r="AA118" s="19"/>
      <c r="AB118" s="19"/>
    </row>
    <row r="119" spans="2:28" x14ac:dyDescent="0.2">
      <c r="B119" s="21" t="s">
        <v>217</v>
      </c>
      <c r="C119" s="22">
        <v>110</v>
      </c>
      <c r="D119" s="21" t="s">
        <v>217</v>
      </c>
      <c r="E119" s="112" t="s">
        <v>915</v>
      </c>
      <c r="F119" s="112" t="s">
        <v>1101</v>
      </c>
      <c r="G119" s="112" t="s">
        <v>917</v>
      </c>
      <c r="H119" s="112" t="s">
        <v>1103</v>
      </c>
      <c r="I119" s="114" t="s">
        <v>1159</v>
      </c>
      <c r="J119" s="93" t="s">
        <v>722</v>
      </c>
      <c r="K119" s="18" t="s">
        <v>269</v>
      </c>
      <c r="L119" s="93" t="s">
        <v>723</v>
      </c>
      <c r="M119" s="18" t="s">
        <v>269</v>
      </c>
      <c r="N119" s="18" t="s">
        <v>269</v>
      </c>
      <c r="O119" s="18" t="s">
        <v>269</v>
      </c>
      <c r="P119" s="21" t="s">
        <v>218</v>
      </c>
      <c r="Q119" s="18" t="s">
        <v>269</v>
      </c>
      <c r="R119" s="18" t="s">
        <v>269</v>
      </c>
      <c r="S119" s="18" t="s">
        <v>269</v>
      </c>
      <c r="T119" s="18" t="s">
        <v>269</v>
      </c>
      <c r="U119" s="24"/>
      <c r="V119" s="18" t="s">
        <v>269</v>
      </c>
      <c r="W119" s="38" t="str">
        <f>_xlfn.IFS(AND(COUNTIF(U119,"SCB*")=1, 'PCH144'!F60&gt;=2), "See the Notice *2", TRUE, "")</f>
        <v/>
      </c>
      <c r="X119" s="19"/>
      <c r="Y119" s="20" t="s">
        <v>268</v>
      </c>
      <c r="Z119" s="19" t="s">
        <v>561</v>
      </c>
      <c r="AA119" s="19"/>
      <c r="AB119" s="19"/>
    </row>
    <row r="120" spans="2:28" x14ac:dyDescent="0.2">
      <c r="B120" s="21" t="s">
        <v>219</v>
      </c>
      <c r="C120" s="22">
        <v>111</v>
      </c>
      <c r="D120" s="21" t="s">
        <v>219</v>
      </c>
      <c r="E120" s="112" t="s">
        <v>985</v>
      </c>
      <c r="F120" s="112" t="s">
        <v>920</v>
      </c>
      <c r="G120" s="112" t="s">
        <v>987</v>
      </c>
      <c r="H120" s="112" t="s">
        <v>922</v>
      </c>
      <c r="I120" s="114" t="s">
        <v>1160</v>
      </c>
      <c r="J120" s="93" t="s">
        <v>724</v>
      </c>
      <c r="K120" s="93" t="s">
        <v>725</v>
      </c>
      <c r="L120" s="93" t="s">
        <v>726</v>
      </c>
      <c r="M120" s="18" t="s">
        <v>269</v>
      </c>
      <c r="N120" s="18" t="s">
        <v>269</v>
      </c>
      <c r="O120" s="18" t="s">
        <v>269</v>
      </c>
      <c r="P120" s="21" t="s">
        <v>220</v>
      </c>
      <c r="Q120" s="18" t="s">
        <v>269</v>
      </c>
      <c r="R120" s="18" t="s">
        <v>269</v>
      </c>
      <c r="S120" s="18" t="s">
        <v>269</v>
      </c>
      <c r="T120" s="18" t="s">
        <v>269</v>
      </c>
      <c r="U120" s="24"/>
      <c r="V120" s="18" t="s">
        <v>269</v>
      </c>
      <c r="W120" s="38" t="str">
        <f>_xlfn.IFS(AND(COUNTIF(U120,"SCB*")=1, 'PCH144'!F60&gt;=2), "See the Notice *2", TRUE, "")</f>
        <v/>
      </c>
      <c r="X120" s="19"/>
      <c r="Y120" s="20" t="s">
        <v>268</v>
      </c>
      <c r="Z120" s="19" t="s">
        <v>561</v>
      </c>
      <c r="AA120" s="19"/>
      <c r="AB120" s="19"/>
    </row>
    <row r="121" spans="2:28" x14ac:dyDescent="0.2">
      <c r="B121" s="21" t="s">
        <v>221</v>
      </c>
      <c r="C121" s="22">
        <v>112</v>
      </c>
      <c r="D121" s="21" t="s">
        <v>221</v>
      </c>
      <c r="E121" s="112" t="s">
        <v>989</v>
      </c>
      <c r="F121" s="112" t="s">
        <v>990</v>
      </c>
      <c r="G121" s="112" t="s">
        <v>991</v>
      </c>
      <c r="H121" s="112" t="s">
        <v>992</v>
      </c>
      <c r="I121" s="114" t="s">
        <v>1161</v>
      </c>
      <c r="J121" s="93" t="s">
        <v>727</v>
      </c>
      <c r="K121" s="93" t="s">
        <v>728</v>
      </c>
      <c r="L121" s="93" t="s">
        <v>729</v>
      </c>
      <c r="M121" s="18" t="s">
        <v>269</v>
      </c>
      <c r="N121" s="18" t="s">
        <v>269</v>
      </c>
      <c r="O121" s="21" t="s">
        <v>222</v>
      </c>
      <c r="P121" s="18" t="s">
        <v>269</v>
      </c>
      <c r="Q121" s="18" t="s">
        <v>269</v>
      </c>
      <c r="R121" s="18" t="s">
        <v>269</v>
      </c>
      <c r="S121" s="18" t="s">
        <v>269</v>
      </c>
      <c r="T121" s="18" t="s">
        <v>269</v>
      </c>
      <c r="U121" s="24"/>
      <c r="V121" s="18" t="s">
        <v>269</v>
      </c>
      <c r="W121" s="38" t="str">
        <f>_xlfn.IFS(AND(COUNTIF(U121,"SCB*")=1, 'PCH144'!F60&gt;=2), "See the Notice *2", TRUE, "")</f>
        <v/>
      </c>
      <c r="X121" s="19"/>
      <c r="Y121" s="20" t="s">
        <v>268</v>
      </c>
      <c r="Z121" s="19" t="s">
        <v>561</v>
      </c>
      <c r="AA121" s="19"/>
      <c r="AB121" s="19"/>
    </row>
    <row r="122" spans="2:28" x14ac:dyDescent="0.2">
      <c r="B122" s="21" t="s">
        <v>223</v>
      </c>
      <c r="C122" s="22">
        <v>113</v>
      </c>
      <c r="D122" s="21" t="s">
        <v>223</v>
      </c>
      <c r="E122" s="112" t="s">
        <v>993</v>
      </c>
      <c r="F122" s="112" t="s">
        <v>994</v>
      </c>
      <c r="G122" s="112" t="s">
        <v>995</v>
      </c>
      <c r="H122" s="112" t="s">
        <v>996</v>
      </c>
      <c r="I122" s="114" t="s">
        <v>1162</v>
      </c>
      <c r="J122" s="93" t="s">
        <v>730</v>
      </c>
      <c r="K122" s="18" t="s">
        <v>269</v>
      </c>
      <c r="L122" s="93" t="s">
        <v>731</v>
      </c>
      <c r="M122" s="18" t="s">
        <v>269</v>
      </c>
      <c r="N122" s="18" t="s">
        <v>269</v>
      </c>
      <c r="O122" s="21" t="s">
        <v>224</v>
      </c>
      <c r="P122" s="18" t="s">
        <v>269</v>
      </c>
      <c r="Q122" s="18" t="s">
        <v>269</v>
      </c>
      <c r="R122" s="18" t="s">
        <v>269</v>
      </c>
      <c r="S122" s="18" t="s">
        <v>269</v>
      </c>
      <c r="T122" s="18" t="s">
        <v>269</v>
      </c>
      <c r="U122" s="24"/>
      <c r="V122" s="18" t="s">
        <v>269</v>
      </c>
      <c r="W122" s="38" t="str">
        <f>_xlfn.IFS(AND(COUNTIF(U122,"SCB*")=1, 'PCH144'!F60&gt;=2), "See the Notice *2", TRUE, "")</f>
        <v/>
      </c>
      <c r="X122" s="19"/>
      <c r="Y122" s="20" t="s">
        <v>268</v>
      </c>
      <c r="Z122" s="19" t="s">
        <v>561</v>
      </c>
      <c r="AA122" s="19"/>
      <c r="AB122" s="19"/>
    </row>
    <row r="123" spans="2:28" x14ac:dyDescent="0.2">
      <c r="B123" s="21" t="s">
        <v>225</v>
      </c>
      <c r="C123" s="22">
        <v>114</v>
      </c>
      <c r="D123" s="21" t="s">
        <v>225</v>
      </c>
      <c r="E123" s="112" t="s">
        <v>997</v>
      </c>
      <c r="F123" s="112" t="s">
        <v>998</v>
      </c>
      <c r="G123" s="112" t="s">
        <v>999</v>
      </c>
      <c r="H123" s="112" t="s">
        <v>1000</v>
      </c>
      <c r="I123" s="112" t="s">
        <v>1163</v>
      </c>
      <c r="J123" s="18" t="s">
        <v>269</v>
      </c>
      <c r="K123" s="18" t="s">
        <v>269</v>
      </c>
      <c r="L123" s="93" t="s">
        <v>732</v>
      </c>
      <c r="M123" s="18" t="s">
        <v>269</v>
      </c>
      <c r="N123" s="18" t="s">
        <v>269</v>
      </c>
      <c r="O123" s="18" t="s">
        <v>269</v>
      </c>
      <c r="P123" s="18" t="s">
        <v>269</v>
      </c>
      <c r="Q123" s="18" t="s">
        <v>269</v>
      </c>
      <c r="R123" s="18" t="s">
        <v>269</v>
      </c>
      <c r="S123" s="18" t="s">
        <v>269</v>
      </c>
      <c r="T123" s="18" t="s">
        <v>269</v>
      </c>
      <c r="U123" s="24"/>
      <c r="V123" s="18" t="s">
        <v>269</v>
      </c>
      <c r="W123" s="38" t="str">
        <f>_xlfn.IFS(AND(COUNTIF(U123,"SCB*")=1, 'PCH144'!F60&gt;=2), "See the Notice *2", TRUE, "")</f>
        <v/>
      </c>
      <c r="X123" s="19"/>
      <c r="Y123" s="20" t="s">
        <v>268</v>
      </c>
      <c r="Z123" s="19" t="s">
        <v>561</v>
      </c>
      <c r="AA123" s="19"/>
      <c r="AB123" s="19"/>
    </row>
    <row r="124" spans="2:28" x14ac:dyDescent="0.2">
      <c r="B124" s="21" t="s">
        <v>226</v>
      </c>
      <c r="C124" s="22">
        <v>115</v>
      </c>
      <c r="D124" s="21" t="s">
        <v>226</v>
      </c>
      <c r="E124" s="112" t="s">
        <v>1001</v>
      </c>
      <c r="F124" s="112" t="s">
        <v>1002</v>
      </c>
      <c r="G124" s="112" t="s">
        <v>1003</v>
      </c>
      <c r="H124" s="112" t="s">
        <v>1004</v>
      </c>
      <c r="I124" s="112" t="s">
        <v>1164</v>
      </c>
      <c r="J124" s="18" t="s">
        <v>269</v>
      </c>
      <c r="K124" s="18" t="s">
        <v>269</v>
      </c>
      <c r="L124" s="93" t="s">
        <v>733</v>
      </c>
      <c r="M124" s="21" t="s">
        <v>51</v>
      </c>
      <c r="N124" s="18" t="s">
        <v>269</v>
      </c>
      <c r="O124" s="18" t="s">
        <v>269</v>
      </c>
      <c r="P124" s="18" t="s">
        <v>269</v>
      </c>
      <c r="Q124" s="18" t="s">
        <v>269</v>
      </c>
      <c r="R124" s="18" t="s">
        <v>269</v>
      </c>
      <c r="S124" s="18" t="s">
        <v>269</v>
      </c>
      <c r="T124" s="18" t="s">
        <v>269</v>
      </c>
      <c r="U124" s="24"/>
      <c r="V124" s="18" t="s">
        <v>269</v>
      </c>
      <c r="W124" s="38" t="str">
        <f>_xlfn.IFS(AND(COUNTIF(U124,"SCB*")=1, 'PCH144'!F60&gt;=2), "See the Notice *2", TRUE, "")</f>
        <v/>
      </c>
      <c r="X124" s="19"/>
      <c r="Y124" s="20" t="s">
        <v>268</v>
      </c>
      <c r="Z124" s="19" t="s">
        <v>561</v>
      </c>
      <c r="AA124" s="19"/>
      <c r="AB124" s="19"/>
    </row>
    <row r="125" spans="2:28" x14ac:dyDescent="0.2">
      <c r="B125" s="21" t="s">
        <v>227</v>
      </c>
      <c r="C125" s="22">
        <v>116</v>
      </c>
      <c r="D125" s="21" t="s">
        <v>227</v>
      </c>
      <c r="E125" s="112" t="s">
        <v>1093</v>
      </c>
      <c r="F125" s="112" t="s">
        <v>1006</v>
      </c>
      <c r="G125" s="112" t="s">
        <v>1095</v>
      </c>
      <c r="H125" s="112" t="s">
        <v>1008</v>
      </c>
      <c r="I125" s="112" t="s">
        <v>1165</v>
      </c>
      <c r="J125" s="18" t="s">
        <v>269</v>
      </c>
      <c r="K125" s="18" t="s">
        <v>269</v>
      </c>
      <c r="L125" s="18" t="s">
        <v>269</v>
      </c>
      <c r="M125" s="21" t="s">
        <v>54</v>
      </c>
      <c r="N125" s="18" t="s">
        <v>269</v>
      </c>
      <c r="O125" s="18" t="s">
        <v>269</v>
      </c>
      <c r="P125" s="18" t="s">
        <v>269</v>
      </c>
      <c r="Q125" s="18" t="s">
        <v>269</v>
      </c>
      <c r="R125" s="18" t="s">
        <v>269</v>
      </c>
      <c r="S125" s="18" t="s">
        <v>269</v>
      </c>
      <c r="T125" s="18" t="s">
        <v>269</v>
      </c>
      <c r="U125" s="24"/>
      <c r="V125" s="18" t="s">
        <v>269</v>
      </c>
      <c r="W125" s="38"/>
      <c r="X125" s="19"/>
      <c r="Y125" s="20" t="s">
        <v>268</v>
      </c>
      <c r="Z125" s="19" t="s">
        <v>561</v>
      </c>
      <c r="AA125" s="19"/>
      <c r="AB125" s="19"/>
    </row>
    <row r="126" spans="2:28" x14ac:dyDescent="0.2">
      <c r="B126" s="21" t="s">
        <v>228</v>
      </c>
      <c r="C126" s="22">
        <v>117</v>
      </c>
      <c r="D126" s="21" t="s">
        <v>228</v>
      </c>
      <c r="E126" s="112" t="s">
        <v>1089</v>
      </c>
      <c r="F126" s="112" t="s">
        <v>1098</v>
      </c>
      <c r="G126" s="112" t="s">
        <v>1091</v>
      </c>
      <c r="H126" s="112" t="s">
        <v>1100</v>
      </c>
      <c r="I126" s="112" t="s">
        <v>1166</v>
      </c>
      <c r="J126" s="18" t="s">
        <v>269</v>
      </c>
      <c r="K126" s="18" t="s">
        <v>269</v>
      </c>
      <c r="L126" s="18" t="s">
        <v>269</v>
      </c>
      <c r="M126" s="21" t="s">
        <v>57</v>
      </c>
      <c r="N126" s="18" t="s">
        <v>269</v>
      </c>
      <c r="O126" s="18" t="s">
        <v>269</v>
      </c>
      <c r="P126" s="18" t="s">
        <v>269</v>
      </c>
      <c r="Q126" s="18" t="s">
        <v>269</v>
      </c>
      <c r="R126" s="18" t="s">
        <v>269</v>
      </c>
      <c r="S126" s="18" t="s">
        <v>269</v>
      </c>
      <c r="T126" s="18" t="s">
        <v>269</v>
      </c>
      <c r="U126" s="24"/>
      <c r="V126" s="18" t="s">
        <v>269</v>
      </c>
      <c r="W126" s="38"/>
      <c r="X126" s="19"/>
      <c r="Y126" s="20" t="s">
        <v>268</v>
      </c>
      <c r="Z126" s="19" t="s">
        <v>561</v>
      </c>
      <c r="AA126" s="19"/>
      <c r="AB126" s="19"/>
    </row>
    <row r="127" spans="2:28" x14ac:dyDescent="0.2">
      <c r="B127" s="21" t="s">
        <v>229</v>
      </c>
      <c r="C127" s="22">
        <v>118</v>
      </c>
      <c r="D127" s="21" t="s">
        <v>229</v>
      </c>
      <c r="E127" s="112" t="s">
        <v>1085</v>
      </c>
      <c r="F127" s="112" t="s">
        <v>1094</v>
      </c>
      <c r="G127" s="112" t="s">
        <v>1087</v>
      </c>
      <c r="H127" s="111" t="s">
        <v>1096</v>
      </c>
      <c r="I127" s="18" t="s">
        <v>269</v>
      </c>
      <c r="J127" s="93" t="s">
        <v>734</v>
      </c>
      <c r="K127" s="18" t="s">
        <v>269</v>
      </c>
      <c r="L127" s="93" t="s">
        <v>735</v>
      </c>
      <c r="M127" s="18" t="s">
        <v>269</v>
      </c>
      <c r="N127" s="21" t="s">
        <v>214</v>
      </c>
      <c r="O127" s="18" t="s">
        <v>269</v>
      </c>
      <c r="P127" s="18" t="s">
        <v>269</v>
      </c>
      <c r="Q127" s="18" t="s">
        <v>269</v>
      </c>
      <c r="R127" s="18" t="s">
        <v>269</v>
      </c>
      <c r="S127" s="18" t="s">
        <v>269</v>
      </c>
      <c r="T127" s="18" t="s">
        <v>269</v>
      </c>
      <c r="U127" s="24"/>
      <c r="V127" s="18" t="s">
        <v>269</v>
      </c>
      <c r="W127" s="38" t="str">
        <f>_xlfn.IFS(AND(COUNTIF(U127,"SCB*")=1, 'PCH144'!E60&gt;=2), "See the Notice *2", TRUE, "")</f>
        <v/>
      </c>
      <c r="X127" s="19"/>
      <c r="Y127" s="20" t="s">
        <v>268</v>
      </c>
      <c r="Z127" s="19" t="s">
        <v>561</v>
      </c>
      <c r="AA127" s="19"/>
      <c r="AB127" s="19"/>
    </row>
    <row r="128" spans="2:28" x14ac:dyDescent="0.2">
      <c r="B128" s="21" t="s">
        <v>567</v>
      </c>
      <c r="C128" s="22">
        <v>119</v>
      </c>
      <c r="D128" s="21" t="s">
        <v>770</v>
      </c>
      <c r="E128" s="112" t="s">
        <v>1049</v>
      </c>
      <c r="F128" s="112" t="s">
        <v>1058</v>
      </c>
      <c r="G128" s="112" t="s">
        <v>1051</v>
      </c>
      <c r="H128" s="112" t="s">
        <v>1060</v>
      </c>
      <c r="I128" s="18" t="s">
        <v>269</v>
      </c>
      <c r="J128" s="18" t="s">
        <v>269</v>
      </c>
      <c r="K128" s="18" t="s">
        <v>269</v>
      </c>
      <c r="L128" s="93" t="s">
        <v>745</v>
      </c>
      <c r="M128" s="18" t="s">
        <v>269</v>
      </c>
      <c r="N128" s="18" t="s">
        <v>269</v>
      </c>
      <c r="O128" s="18" t="s">
        <v>269</v>
      </c>
      <c r="P128" s="18" t="s">
        <v>269</v>
      </c>
      <c r="Q128" s="18" t="s">
        <v>269</v>
      </c>
      <c r="R128" s="18" t="s">
        <v>269</v>
      </c>
      <c r="S128" s="18" t="s">
        <v>269</v>
      </c>
      <c r="T128" s="21" t="s">
        <v>353</v>
      </c>
      <c r="U128" s="24"/>
      <c r="V128" s="18" t="s">
        <v>269</v>
      </c>
      <c r="W128" s="38" t="str">
        <f>_xlfn.IFS(AND(COUNTIF(U128,"SCB*")=1, 'PCH144'!E60&gt;=2), "See the Notice *2", TRUE, "")</f>
        <v/>
      </c>
      <c r="X128" s="19"/>
      <c r="Y128" s="20" t="s">
        <v>268</v>
      </c>
      <c r="Z128" s="19" t="s">
        <v>561</v>
      </c>
      <c r="AA128" s="19"/>
      <c r="AB128" s="19"/>
    </row>
    <row r="129" spans="2:28" x14ac:dyDescent="0.2">
      <c r="B129" s="21" t="s">
        <v>568</v>
      </c>
      <c r="C129" s="22">
        <v>120</v>
      </c>
      <c r="D129" s="21" t="s">
        <v>771</v>
      </c>
      <c r="E129" s="112" t="s">
        <v>1045</v>
      </c>
      <c r="F129" s="112" t="s">
        <v>1054</v>
      </c>
      <c r="G129" s="112" t="s">
        <v>1047</v>
      </c>
      <c r="H129" s="112" t="s">
        <v>1056</v>
      </c>
      <c r="I129" s="18" t="s">
        <v>269</v>
      </c>
      <c r="J129" s="18" t="s">
        <v>269</v>
      </c>
      <c r="K129" s="18" t="s">
        <v>269</v>
      </c>
      <c r="L129" s="18" t="s">
        <v>269</v>
      </c>
      <c r="M129" s="18" t="s">
        <v>269</v>
      </c>
      <c r="N129" s="18" t="s">
        <v>269</v>
      </c>
      <c r="O129" s="18" t="s">
        <v>269</v>
      </c>
      <c r="P129" s="18" t="s">
        <v>269</v>
      </c>
      <c r="Q129" s="18" t="s">
        <v>269</v>
      </c>
      <c r="R129" s="18" t="s">
        <v>269</v>
      </c>
      <c r="S129" s="18" t="s">
        <v>269</v>
      </c>
      <c r="T129" s="21" t="s">
        <v>354</v>
      </c>
      <c r="U129" s="24"/>
      <c r="V129" s="18" t="s">
        <v>269</v>
      </c>
      <c r="W129" s="38"/>
      <c r="X129" s="19"/>
      <c r="Y129" s="20" t="s">
        <v>268</v>
      </c>
      <c r="Z129" s="19" t="s">
        <v>561</v>
      </c>
      <c r="AA129" s="19"/>
      <c r="AB129" s="19"/>
    </row>
    <row r="130" spans="2:28" x14ac:dyDescent="0.2">
      <c r="B130" s="21" t="s">
        <v>569</v>
      </c>
      <c r="C130" s="22">
        <v>121</v>
      </c>
      <c r="D130" s="21" t="s">
        <v>772</v>
      </c>
      <c r="E130" s="112" t="s">
        <v>1041</v>
      </c>
      <c r="F130" s="112" t="s">
        <v>1050</v>
      </c>
      <c r="G130" s="112" t="s">
        <v>1043</v>
      </c>
      <c r="H130" s="112" t="s">
        <v>1052</v>
      </c>
      <c r="I130" s="18" t="s">
        <v>269</v>
      </c>
      <c r="J130" s="18" t="s">
        <v>269</v>
      </c>
      <c r="K130" s="18" t="s">
        <v>269</v>
      </c>
      <c r="L130" s="18" t="s">
        <v>269</v>
      </c>
      <c r="M130" s="18" t="s">
        <v>269</v>
      </c>
      <c r="N130" s="18" t="s">
        <v>269</v>
      </c>
      <c r="O130" s="21" t="s">
        <v>235</v>
      </c>
      <c r="P130" s="21" t="s">
        <v>62</v>
      </c>
      <c r="Q130" s="18" t="s">
        <v>269</v>
      </c>
      <c r="R130" s="18" t="s">
        <v>269</v>
      </c>
      <c r="S130" s="18" t="s">
        <v>269</v>
      </c>
      <c r="T130" s="21" t="s">
        <v>355</v>
      </c>
      <c r="U130" s="24"/>
      <c r="V130" s="18" t="s">
        <v>269</v>
      </c>
      <c r="W130" s="38"/>
      <c r="X130" s="19"/>
      <c r="Y130" s="20" t="s">
        <v>268</v>
      </c>
      <c r="Z130" s="19" t="s">
        <v>561</v>
      </c>
      <c r="AA130" s="19"/>
      <c r="AB130" s="19"/>
    </row>
    <row r="131" spans="2:28" x14ac:dyDescent="0.2">
      <c r="B131" s="21" t="s">
        <v>570</v>
      </c>
      <c r="C131" s="22">
        <v>122</v>
      </c>
      <c r="D131" s="21" t="s">
        <v>773</v>
      </c>
      <c r="E131" s="112" t="s">
        <v>1037</v>
      </c>
      <c r="F131" s="112" t="s">
        <v>1046</v>
      </c>
      <c r="G131" s="112" t="s">
        <v>1039</v>
      </c>
      <c r="H131" s="112" t="s">
        <v>1048</v>
      </c>
      <c r="I131" s="18" t="s">
        <v>269</v>
      </c>
      <c r="J131" s="18" t="s">
        <v>269</v>
      </c>
      <c r="K131" s="18" t="s">
        <v>269</v>
      </c>
      <c r="L131" s="18" t="s">
        <v>269</v>
      </c>
      <c r="M131" s="18" t="s">
        <v>269</v>
      </c>
      <c r="N131" s="18" t="s">
        <v>269</v>
      </c>
      <c r="O131" s="18" t="s">
        <v>269</v>
      </c>
      <c r="P131" s="18" t="s">
        <v>269</v>
      </c>
      <c r="Q131" s="18" t="s">
        <v>269</v>
      </c>
      <c r="R131" s="18" t="s">
        <v>269</v>
      </c>
      <c r="S131" s="18" t="s">
        <v>269</v>
      </c>
      <c r="T131" s="21" t="s">
        <v>356</v>
      </c>
      <c r="U131" s="24"/>
      <c r="V131" s="18" t="s">
        <v>269</v>
      </c>
      <c r="W131" s="38"/>
      <c r="X131" s="19"/>
      <c r="Y131" s="20" t="s">
        <v>268</v>
      </c>
      <c r="Z131" s="19" t="s">
        <v>561</v>
      </c>
      <c r="AA131" s="19"/>
      <c r="AB131" s="19"/>
    </row>
    <row r="132" spans="2:28" x14ac:dyDescent="0.2">
      <c r="B132" s="34" t="s">
        <v>264</v>
      </c>
      <c r="C132" s="17">
        <v>123</v>
      </c>
      <c r="D132" s="34" t="s">
        <v>264</v>
      </c>
      <c r="E132" s="18" t="s">
        <v>269</v>
      </c>
      <c r="F132" s="18" t="s">
        <v>269</v>
      </c>
      <c r="G132" s="18" t="s">
        <v>269</v>
      </c>
      <c r="H132" s="18" t="s">
        <v>269</v>
      </c>
      <c r="I132" s="18" t="s">
        <v>269</v>
      </c>
      <c r="J132" s="18" t="s">
        <v>269</v>
      </c>
      <c r="K132" s="18" t="s">
        <v>269</v>
      </c>
      <c r="L132" s="18" t="s">
        <v>269</v>
      </c>
      <c r="M132" s="18" t="s">
        <v>269</v>
      </c>
      <c r="N132" s="18" t="s">
        <v>269</v>
      </c>
      <c r="O132" s="18" t="s">
        <v>269</v>
      </c>
      <c r="P132" s="18" t="s">
        <v>269</v>
      </c>
      <c r="Q132" s="18" t="s">
        <v>269</v>
      </c>
      <c r="R132" s="18" t="s">
        <v>269</v>
      </c>
      <c r="S132" s="18" t="s">
        <v>269</v>
      </c>
      <c r="T132" s="18" t="s">
        <v>269</v>
      </c>
      <c r="U132" s="34" t="s">
        <v>264</v>
      </c>
      <c r="V132" s="18" t="s">
        <v>269</v>
      </c>
      <c r="W132" s="38"/>
      <c r="X132" s="19" t="s">
        <v>552</v>
      </c>
      <c r="Y132" s="20" t="s">
        <v>555</v>
      </c>
      <c r="Z132" s="20" t="s">
        <v>555</v>
      </c>
      <c r="AA132" s="19"/>
      <c r="AB132" s="19"/>
    </row>
    <row r="133" spans="2:28" x14ac:dyDescent="0.2">
      <c r="B133" s="28" t="s">
        <v>257</v>
      </c>
      <c r="C133" s="17">
        <v>124</v>
      </c>
      <c r="D133" s="18" t="s">
        <v>269</v>
      </c>
      <c r="E133" s="18" t="s">
        <v>269</v>
      </c>
      <c r="F133" s="18" t="s">
        <v>269</v>
      </c>
      <c r="G133" s="18" t="s">
        <v>269</v>
      </c>
      <c r="H133" s="18" t="s">
        <v>269</v>
      </c>
      <c r="I133" s="18" t="s">
        <v>269</v>
      </c>
      <c r="J133" s="18" t="s">
        <v>269</v>
      </c>
      <c r="K133" s="18" t="s">
        <v>269</v>
      </c>
      <c r="L133" s="18" t="s">
        <v>269</v>
      </c>
      <c r="M133" s="18" t="s">
        <v>269</v>
      </c>
      <c r="N133" s="18" t="s">
        <v>269</v>
      </c>
      <c r="O133" s="18" t="s">
        <v>269</v>
      </c>
      <c r="P133" s="18" t="s">
        <v>269</v>
      </c>
      <c r="Q133" s="18" t="s">
        <v>269</v>
      </c>
      <c r="R133" s="18" t="s">
        <v>269</v>
      </c>
      <c r="S133" s="18" t="s">
        <v>269</v>
      </c>
      <c r="T133" s="18" t="s">
        <v>269</v>
      </c>
      <c r="U133" s="28" t="s">
        <v>257</v>
      </c>
      <c r="V133" s="18" t="s">
        <v>269</v>
      </c>
      <c r="W133" s="38"/>
      <c r="X133" s="19" t="s">
        <v>544</v>
      </c>
      <c r="Y133" s="20" t="s">
        <v>555</v>
      </c>
      <c r="Z133" s="20" t="s">
        <v>555</v>
      </c>
      <c r="AA133" s="19"/>
      <c r="AB133" s="19"/>
    </row>
    <row r="134" spans="2:28" x14ac:dyDescent="0.2">
      <c r="B134" s="16" t="s">
        <v>256</v>
      </c>
      <c r="C134" s="17">
        <v>125</v>
      </c>
      <c r="D134" s="18" t="s">
        <v>269</v>
      </c>
      <c r="E134" s="18" t="s">
        <v>269</v>
      </c>
      <c r="F134" s="18" t="s">
        <v>269</v>
      </c>
      <c r="G134" s="18" t="s">
        <v>269</v>
      </c>
      <c r="H134" s="18" t="s">
        <v>269</v>
      </c>
      <c r="I134" s="18" t="s">
        <v>269</v>
      </c>
      <c r="J134" s="18" t="s">
        <v>269</v>
      </c>
      <c r="K134" s="18" t="s">
        <v>269</v>
      </c>
      <c r="L134" s="18" t="s">
        <v>269</v>
      </c>
      <c r="M134" s="18" t="s">
        <v>269</v>
      </c>
      <c r="N134" s="18" t="s">
        <v>269</v>
      </c>
      <c r="O134" s="18" t="s">
        <v>269</v>
      </c>
      <c r="P134" s="18" t="s">
        <v>269</v>
      </c>
      <c r="Q134" s="18" t="s">
        <v>269</v>
      </c>
      <c r="R134" s="18" t="s">
        <v>269</v>
      </c>
      <c r="S134" s="18" t="s">
        <v>269</v>
      </c>
      <c r="T134" s="18" t="s">
        <v>269</v>
      </c>
      <c r="U134" s="16" t="s">
        <v>256</v>
      </c>
      <c r="V134" s="18" t="s">
        <v>269</v>
      </c>
      <c r="W134" s="38"/>
      <c r="X134" s="19" t="s">
        <v>545</v>
      </c>
      <c r="Y134" s="20" t="s">
        <v>555</v>
      </c>
      <c r="Z134" s="20" t="s">
        <v>555</v>
      </c>
      <c r="AA134" s="19"/>
      <c r="AB134" s="19"/>
    </row>
    <row r="135" spans="2:28" x14ac:dyDescent="0.2">
      <c r="B135" s="16" t="s">
        <v>256</v>
      </c>
      <c r="C135" s="17">
        <v>126</v>
      </c>
      <c r="D135" s="18" t="s">
        <v>269</v>
      </c>
      <c r="E135" s="18" t="s">
        <v>269</v>
      </c>
      <c r="F135" s="18" t="s">
        <v>269</v>
      </c>
      <c r="G135" s="18" t="s">
        <v>269</v>
      </c>
      <c r="H135" s="18" t="s">
        <v>269</v>
      </c>
      <c r="I135" s="18" t="s">
        <v>269</v>
      </c>
      <c r="J135" s="18" t="s">
        <v>269</v>
      </c>
      <c r="K135" s="18" t="s">
        <v>269</v>
      </c>
      <c r="L135" s="18" t="s">
        <v>269</v>
      </c>
      <c r="M135" s="18" t="s">
        <v>269</v>
      </c>
      <c r="N135" s="18" t="s">
        <v>269</v>
      </c>
      <c r="O135" s="18" t="s">
        <v>269</v>
      </c>
      <c r="P135" s="18" t="s">
        <v>269</v>
      </c>
      <c r="Q135" s="18" t="s">
        <v>269</v>
      </c>
      <c r="R135" s="18" t="s">
        <v>269</v>
      </c>
      <c r="S135" s="18" t="s">
        <v>269</v>
      </c>
      <c r="T135" s="18" t="s">
        <v>269</v>
      </c>
      <c r="U135" s="16" t="s">
        <v>256</v>
      </c>
      <c r="V135" s="18" t="s">
        <v>269</v>
      </c>
      <c r="W135" s="38"/>
      <c r="X135" s="19" t="s">
        <v>545</v>
      </c>
      <c r="Y135" s="20" t="s">
        <v>555</v>
      </c>
      <c r="Z135" s="20" t="s">
        <v>555</v>
      </c>
      <c r="AA135" s="19"/>
      <c r="AB135" s="19"/>
    </row>
    <row r="136" spans="2:28" x14ac:dyDescent="0.2">
      <c r="B136" s="28" t="s">
        <v>259</v>
      </c>
      <c r="C136" s="17">
        <v>127</v>
      </c>
      <c r="D136" s="18" t="s">
        <v>269</v>
      </c>
      <c r="E136" s="18" t="s">
        <v>269</v>
      </c>
      <c r="F136" s="18" t="s">
        <v>269</v>
      </c>
      <c r="G136" s="18" t="s">
        <v>269</v>
      </c>
      <c r="H136" s="18" t="s">
        <v>269</v>
      </c>
      <c r="I136" s="18" t="s">
        <v>269</v>
      </c>
      <c r="J136" s="18" t="s">
        <v>269</v>
      </c>
      <c r="K136" s="18" t="s">
        <v>269</v>
      </c>
      <c r="L136" s="18" t="s">
        <v>269</v>
      </c>
      <c r="M136" s="18" t="s">
        <v>269</v>
      </c>
      <c r="N136" s="18" t="s">
        <v>269</v>
      </c>
      <c r="O136" s="18" t="s">
        <v>269</v>
      </c>
      <c r="P136" s="18" t="s">
        <v>269</v>
      </c>
      <c r="Q136" s="18" t="s">
        <v>269</v>
      </c>
      <c r="R136" s="18" t="s">
        <v>269</v>
      </c>
      <c r="S136" s="18" t="s">
        <v>269</v>
      </c>
      <c r="T136" s="18" t="s">
        <v>269</v>
      </c>
      <c r="U136" s="28" t="s">
        <v>259</v>
      </c>
      <c r="V136" s="18" t="s">
        <v>269</v>
      </c>
      <c r="W136" s="38"/>
      <c r="X136" s="19" t="s">
        <v>547</v>
      </c>
      <c r="Y136" s="20" t="s">
        <v>555</v>
      </c>
      <c r="Z136" s="20" t="s">
        <v>555</v>
      </c>
      <c r="AA136" s="19"/>
      <c r="AB136" s="19"/>
    </row>
    <row r="137" spans="2:28" x14ac:dyDescent="0.2">
      <c r="B137" s="21" t="s">
        <v>571</v>
      </c>
      <c r="C137" s="22">
        <v>128</v>
      </c>
      <c r="D137" s="21" t="s">
        <v>774</v>
      </c>
      <c r="E137" s="112" t="s">
        <v>1029</v>
      </c>
      <c r="F137" s="112" t="s">
        <v>1038</v>
      </c>
      <c r="G137" s="112" t="s">
        <v>1031</v>
      </c>
      <c r="H137" s="112" t="s">
        <v>1040</v>
      </c>
      <c r="I137" s="18" t="s">
        <v>269</v>
      </c>
      <c r="J137" s="18" t="s">
        <v>269</v>
      </c>
      <c r="K137" s="18" t="s">
        <v>269</v>
      </c>
      <c r="L137" s="18" t="s">
        <v>269</v>
      </c>
      <c r="M137" s="21" t="s">
        <v>40</v>
      </c>
      <c r="N137" s="18" t="s">
        <v>269</v>
      </c>
      <c r="O137" s="18" t="s">
        <v>269</v>
      </c>
      <c r="P137" s="18" t="s">
        <v>269</v>
      </c>
      <c r="Q137" s="18" t="s">
        <v>269</v>
      </c>
      <c r="R137" s="18" t="s">
        <v>269</v>
      </c>
      <c r="S137" s="18" t="s">
        <v>269</v>
      </c>
      <c r="T137" s="18" t="s">
        <v>269</v>
      </c>
      <c r="U137" s="24"/>
      <c r="V137" s="18" t="s">
        <v>269</v>
      </c>
      <c r="W137" s="38"/>
      <c r="X137" s="19"/>
      <c r="Y137" s="20" t="s">
        <v>268</v>
      </c>
      <c r="Z137" s="19" t="s">
        <v>561</v>
      </c>
      <c r="AA137" s="19"/>
      <c r="AB137" s="19"/>
    </row>
    <row r="138" spans="2:28" x14ac:dyDescent="0.2">
      <c r="B138" s="21" t="s">
        <v>572</v>
      </c>
      <c r="C138" s="22">
        <v>129</v>
      </c>
      <c r="D138" s="21" t="s">
        <v>775</v>
      </c>
      <c r="E138" s="112" t="s">
        <v>1025</v>
      </c>
      <c r="F138" s="112" t="s">
        <v>1034</v>
      </c>
      <c r="G138" s="112" t="s">
        <v>1027</v>
      </c>
      <c r="H138" s="112" t="s">
        <v>1036</v>
      </c>
      <c r="I138" s="18" t="s">
        <v>269</v>
      </c>
      <c r="J138" s="18" t="s">
        <v>269</v>
      </c>
      <c r="K138" s="18" t="s">
        <v>269</v>
      </c>
      <c r="L138" s="18" t="s">
        <v>269</v>
      </c>
      <c r="M138" s="21" t="s">
        <v>44</v>
      </c>
      <c r="N138" s="18" t="s">
        <v>269</v>
      </c>
      <c r="O138" s="18" t="s">
        <v>269</v>
      </c>
      <c r="P138" s="18" t="s">
        <v>269</v>
      </c>
      <c r="Q138" s="18" t="s">
        <v>269</v>
      </c>
      <c r="R138" s="18" t="s">
        <v>269</v>
      </c>
      <c r="S138" s="18" t="s">
        <v>269</v>
      </c>
      <c r="T138" s="18" t="s">
        <v>269</v>
      </c>
      <c r="U138" s="24"/>
      <c r="V138" s="18" t="s">
        <v>269</v>
      </c>
      <c r="W138" s="38"/>
      <c r="X138" s="19"/>
      <c r="Y138" s="20" t="s">
        <v>268</v>
      </c>
      <c r="Z138" s="19" t="s">
        <v>561</v>
      </c>
      <c r="AA138" s="19"/>
      <c r="AB138" s="19"/>
    </row>
    <row r="139" spans="2:28" x14ac:dyDescent="0.2">
      <c r="B139" s="21" t="s">
        <v>237</v>
      </c>
      <c r="C139" s="22">
        <v>130</v>
      </c>
      <c r="D139" s="21" t="s">
        <v>563</v>
      </c>
      <c r="E139" s="112" t="s">
        <v>1017</v>
      </c>
      <c r="F139" s="112" t="s">
        <v>1026</v>
      </c>
      <c r="G139" s="112" t="s">
        <v>1019</v>
      </c>
      <c r="H139" s="112" t="s">
        <v>1028</v>
      </c>
      <c r="I139" s="18" t="s">
        <v>269</v>
      </c>
      <c r="J139" s="93" t="s">
        <v>746</v>
      </c>
      <c r="K139" s="18" t="s">
        <v>269</v>
      </c>
      <c r="L139" s="93" t="s">
        <v>747</v>
      </c>
      <c r="M139" s="18" t="s">
        <v>269</v>
      </c>
      <c r="N139" s="21" t="s">
        <v>194</v>
      </c>
      <c r="O139" s="18" t="s">
        <v>269</v>
      </c>
      <c r="P139" s="32" t="s">
        <v>1172</v>
      </c>
      <c r="Q139" s="18" t="s">
        <v>269</v>
      </c>
      <c r="R139" s="18" t="s">
        <v>269</v>
      </c>
      <c r="S139" s="18" t="s">
        <v>269</v>
      </c>
      <c r="T139" s="18" t="s">
        <v>269</v>
      </c>
      <c r="U139" s="24"/>
      <c r="V139" s="18" t="s">
        <v>269</v>
      </c>
      <c r="W139" s="38" t="str">
        <f>_xlfn.IFS(AND(COUNTIF(U139,"SCB*")=1, 'PCH144'!J60&gt;=2), "See the Notice *2", TRUE, "")</f>
        <v/>
      </c>
      <c r="X139" s="19"/>
      <c r="Y139" s="20" t="s">
        <v>268</v>
      </c>
      <c r="Z139" s="19" t="s">
        <v>561</v>
      </c>
      <c r="AA139" s="19"/>
      <c r="AB139" s="19"/>
    </row>
    <row r="140" spans="2:28" x14ac:dyDescent="0.2">
      <c r="B140" s="21" t="s">
        <v>238</v>
      </c>
      <c r="C140" s="22">
        <v>131</v>
      </c>
      <c r="D140" s="21" t="s">
        <v>238</v>
      </c>
      <c r="E140" s="112" t="s">
        <v>1013</v>
      </c>
      <c r="F140" s="112" t="s">
        <v>1022</v>
      </c>
      <c r="G140" s="112" t="s">
        <v>1015</v>
      </c>
      <c r="H140" s="112" t="s">
        <v>1024</v>
      </c>
      <c r="I140" s="18" t="s">
        <v>269</v>
      </c>
      <c r="J140" s="93" t="s">
        <v>748</v>
      </c>
      <c r="K140" s="93" t="s">
        <v>749</v>
      </c>
      <c r="L140" s="93" t="s">
        <v>750</v>
      </c>
      <c r="M140" s="18" t="s">
        <v>269</v>
      </c>
      <c r="N140" s="21" t="s">
        <v>196</v>
      </c>
      <c r="O140" s="18" t="s">
        <v>269</v>
      </c>
      <c r="P140" s="32" t="s">
        <v>1173</v>
      </c>
      <c r="Q140" s="18" t="s">
        <v>269</v>
      </c>
      <c r="R140" s="18" t="s">
        <v>269</v>
      </c>
      <c r="S140" s="18" t="s">
        <v>269</v>
      </c>
      <c r="T140" s="18" t="s">
        <v>269</v>
      </c>
      <c r="U140" s="24"/>
      <c r="V140" s="18" t="s">
        <v>269</v>
      </c>
      <c r="W140" s="38" t="str">
        <f>_xlfn.IFS(AND(COUNTIF(U140,"SCB*")=1, 'PCH144'!J60&gt;=2), "See the Notice *2", TRUE, "")</f>
        <v/>
      </c>
      <c r="X140" s="19"/>
      <c r="Y140" s="20" t="s">
        <v>268</v>
      </c>
      <c r="Z140" s="19" t="s">
        <v>561</v>
      </c>
      <c r="AA140" s="19"/>
      <c r="AB140" s="19"/>
    </row>
    <row r="141" spans="2:28" x14ac:dyDescent="0.2">
      <c r="B141" s="21" t="s">
        <v>239</v>
      </c>
      <c r="C141" s="22">
        <v>132</v>
      </c>
      <c r="D141" s="21" t="s">
        <v>239</v>
      </c>
      <c r="E141" s="112" t="s">
        <v>1009</v>
      </c>
      <c r="F141" s="112" t="s">
        <v>1018</v>
      </c>
      <c r="G141" s="112" t="s">
        <v>1011</v>
      </c>
      <c r="H141" s="112" t="s">
        <v>1020</v>
      </c>
      <c r="I141" s="18" t="s">
        <v>269</v>
      </c>
      <c r="J141" s="93" t="s">
        <v>751</v>
      </c>
      <c r="K141" s="93" t="s">
        <v>752</v>
      </c>
      <c r="L141" s="93" t="s">
        <v>753</v>
      </c>
      <c r="M141" s="18" t="s">
        <v>269</v>
      </c>
      <c r="N141" s="18" t="s">
        <v>269</v>
      </c>
      <c r="O141" s="18" t="s">
        <v>269</v>
      </c>
      <c r="P141" s="32" t="s">
        <v>1174</v>
      </c>
      <c r="Q141" s="18" t="s">
        <v>269</v>
      </c>
      <c r="R141" s="18" t="s">
        <v>269</v>
      </c>
      <c r="S141" s="18" t="s">
        <v>269</v>
      </c>
      <c r="T141" s="18" t="s">
        <v>269</v>
      </c>
      <c r="U141" s="24"/>
      <c r="V141" s="18" t="s">
        <v>269</v>
      </c>
      <c r="W141" s="38" t="str">
        <f>_xlfn.IFS(AND(COUNTIF(U141,"SCB*")=1, 'PCH144'!J60&gt;=2), "See the Notice *2", TRUE, "")</f>
        <v/>
      </c>
      <c r="X141" s="19"/>
      <c r="Y141" s="20" t="s">
        <v>268</v>
      </c>
      <c r="Z141" s="19" t="s">
        <v>561</v>
      </c>
      <c r="AA141" s="19"/>
      <c r="AB141" s="19"/>
    </row>
    <row r="142" spans="2:28" x14ac:dyDescent="0.2">
      <c r="B142" s="21" t="s">
        <v>240</v>
      </c>
      <c r="C142" s="22">
        <v>133</v>
      </c>
      <c r="D142" s="21" t="s">
        <v>240</v>
      </c>
      <c r="E142" s="112" t="s">
        <v>1005</v>
      </c>
      <c r="F142" s="112" t="s">
        <v>1014</v>
      </c>
      <c r="G142" s="112" t="s">
        <v>1007</v>
      </c>
      <c r="H142" s="112" t="s">
        <v>1016</v>
      </c>
      <c r="I142" s="18" t="s">
        <v>269</v>
      </c>
      <c r="J142" s="93" t="s">
        <v>754</v>
      </c>
      <c r="K142" s="18" t="s">
        <v>269</v>
      </c>
      <c r="L142" s="93" t="s">
        <v>755</v>
      </c>
      <c r="M142" s="18" t="s">
        <v>269</v>
      </c>
      <c r="N142" s="18" t="s">
        <v>269</v>
      </c>
      <c r="O142" s="18" t="s">
        <v>269</v>
      </c>
      <c r="P142" s="32" t="s">
        <v>1175</v>
      </c>
      <c r="Q142" s="18" t="s">
        <v>269</v>
      </c>
      <c r="R142" s="18" t="s">
        <v>269</v>
      </c>
      <c r="S142" s="18" t="s">
        <v>269</v>
      </c>
      <c r="T142" s="18" t="s">
        <v>269</v>
      </c>
      <c r="U142" s="24"/>
      <c r="V142" s="18" t="s">
        <v>269</v>
      </c>
      <c r="W142" s="38" t="str">
        <f>_xlfn.IFS(AND(COUNTIF(U142,"SCB*")=1, 'PCH144'!J60&gt;=2), "See the Notice *2", TRUE, "")</f>
        <v/>
      </c>
      <c r="X142" s="19"/>
      <c r="Y142" s="20" t="s">
        <v>268</v>
      </c>
      <c r="Z142" s="19" t="s">
        <v>561</v>
      </c>
      <c r="AA142" s="19"/>
      <c r="AB142" s="19"/>
    </row>
    <row r="143" spans="2:28" x14ac:dyDescent="0.2">
      <c r="B143" s="21" t="s">
        <v>241</v>
      </c>
      <c r="C143" s="22">
        <v>134</v>
      </c>
      <c r="D143" s="21" t="s">
        <v>241</v>
      </c>
      <c r="E143" s="112" t="s">
        <v>1001</v>
      </c>
      <c r="F143" s="112" t="s">
        <v>1010</v>
      </c>
      <c r="G143" s="112" t="s">
        <v>1003</v>
      </c>
      <c r="H143" s="112" t="s">
        <v>1012</v>
      </c>
      <c r="I143" s="18" t="s">
        <v>269</v>
      </c>
      <c r="J143" s="18" t="s">
        <v>269</v>
      </c>
      <c r="K143" s="18" t="s">
        <v>269</v>
      </c>
      <c r="L143" s="93" t="s">
        <v>756</v>
      </c>
      <c r="M143" s="18" t="s">
        <v>269</v>
      </c>
      <c r="N143" s="18" t="s">
        <v>269</v>
      </c>
      <c r="O143" s="18" t="s">
        <v>269</v>
      </c>
      <c r="P143" s="32" t="s">
        <v>1176</v>
      </c>
      <c r="Q143" s="18" t="s">
        <v>269</v>
      </c>
      <c r="R143" s="18" t="s">
        <v>269</v>
      </c>
      <c r="S143" s="18" t="s">
        <v>269</v>
      </c>
      <c r="T143" s="18" t="s">
        <v>269</v>
      </c>
      <c r="U143" s="24"/>
      <c r="V143" s="18" t="s">
        <v>269</v>
      </c>
      <c r="W143" s="38" t="str">
        <f>_xlfn.IFS(AND(COUNTIF(U143,"SCB*")=1, 'PCH144'!J60&gt;=2), "See the Notice *2", TRUE, "")</f>
        <v/>
      </c>
      <c r="X143" s="19"/>
      <c r="Y143" s="20" t="s">
        <v>268</v>
      </c>
      <c r="Z143" s="19" t="s">
        <v>561</v>
      </c>
      <c r="AA143" s="19"/>
      <c r="AB143" s="19"/>
    </row>
    <row r="144" spans="2:28" x14ac:dyDescent="0.2">
      <c r="B144" s="21" t="s">
        <v>242</v>
      </c>
      <c r="C144" s="22">
        <v>135</v>
      </c>
      <c r="D144" s="21" t="s">
        <v>242</v>
      </c>
      <c r="E144" s="112" t="s">
        <v>997</v>
      </c>
      <c r="F144" s="112" t="s">
        <v>1006</v>
      </c>
      <c r="G144" s="112" t="s">
        <v>999</v>
      </c>
      <c r="H144" s="112" t="s">
        <v>1008</v>
      </c>
      <c r="I144" s="18" t="s">
        <v>269</v>
      </c>
      <c r="J144" s="18" t="s">
        <v>269</v>
      </c>
      <c r="K144" s="18" t="s">
        <v>269</v>
      </c>
      <c r="L144" s="93" t="s">
        <v>757</v>
      </c>
      <c r="M144" s="21" t="s">
        <v>81</v>
      </c>
      <c r="N144" s="18" t="s">
        <v>269</v>
      </c>
      <c r="O144" s="18" t="s">
        <v>269</v>
      </c>
      <c r="P144" s="18" t="s">
        <v>269</v>
      </c>
      <c r="Q144" s="18" t="s">
        <v>269</v>
      </c>
      <c r="R144" s="18" t="s">
        <v>269</v>
      </c>
      <c r="S144" s="18" t="s">
        <v>269</v>
      </c>
      <c r="T144" s="18" t="s">
        <v>269</v>
      </c>
      <c r="U144" s="24"/>
      <c r="V144" s="18" t="s">
        <v>269</v>
      </c>
      <c r="W144" s="38" t="str">
        <f>_xlfn.IFS(AND(COUNTIF(U144,"SCB*")=1, 'PCH144'!J60&gt;=2), "See the Notice *2", TRUE, "")</f>
        <v/>
      </c>
      <c r="X144" s="19"/>
      <c r="Y144" s="20" t="s">
        <v>268</v>
      </c>
      <c r="Z144" s="19" t="s">
        <v>561</v>
      </c>
      <c r="AA144" s="19"/>
      <c r="AB144" s="19"/>
    </row>
    <row r="145" spans="2:28" x14ac:dyDescent="0.2">
      <c r="B145" s="21" t="s">
        <v>243</v>
      </c>
      <c r="C145" s="22">
        <v>136</v>
      </c>
      <c r="D145" s="21" t="s">
        <v>243</v>
      </c>
      <c r="E145" s="112" t="s">
        <v>993</v>
      </c>
      <c r="F145" s="112" t="s">
        <v>1002</v>
      </c>
      <c r="G145" s="112" t="s">
        <v>995</v>
      </c>
      <c r="H145" s="112" t="s">
        <v>1004</v>
      </c>
      <c r="I145" s="18" t="s">
        <v>269</v>
      </c>
      <c r="J145" s="18" t="s">
        <v>269</v>
      </c>
      <c r="K145" s="18" t="s">
        <v>269</v>
      </c>
      <c r="L145" s="18" t="s">
        <v>269</v>
      </c>
      <c r="M145" s="21" t="s">
        <v>83</v>
      </c>
      <c r="N145" s="18" t="s">
        <v>269</v>
      </c>
      <c r="O145" s="18" t="s">
        <v>269</v>
      </c>
      <c r="P145" s="18" t="s">
        <v>269</v>
      </c>
      <c r="Q145" s="18" t="s">
        <v>269</v>
      </c>
      <c r="R145" s="18" t="s">
        <v>269</v>
      </c>
      <c r="S145" s="18" t="s">
        <v>269</v>
      </c>
      <c r="T145" s="18" t="s">
        <v>269</v>
      </c>
      <c r="U145" s="24"/>
      <c r="V145" s="18" t="s">
        <v>269</v>
      </c>
      <c r="W145" s="38"/>
      <c r="X145" s="19"/>
      <c r="Y145" s="20" t="s">
        <v>268</v>
      </c>
      <c r="Z145" s="19" t="s">
        <v>561</v>
      </c>
      <c r="AA145" s="19"/>
      <c r="AB145" s="19"/>
    </row>
    <row r="146" spans="2:28" x14ac:dyDescent="0.2">
      <c r="B146" s="21" t="s">
        <v>245</v>
      </c>
      <c r="C146" s="22">
        <v>137</v>
      </c>
      <c r="D146" s="21" t="s">
        <v>245</v>
      </c>
      <c r="E146" s="112" t="s">
        <v>1057</v>
      </c>
      <c r="F146" s="112" t="s">
        <v>994</v>
      </c>
      <c r="G146" s="112" t="s">
        <v>1059</v>
      </c>
      <c r="H146" s="112" t="s">
        <v>996</v>
      </c>
      <c r="I146" s="18" t="s">
        <v>269</v>
      </c>
      <c r="J146" s="93" t="s">
        <v>758</v>
      </c>
      <c r="K146" s="18" t="s">
        <v>269</v>
      </c>
      <c r="L146" s="93" t="s">
        <v>759</v>
      </c>
      <c r="M146" s="18" t="s">
        <v>269</v>
      </c>
      <c r="N146" s="21" t="s">
        <v>174</v>
      </c>
      <c r="O146" s="18" t="s">
        <v>269</v>
      </c>
      <c r="P146" s="21" t="s">
        <v>206</v>
      </c>
      <c r="Q146" s="18" t="s">
        <v>269</v>
      </c>
      <c r="R146" s="18" t="s">
        <v>269</v>
      </c>
      <c r="S146" s="18" t="s">
        <v>269</v>
      </c>
      <c r="T146" s="18" t="s">
        <v>269</v>
      </c>
      <c r="U146" s="24"/>
      <c r="V146" s="18" t="s">
        <v>269</v>
      </c>
      <c r="W146" s="38" t="str">
        <f>_xlfn.IFS(AND(COUNTIF(U146,"SCB*")=1, 'PCH144'!K60&gt;=2), "See the Notice *2", TRUE, "")</f>
        <v/>
      </c>
      <c r="X146" s="19"/>
      <c r="Y146" s="20" t="s">
        <v>268</v>
      </c>
      <c r="Z146" s="19" t="s">
        <v>561</v>
      </c>
      <c r="AA146" s="19"/>
      <c r="AB146" s="19"/>
    </row>
    <row r="147" spans="2:28" x14ac:dyDescent="0.2">
      <c r="B147" s="21" t="s">
        <v>246</v>
      </c>
      <c r="C147" s="22">
        <v>138</v>
      </c>
      <c r="D147" s="21" t="s">
        <v>246</v>
      </c>
      <c r="E147" s="112" t="s">
        <v>1065</v>
      </c>
      <c r="F147" s="112" t="s">
        <v>1062</v>
      </c>
      <c r="G147" s="112" t="s">
        <v>1067</v>
      </c>
      <c r="H147" s="112" t="s">
        <v>1064</v>
      </c>
      <c r="I147" s="18" t="s">
        <v>269</v>
      </c>
      <c r="J147" s="93" t="s">
        <v>760</v>
      </c>
      <c r="K147" s="93" t="s">
        <v>761</v>
      </c>
      <c r="L147" s="93" t="s">
        <v>762</v>
      </c>
      <c r="M147" s="18" t="s">
        <v>269</v>
      </c>
      <c r="N147" s="21" t="s">
        <v>176</v>
      </c>
      <c r="O147" s="18" t="s">
        <v>269</v>
      </c>
      <c r="P147" s="21" t="s">
        <v>208</v>
      </c>
      <c r="Q147" s="18" t="s">
        <v>269</v>
      </c>
      <c r="R147" s="18" t="s">
        <v>269</v>
      </c>
      <c r="S147" s="18" t="s">
        <v>269</v>
      </c>
      <c r="T147" s="18" t="s">
        <v>269</v>
      </c>
      <c r="U147" s="24"/>
      <c r="V147" s="18" t="s">
        <v>269</v>
      </c>
      <c r="W147" s="38" t="str">
        <f>_xlfn.IFS(AND(COUNTIF(U147,"SCB*")=1, 'PCH144'!K60&gt;=2), "See the Notice *2", TRUE, "")</f>
        <v/>
      </c>
      <c r="X147" s="19"/>
      <c r="Y147" s="20" t="s">
        <v>268</v>
      </c>
      <c r="Z147" s="19" t="s">
        <v>561</v>
      </c>
      <c r="AA147" s="19"/>
      <c r="AB147" s="19"/>
    </row>
    <row r="148" spans="2:28" x14ac:dyDescent="0.2">
      <c r="B148" s="21" t="s">
        <v>248</v>
      </c>
      <c r="C148" s="22">
        <v>139</v>
      </c>
      <c r="D148" s="21" t="s">
        <v>248</v>
      </c>
      <c r="E148" s="112" t="s">
        <v>1081</v>
      </c>
      <c r="F148" s="112" t="s">
        <v>1078</v>
      </c>
      <c r="G148" s="112" t="s">
        <v>1083</v>
      </c>
      <c r="H148" s="112" t="s">
        <v>1080</v>
      </c>
      <c r="I148" s="18" t="s">
        <v>269</v>
      </c>
      <c r="J148" s="93" t="s">
        <v>766</v>
      </c>
      <c r="K148" s="18" t="s">
        <v>269</v>
      </c>
      <c r="L148" s="97" t="s">
        <v>767</v>
      </c>
      <c r="M148" s="18" t="s">
        <v>269</v>
      </c>
      <c r="N148" s="18" t="s">
        <v>269</v>
      </c>
      <c r="O148" s="21" t="s">
        <v>249</v>
      </c>
      <c r="P148" s="21" t="s">
        <v>220</v>
      </c>
      <c r="Q148" s="18" t="s">
        <v>269</v>
      </c>
      <c r="R148" s="18" t="s">
        <v>269</v>
      </c>
      <c r="S148" s="18" t="s">
        <v>269</v>
      </c>
      <c r="T148" s="18" t="s">
        <v>269</v>
      </c>
      <c r="U148" s="24"/>
      <c r="V148" s="18" t="s">
        <v>269</v>
      </c>
      <c r="W148" s="38" t="str">
        <f>_xlfn.IFS(AND(COUNTIF(U148,"SCB*")=1, 'PCH144'!K60&gt;=2), "See the Notice *2", TRUE, "")</f>
        <v/>
      </c>
      <c r="X148" s="19"/>
      <c r="Y148" s="20" t="s">
        <v>268</v>
      </c>
      <c r="Z148" s="19" t="s">
        <v>561</v>
      </c>
      <c r="AA148" s="19"/>
      <c r="AB148" s="19"/>
    </row>
    <row r="149" spans="2:28" x14ac:dyDescent="0.2">
      <c r="B149" s="21" t="s">
        <v>250</v>
      </c>
      <c r="C149" s="22">
        <v>140</v>
      </c>
      <c r="D149" s="21" t="s">
        <v>250</v>
      </c>
      <c r="E149" s="112" t="s">
        <v>981</v>
      </c>
      <c r="F149" s="112" t="s">
        <v>1086</v>
      </c>
      <c r="G149" s="112" t="s">
        <v>983</v>
      </c>
      <c r="H149" s="112" t="s">
        <v>1088</v>
      </c>
      <c r="I149" s="18" t="s">
        <v>269</v>
      </c>
      <c r="J149" s="18" t="s">
        <v>269</v>
      </c>
      <c r="K149" s="18" t="s">
        <v>269</v>
      </c>
      <c r="L149" s="93" t="s">
        <v>768</v>
      </c>
      <c r="M149" s="18" t="s">
        <v>269</v>
      </c>
      <c r="N149" s="18" t="s">
        <v>269</v>
      </c>
      <c r="O149" s="21" t="s">
        <v>251</v>
      </c>
      <c r="P149" s="21" t="s">
        <v>60</v>
      </c>
      <c r="Q149" s="18" t="s">
        <v>269</v>
      </c>
      <c r="R149" s="21" t="s">
        <v>339</v>
      </c>
      <c r="S149" s="18" t="s">
        <v>269</v>
      </c>
      <c r="T149" s="18" t="s">
        <v>269</v>
      </c>
      <c r="U149" s="24"/>
      <c r="V149" s="18" t="s">
        <v>269</v>
      </c>
      <c r="W149" s="38" t="str">
        <f>_xlfn.IFS(AND(COUNTIF(U149,"SCB*")=1, 'PCH144'!K60&gt;=2), "See the Notice *2", TRUE, "")</f>
        <v/>
      </c>
      <c r="X149" s="19"/>
      <c r="Y149" s="20" t="s">
        <v>268</v>
      </c>
      <c r="Z149" s="19" t="s">
        <v>561</v>
      </c>
      <c r="AA149" s="19"/>
      <c r="AB149" s="19"/>
    </row>
    <row r="150" spans="2:28" x14ac:dyDescent="0.2">
      <c r="B150" s="21" t="s">
        <v>252</v>
      </c>
      <c r="C150" s="22">
        <v>141</v>
      </c>
      <c r="D150" s="21" t="s">
        <v>252</v>
      </c>
      <c r="E150" s="112" t="s">
        <v>977</v>
      </c>
      <c r="F150" s="112" t="s">
        <v>986</v>
      </c>
      <c r="G150" s="112" t="s">
        <v>979</v>
      </c>
      <c r="H150" s="112" t="s">
        <v>988</v>
      </c>
      <c r="I150" s="18" t="s">
        <v>269</v>
      </c>
      <c r="J150" s="18" t="s">
        <v>269</v>
      </c>
      <c r="K150" s="18" t="s">
        <v>269</v>
      </c>
      <c r="L150" s="93" t="s">
        <v>769</v>
      </c>
      <c r="M150" s="18" t="s">
        <v>269</v>
      </c>
      <c r="N150" s="18" t="s">
        <v>269</v>
      </c>
      <c r="O150" s="18" t="s">
        <v>269</v>
      </c>
      <c r="P150" s="18" t="s">
        <v>269</v>
      </c>
      <c r="Q150" s="18" t="s">
        <v>269</v>
      </c>
      <c r="R150" s="21" t="s">
        <v>340</v>
      </c>
      <c r="S150" s="18" t="s">
        <v>269</v>
      </c>
      <c r="T150" s="18" t="s">
        <v>269</v>
      </c>
      <c r="U150" s="24"/>
      <c r="V150" s="18" t="s">
        <v>269</v>
      </c>
      <c r="W150" s="38" t="str">
        <f>_xlfn.IFS(AND(COUNTIF(U150,"SCB*")=1, 'PCH144'!K60&gt;=2), "See the Notice *2", TRUE, "")</f>
        <v/>
      </c>
      <c r="X150" s="19"/>
      <c r="Y150" s="20" t="s">
        <v>268</v>
      </c>
      <c r="Z150" s="19" t="s">
        <v>561</v>
      </c>
      <c r="AA150" s="19"/>
      <c r="AB150" s="19"/>
    </row>
    <row r="151" spans="2:28" x14ac:dyDescent="0.2">
      <c r="B151" s="21" t="s">
        <v>253</v>
      </c>
      <c r="C151" s="22">
        <v>142</v>
      </c>
      <c r="D151" s="21" t="s">
        <v>253</v>
      </c>
      <c r="E151" s="112" t="s">
        <v>975</v>
      </c>
      <c r="F151" s="112" t="s">
        <v>982</v>
      </c>
      <c r="G151" s="112" t="s">
        <v>976</v>
      </c>
      <c r="H151" s="112" t="s">
        <v>984</v>
      </c>
      <c r="I151" s="18" t="s">
        <v>269</v>
      </c>
      <c r="J151" s="18" t="s">
        <v>269</v>
      </c>
      <c r="K151" s="18" t="s">
        <v>269</v>
      </c>
      <c r="L151" s="18" t="s">
        <v>269</v>
      </c>
      <c r="M151" s="18" t="s">
        <v>269</v>
      </c>
      <c r="N151" s="18" t="s">
        <v>269</v>
      </c>
      <c r="O151" s="18" t="s">
        <v>269</v>
      </c>
      <c r="P151" s="18" t="s">
        <v>269</v>
      </c>
      <c r="Q151" s="18" t="s">
        <v>269</v>
      </c>
      <c r="R151" s="21" t="s">
        <v>341</v>
      </c>
      <c r="S151" s="18" t="s">
        <v>269</v>
      </c>
      <c r="T151" s="18" t="s">
        <v>269</v>
      </c>
      <c r="U151" s="24"/>
      <c r="V151" s="18" t="s">
        <v>269</v>
      </c>
      <c r="W151" s="38"/>
      <c r="X151" s="19"/>
      <c r="Y151" s="20" t="s">
        <v>268</v>
      </c>
      <c r="Z151" s="19" t="s">
        <v>561</v>
      </c>
      <c r="AA151" s="19"/>
      <c r="AB151" s="19"/>
    </row>
    <row r="152" spans="2:28" x14ac:dyDescent="0.2">
      <c r="B152" s="21" t="s">
        <v>254</v>
      </c>
      <c r="C152" s="22">
        <v>143</v>
      </c>
      <c r="D152" s="21" t="s">
        <v>254</v>
      </c>
      <c r="E152" s="112" t="s">
        <v>971</v>
      </c>
      <c r="F152" s="112" t="s">
        <v>978</v>
      </c>
      <c r="G152" s="112" t="s">
        <v>973</v>
      </c>
      <c r="H152" s="112" t="s">
        <v>980</v>
      </c>
      <c r="I152" s="18" t="s">
        <v>269</v>
      </c>
      <c r="J152" s="18" t="s">
        <v>269</v>
      </c>
      <c r="K152" s="18" t="s">
        <v>269</v>
      </c>
      <c r="L152" s="18" t="s">
        <v>269</v>
      </c>
      <c r="M152" s="18" t="s">
        <v>269</v>
      </c>
      <c r="N152" s="18" t="s">
        <v>269</v>
      </c>
      <c r="O152" s="21" t="s">
        <v>235</v>
      </c>
      <c r="P152" s="21" t="s">
        <v>102</v>
      </c>
      <c r="Q152" s="18" t="s">
        <v>269</v>
      </c>
      <c r="R152" s="21" t="s">
        <v>342</v>
      </c>
      <c r="S152" s="18" t="s">
        <v>269</v>
      </c>
      <c r="T152" s="21" t="s">
        <v>357</v>
      </c>
      <c r="U152" s="24"/>
      <c r="V152" s="18" t="s">
        <v>269</v>
      </c>
      <c r="W152" s="38"/>
      <c r="X152" s="19"/>
      <c r="Y152" s="20" t="s">
        <v>268</v>
      </c>
      <c r="Z152" s="19" t="s">
        <v>561</v>
      </c>
      <c r="AA152" s="19"/>
      <c r="AB152" s="19"/>
    </row>
    <row r="153" spans="2:28" x14ac:dyDescent="0.2">
      <c r="B153" s="28" t="s">
        <v>257</v>
      </c>
      <c r="C153" s="17">
        <v>144</v>
      </c>
      <c r="D153" s="18" t="s">
        <v>269</v>
      </c>
      <c r="E153" s="18" t="s">
        <v>269</v>
      </c>
      <c r="F153" s="18" t="s">
        <v>269</v>
      </c>
      <c r="G153" s="18" t="s">
        <v>269</v>
      </c>
      <c r="H153" s="18" t="s">
        <v>269</v>
      </c>
      <c r="I153" s="18" t="s">
        <v>269</v>
      </c>
      <c r="J153" s="18" t="s">
        <v>269</v>
      </c>
      <c r="K153" s="18" t="s">
        <v>269</v>
      </c>
      <c r="L153" s="18" t="s">
        <v>269</v>
      </c>
      <c r="M153" s="18" t="s">
        <v>269</v>
      </c>
      <c r="N153" s="18" t="s">
        <v>269</v>
      </c>
      <c r="O153" s="18" t="s">
        <v>269</v>
      </c>
      <c r="P153" s="18" t="s">
        <v>269</v>
      </c>
      <c r="Q153" s="18" t="s">
        <v>269</v>
      </c>
      <c r="R153" s="18" t="s">
        <v>269</v>
      </c>
      <c r="S153" s="18" t="s">
        <v>269</v>
      </c>
      <c r="T153" s="18" t="s">
        <v>269</v>
      </c>
      <c r="U153" s="28" t="s">
        <v>257</v>
      </c>
      <c r="V153" s="18" t="s">
        <v>269</v>
      </c>
      <c r="W153" s="38"/>
      <c r="X153" s="19" t="s">
        <v>544</v>
      </c>
      <c r="Y153" s="20" t="s">
        <v>555</v>
      </c>
      <c r="Z153" s="20" t="s">
        <v>555</v>
      </c>
      <c r="AA153" s="19"/>
      <c r="AB153" s="19"/>
    </row>
    <row r="156" spans="2:28" x14ac:dyDescent="0.55000000000000004">
      <c r="B156" s="10" t="s">
        <v>836</v>
      </c>
    </row>
    <row r="157" spans="2:28" x14ac:dyDescent="0.55000000000000004">
      <c r="B157" s="10" t="s">
        <v>573</v>
      </c>
    </row>
    <row r="158" spans="2:28" x14ac:dyDescent="0.55000000000000004">
      <c r="B158" s="10" t="s">
        <v>838</v>
      </c>
    </row>
    <row r="159" spans="2:28" x14ac:dyDescent="0.55000000000000004">
      <c r="B159" s="10" t="s">
        <v>835</v>
      </c>
    </row>
    <row r="160" spans="2:28" x14ac:dyDescent="0.55000000000000004">
      <c r="B160" s="10" t="s">
        <v>837</v>
      </c>
    </row>
    <row r="171" spans="4:17" ht="15" customHeight="1" x14ac:dyDescent="0.35">
      <c r="D171" s="117" t="s">
        <v>847</v>
      </c>
      <c r="E171" s="117"/>
      <c r="F171" s="117"/>
      <c r="G171" s="117"/>
      <c r="H171" s="117"/>
      <c r="I171" s="117"/>
      <c r="J171" s="117"/>
      <c r="K171" s="117"/>
      <c r="L171" s="117"/>
      <c r="M171" s="117"/>
      <c r="N171" s="117"/>
      <c r="O171" s="117"/>
      <c r="P171" s="117"/>
      <c r="Q171" s="117"/>
    </row>
    <row r="172" spans="4:17" ht="172" customHeight="1" x14ac:dyDescent="0.55000000000000004">
      <c r="D172" s="116" t="s">
        <v>848</v>
      </c>
      <c r="E172" s="116"/>
      <c r="F172" s="116"/>
      <c r="G172" s="116"/>
      <c r="H172" s="116"/>
      <c r="I172" s="116"/>
      <c r="J172" s="116"/>
      <c r="K172" s="116"/>
      <c r="L172" s="116"/>
      <c r="M172" s="116"/>
      <c r="N172" s="116"/>
      <c r="O172" s="116"/>
      <c r="P172" s="116"/>
      <c r="Q172" s="116"/>
    </row>
  </sheetData>
  <sheetProtection algorithmName="SHA-512" hashValue="h6n7v4KlXd74+bYF/xpgjoCd9BAHTrNFIhubm0Smi4rP0PVkdQPyz7Ao4gYP9dpeiTxsPi6dMOlW21OBPMIzTw==" saltValue="xJReYTcX6m6z7M9bAoGRfg==" spinCount="100000" sheet="1" objects="1" formatCells="0" formatColumns="0" formatRows="0" insertColumns="0" insertRows="0" insertHyperlinks="0" deleteColumns="0" deleteRows="0" selectLockedCells="1" sort="0" autoFilter="0" pivotTables="0"/>
  <mergeCells count="19">
    <mergeCell ref="B7:B9"/>
    <mergeCell ref="C7:C9"/>
    <mergeCell ref="I7:K7"/>
    <mergeCell ref="Q7:S7"/>
    <mergeCell ref="T7:T9"/>
    <mergeCell ref="D7:D9"/>
    <mergeCell ref="D171:Q171"/>
    <mergeCell ref="D172:Q172"/>
    <mergeCell ref="Y7:Z7"/>
    <mergeCell ref="AA7:AB7"/>
    <mergeCell ref="AA8:AA9"/>
    <mergeCell ref="V8:V9"/>
    <mergeCell ref="X8:X9"/>
    <mergeCell ref="U7:X7"/>
    <mergeCell ref="U8:U9"/>
    <mergeCell ref="Z8:Z9"/>
    <mergeCell ref="AB8:AB9"/>
    <mergeCell ref="W8:W9"/>
    <mergeCell ref="Y8:Y9"/>
  </mergeCells>
  <phoneticPr fontId="3"/>
  <conditionalFormatting sqref="U16">
    <cfRule type="colorScale" priority="15">
      <colorScale>
        <cfvo type="min"/>
        <cfvo type="max"/>
        <color rgb="FFFF7128"/>
        <color rgb="FFFFEF9C"/>
      </colorScale>
    </cfRule>
  </conditionalFormatting>
  <conditionalFormatting sqref="U11:U26 U29:U43 U49:U70 U83:U116 U119:U131 U137:U152 U75:V80 V104:V108 V83:V100">
    <cfRule type="notContainsBlanks" dxfId="15" priority="14">
      <formula>LEN(TRIM(U11))&gt;0</formula>
    </cfRule>
  </conditionalFormatting>
  <conditionalFormatting sqref="U11:U26 U29:U43 U49:U70 U75:U80 U83:U116 U119:U131 U137:U152">
    <cfRule type="duplicateValues" dxfId="14" priority="7"/>
  </conditionalFormatting>
  <dataValidations count="151">
    <dataValidation type="list" allowBlank="1" showInputMessage="1" showErrorMessage="1" sqref="U116" xr:uid="{4945FD88-C8B3-49F0-8364-C04C7FE0DB54}">
      <formula1>$D$116:$T$116</formula1>
    </dataValidation>
    <dataValidation type="list" allowBlank="1" showInputMessage="1" showErrorMessage="1" sqref="U115" xr:uid="{7AA06661-9BB9-4FC7-A3A2-DF318A631441}">
      <formula1>$D$115:$T$115</formula1>
    </dataValidation>
    <dataValidation type="list" allowBlank="1" showInputMessage="1" showErrorMessage="1" sqref="U114" xr:uid="{26845B80-5828-4697-B2B8-E1F6E944A8F6}">
      <formula1>$D$114:$U$114</formula1>
    </dataValidation>
    <dataValidation type="list" allowBlank="1" showInputMessage="1" showErrorMessage="1" sqref="U113" xr:uid="{737F0704-D980-4282-83C2-8EC8391A657D}">
      <formula1>$D$113:$T$113</formula1>
    </dataValidation>
    <dataValidation type="list" allowBlank="1" showInputMessage="1" showErrorMessage="1" sqref="U112" xr:uid="{EE7701A5-05F7-4E59-AEA5-2E32E127E815}">
      <formula1>$D$112:$T$112</formula1>
    </dataValidation>
    <dataValidation type="list" allowBlank="1" showInputMessage="1" showErrorMessage="1" sqref="U111" xr:uid="{8EE8714D-C31D-48CB-9B61-525281379C33}">
      <formula1>$D$111:$T$111</formula1>
    </dataValidation>
    <dataValidation type="list" allowBlank="1" showInputMessage="1" showErrorMessage="1" sqref="U110" xr:uid="{F3075D52-E2DC-468E-8580-580AEC620FC1}">
      <formula1>$D$110:$T$110</formula1>
    </dataValidation>
    <dataValidation type="list" allowBlank="1" showInputMessage="1" showErrorMessage="1" sqref="U109" xr:uid="{0F379AED-F63E-4CBC-94AA-B0EE65724592}">
      <formula1>$D$109:$T$109</formula1>
    </dataValidation>
    <dataValidation type="list" allowBlank="1" showInputMessage="1" showErrorMessage="1" sqref="U108" xr:uid="{F6ED579A-1875-44BC-849A-DB422CFB0A81}">
      <formula1>$D$108:$T$108</formula1>
    </dataValidation>
    <dataValidation type="list" allowBlank="1" showInputMessage="1" showErrorMessage="1" sqref="U107" xr:uid="{52D58EAE-7EAA-4528-8CB7-D393F74FD6D0}">
      <formula1>$D$107:$T$107</formula1>
    </dataValidation>
    <dataValidation type="list" allowBlank="1" showInputMessage="1" showErrorMessage="1" sqref="U106" xr:uid="{01FC7C62-DBE3-4185-928A-389C45A3D698}">
      <formula1>$D$106:$T$106</formula1>
    </dataValidation>
    <dataValidation type="list" allowBlank="1" showInputMessage="1" showErrorMessage="1" sqref="U105" xr:uid="{CC23B519-3898-4B47-8CDA-1AC54BD95024}">
      <formula1>$D$105:$T$105</formula1>
    </dataValidation>
    <dataValidation type="list" allowBlank="1" showInputMessage="1" showErrorMessage="1" sqref="U104" xr:uid="{783B4A6F-F01A-4249-9F1E-48243CE4975F}">
      <formula1>$D$104:$T$104</formula1>
    </dataValidation>
    <dataValidation type="list" allowBlank="1" showInputMessage="1" showErrorMessage="1" sqref="U127" xr:uid="{82C72207-F72C-4EF4-9BEA-CD7C50CCFEF6}">
      <formula1>$D$127:$T$127</formula1>
    </dataValidation>
    <dataValidation type="list" allowBlank="1" showInputMessage="1" showErrorMessage="1" sqref="U126" xr:uid="{A4C0BB46-8513-48D6-AF02-6BFC3851DA6A}">
      <formula1>$D$126:$T$126</formula1>
    </dataValidation>
    <dataValidation type="list" allowBlank="1" showInputMessage="1" showErrorMessage="1" sqref="U125" xr:uid="{C25D2BC7-1F0C-4447-8411-CA1A50E28A72}">
      <formula1>$D$125:$T$125</formula1>
    </dataValidation>
    <dataValidation type="list" allowBlank="1" showInputMessage="1" showErrorMessage="1" sqref="U124" xr:uid="{E4D1329E-07F6-4967-8AB3-67F4B21E5F88}">
      <formula1>$D$124:$T$124</formula1>
    </dataValidation>
    <dataValidation type="list" allowBlank="1" showInputMessage="1" showErrorMessage="1" sqref="U123" xr:uid="{CC1D45A2-E5D3-4F5E-BFF4-E482B6DF4F33}">
      <formula1>$D$123:$T$123</formula1>
    </dataValidation>
    <dataValidation type="list" allowBlank="1" showInputMessage="1" showErrorMessage="1" sqref="U122" xr:uid="{5C0D0DE7-FBA6-4CDF-874A-22F61D82FC17}">
      <formula1>$D$122:$T$122</formula1>
    </dataValidation>
    <dataValidation type="list" allowBlank="1" showInputMessage="1" showErrorMessage="1" sqref="U121" xr:uid="{F27B716B-956D-4CB7-A9FA-B41907CCD292}">
      <formula1>$D$121:$T$121</formula1>
    </dataValidation>
    <dataValidation type="list" allowBlank="1" showInputMessage="1" showErrorMessage="1" sqref="U120" xr:uid="{1DF8C333-8143-4F2B-A7E1-D0D68FBE81CF}">
      <formula1>$D$120:$T$120</formula1>
    </dataValidation>
    <dataValidation type="list" allowBlank="1" showInputMessage="1" showErrorMessage="1" sqref="U119" xr:uid="{2643E944-7D77-4045-BEDB-D132398738C0}">
      <formula1>$D$119:$T$119</formula1>
    </dataValidation>
    <dataValidation type="list" allowBlank="1" showInputMessage="1" showErrorMessage="1" sqref="U131" xr:uid="{E3BAC7A3-1CF8-4A27-B1B4-24C7F6EE1804}">
      <formula1>$D$131:$T$131</formula1>
    </dataValidation>
    <dataValidation type="list" allowBlank="1" showInputMessage="1" showErrorMessage="1" sqref="U130" xr:uid="{58031A9B-C96A-4821-A3F8-3B99B944C7E3}">
      <formula1>$D$130:$T$130</formula1>
    </dataValidation>
    <dataValidation type="list" allowBlank="1" showInputMessage="1" showErrorMessage="1" sqref="U129" xr:uid="{C5C4A7B0-7520-4AE1-BAF6-E67C536167A9}">
      <formula1>$D$129:$T$129</formula1>
    </dataValidation>
    <dataValidation type="list" allowBlank="1" showInputMessage="1" showErrorMessage="1" sqref="U128" xr:uid="{017C288D-DFD8-439F-8D5D-5579EFF1A50F}">
      <formula1>$D$128:$T$128</formula1>
    </dataValidation>
    <dataValidation type="list" allowBlank="1" showInputMessage="1" showErrorMessage="1" sqref="U96" xr:uid="{73E3AD97-3A44-490B-9F21-FAFC3746571C}">
      <formula1>$D$96:$T$96</formula1>
    </dataValidation>
    <dataValidation type="list" allowBlank="1" showInputMessage="1" showErrorMessage="1" sqref="U95" xr:uid="{3CF9156A-B391-43ED-94FD-BC683C701544}">
      <formula1>$D$95:$T$95</formula1>
    </dataValidation>
    <dataValidation type="list" allowBlank="1" showInputMessage="1" showErrorMessage="1" sqref="U94" xr:uid="{4CDDFB72-164A-4430-A55A-5D37B599F472}">
      <formula1>$D$94:$T$94</formula1>
    </dataValidation>
    <dataValidation type="list" allowBlank="1" showInputMessage="1" showErrorMessage="1" sqref="U93" xr:uid="{11E2B848-DF2E-4130-99EB-60AE4072B598}">
      <formula1>$D$93:$T$93</formula1>
    </dataValidation>
    <dataValidation type="list" allowBlank="1" showInputMessage="1" showErrorMessage="1" sqref="U92" xr:uid="{D747950B-7AC8-4045-BC1E-BF664287A20D}">
      <formula1>$D$92:$T$92</formula1>
    </dataValidation>
    <dataValidation type="list" allowBlank="1" showInputMessage="1" showErrorMessage="1" sqref="U83" xr:uid="{AFECFB0D-669A-4F42-AC1E-0A27A1BF4FF0}">
      <formula1>$D$83:$T$83</formula1>
    </dataValidation>
    <dataValidation type="list" allowBlank="1" showInputMessage="1" showErrorMessage="1" sqref="U152" xr:uid="{C2E215A6-F590-471B-A91B-F119C10B0B1E}">
      <formula1>$D$152:$T$152</formula1>
    </dataValidation>
    <dataValidation type="list" allowBlank="1" showInputMessage="1" showErrorMessage="1" sqref="U151" xr:uid="{F06F882E-8898-47A7-A774-05C465AD6441}">
      <formula1>$D$151:$T$151</formula1>
    </dataValidation>
    <dataValidation type="list" allowBlank="1" showInputMessage="1" showErrorMessage="1" sqref="U150" xr:uid="{BE0E9920-696F-4EDC-9E6A-D01EE00E083F}">
      <formula1>$D$150:$T$150</formula1>
    </dataValidation>
    <dataValidation type="list" allowBlank="1" showInputMessage="1" showErrorMessage="1" sqref="U149" xr:uid="{73236AAC-31AD-4C3B-8325-844C5574B58C}">
      <formula1>$D$149:$T$149</formula1>
    </dataValidation>
    <dataValidation type="list" allowBlank="1" showInputMessage="1" showErrorMessage="1" sqref="U148" xr:uid="{C4AA1777-DC94-46DB-9498-BE8D0582759D}">
      <formula1>$D$148:$T$148</formula1>
    </dataValidation>
    <dataValidation type="list" allowBlank="1" showInputMessage="1" showErrorMessage="1" sqref="U147" xr:uid="{F33289FA-83AB-41A3-9320-1A4D4F0786F0}">
      <formula1>$D$147:$T$147</formula1>
    </dataValidation>
    <dataValidation type="list" allowBlank="1" showInputMessage="1" showErrorMessage="1" sqref="U146" xr:uid="{FF72168A-713A-4E91-832A-94C064CBC83A}">
      <formula1>$D$146:$T$146</formula1>
    </dataValidation>
    <dataValidation type="list" allowBlank="1" showInputMessage="1" showErrorMessage="1" sqref="U145" xr:uid="{5AB0BD77-129F-4273-913D-831FCD017321}">
      <formula1>$D$145:$T$145</formula1>
    </dataValidation>
    <dataValidation type="list" allowBlank="1" showInputMessage="1" showErrorMessage="1" sqref="U144" xr:uid="{8BFAFEDB-A8F1-4617-BE3B-ED80D96B4E67}">
      <formula1>$D$144:$T$144</formula1>
    </dataValidation>
    <dataValidation type="list" allowBlank="1" showInputMessage="1" showErrorMessage="1" sqref="U143" xr:uid="{6CFF4A0C-38E8-4B1B-A447-D831436640FD}">
      <formula1>$D$143:$T$143</formula1>
    </dataValidation>
    <dataValidation type="list" allowBlank="1" showInputMessage="1" showErrorMessage="1" sqref="U142" xr:uid="{DD747402-B3E7-41BD-9387-AAECBA434098}">
      <formula1>$D$142:$T$142</formula1>
    </dataValidation>
    <dataValidation type="list" allowBlank="1" showInputMessage="1" showErrorMessage="1" sqref="U141" xr:uid="{BA7AE299-EDCB-40E5-AE58-E97EB638D796}">
      <formula1>$D$141:$T$141</formula1>
    </dataValidation>
    <dataValidation type="list" allowBlank="1" showInputMessage="1" showErrorMessage="1" sqref="U140" xr:uid="{AF4BB755-7D11-4A63-BB61-8536C58A73C4}">
      <formula1>$D$140:$T$140</formula1>
    </dataValidation>
    <dataValidation type="list" allowBlank="1" showInputMessage="1" showErrorMessage="1" sqref="U139" xr:uid="{0B809051-674A-484D-ADD9-58239DD71027}">
      <formula1>$D$139:$T$139</formula1>
    </dataValidation>
    <dataValidation type="list" allowBlank="1" showInputMessage="1" showErrorMessage="1" sqref="U138" xr:uid="{848FF4DC-6805-44BD-B0D6-B6790746E42D}">
      <formula1>$D$138:$T$138</formula1>
    </dataValidation>
    <dataValidation type="list" allowBlank="1" showInputMessage="1" showErrorMessage="1" sqref="U137" xr:uid="{3245028B-7016-4716-B845-1EB9662456DD}">
      <formula1>$D$137:$T$137</formula1>
    </dataValidation>
    <dataValidation type="list" allowBlank="1" showInputMessage="1" showErrorMessage="1" sqref="U60" xr:uid="{CD10D6A2-857B-4F92-A7B3-776D442BF8EF}">
      <formula1>$D$60:$T$60</formula1>
    </dataValidation>
    <dataValidation type="list" allowBlank="1" showInputMessage="1" showErrorMessage="1" sqref="U59" xr:uid="{136F04FE-463C-467A-A538-D70C71B29C47}">
      <formula1>$D$59:$T$59</formula1>
    </dataValidation>
    <dataValidation type="list" allowBlank="1" showInputMessage="1" showErrorMessage="1" sqref="U53" xr:uid="{B9D98821-ED56-4B9B-9DA1-502ACEBC28BA}">
      <formula1>$D$53:$T$53</formula1>
    </dataValidation>
    <dataValidation type="list" allowBlank="1" showInputMessage="1" showErrorMessage="1" sqref="U52" xr:uid="{50ADB8A1-95EC-46E9-B1AC-1C079B041449}">
      <formula1>$D$52:$T$52</formula1>
    </dataValidation>
    <dataValidation type="list" allowBlank="1" showInputMessage="1" showErrorMessage="1" sqref="U51" xr:uid="{B4E5D8C2-EB2C-4560-A66C-F70DB2DDF968}">
      <formula1>$D$51:$T$51</formula1>
    </dataValidation>
    <dataValidation type="list" allowBlank="1" showInputMessage="1" showErrorMessage="1" sqref="U50" xr:uid="{ECA5F241-EBDB-4C09-80BD-55A6CC9E365B}">
      <formula1>$D$50:$T$50</formula1>
    </dataValidation>
    <dataValidation type="list" allowBlank="1" showInputMessage="1" showErrorMessage="1" sqref="U33" xr:uid="{8729AA29-5AE7-4F16-8826-0E24ED8FA91B}">
      <formula1>$D$33:$T$33</formula1>
    </dataValidation>
    <dataValidation type="list" allowBlank="1" showInputMessage="1" showErrorMessage="1" sqref="U32" xr:uid="{E7DFE542-B4BF-462D-AE6A-DD8BB940A18A}">
      <formula1>$D$32:$T$32</formula1>
    </dataValidation>
    <dataValidation type="list" allowBlank="1" showInputMessage="1" showErrorMessage="1" sqref="U31" xr:uid="{62C4CAB5-2233-433B-A7A8-60B9E4F50569}">
      <formula1>$D$31:$T$31</formula1>
    </dataValidation>
    <dataValidation type="list" allowBlank="1" showInputMessage="1" showErrorMessage="1" sqref="U21" xr:uid="{7B26A041-6993-4F1E-B4EA-AC584983F6A3}">
      <formula1>$D$21:$T$21</formula1>
    </dataValidation>
    <dataValidation type="list" allowBlank="1" showInputMessage="1" showErrorMessage="1" sqref="U20" xr:uid="{5B12DCC4-8020-47F6-9266-13EFDB12471B}">
      <formula1>$D$20:$T$20</formula1>
    </dataValidation>
    <dataValidation type="list" allowBlank="1" showInputMessage="1" showErrorMessage="1" sqref="U11" xr:uid="{B9F9697C-0C15-4404-8A9D-ED1B9FEAC975}">
      <formula1>$D$11:$T$11</formula1>
    </dataValidation>
    <dataValidation type="list" allowBlank="1" showInputMessage="1" showErrorMessage="1" sqref="U12" xr:uid="{62B3BE83-108E-4D60-9E98-BCF2C02C978C}">
      <formula1>$D$12:$T$12</formula1>
    </dataValidation>
    <dataValidation type="list" allowBlank="1" showInputMessage="1" showErrorMessage="1" sqref="U13" xr:uid="{B43A7D21-82A9-42A2-BF73-61B3A88F2C9F}">
      <formula1>$D$13:$T$13</formula1>
    </dataValidation>
    <dataValidation type="list" allowBlank="1" showInputMessage="1" showErrorMessage="1" sqref="U14" xr:uid="{A75EE8A0-09E0-4421-BD6D-043EC5BD2117}">
      <formula1>$D$14:$T$14</formula1>
    </dataValidation>
    <dataValidation type="list" allowBlank="1" showInputMessage="1" showErrorMessage="1" sqref="U15" xr:uid="{16884CAA-D0BE-40D3-BE19-9420F5E26280}">
      <formula1>$D$15:$T$15</formula1>
    </dataValidation>
    <dataValidation type="list" allowBlank="1" showInputMessage="1" showErrorMessage="1" sqref="U16" xr:uid="{ED32C354-5B70-4445-9CB0-505919B14E81}">
      <formula1>$D$16:$T$16</formula1>
    </dataValidation>
    <dataValidation type="list" allowBlank="1" showInputMessage="1" showErrorMessage="1" sqref="U17" xr:uid="{F5322EE7-E2B2-4D15-9EB5-EDA5FAA16F95}">
      <formula1>$D$17:$T$17</formula1>
    </dataValidation>
    <dataValidation type="list" allowBlank="1" showInputMessage="1" showErrorMessage="1" sqref="U18" xr:uid="{A8E5F32E-FDA3-4447-8596-6BD93D23A049}">
      <formula1>$D$18:$T$18</formula1>
    </dataValidation>
    <dataValidation type="list" allowBlank="1" showInputMessage="1" showErrorMessage="1" sqref="U19" xr:uid="{61562A21-88E0-47D1-A717-2666162F3FD8}">
      <formula1>$D$19:$T$19</formula1>
    </dataValidation>
    <dataValidation type="list" allowBlank="1" showInputMessage="1" showErrorMessage="1" sqref="U22" xr:uid="{15348F86-ED4F-48B4-98CF-595C6846110B}">
      <formula1>$D$22:$T$22</formula1>
    </dataValidation>
    <dataValidation type="list" allowBlank="1" showInputMessage="1" showErrorMessage="1" sqref="U23" xr:uid="{BCD3473D-9ECE-4DF7-AC65-5D086D667FC3}">
      <formula1>$D$23:$T$23</formula1>
    </dataValidation>
    <dataValidation type="list" allowBlank="1" showInputMessage="1" showErrorMessage="1" sqref="U24" xr:uid="{741D734B-2732-41A1-A3F4-0376B0FF2E0B}">
      <formula1>$D$24:$T$24</formula1>
    </dataValidation>
    <dataValidation type="list" allowBlank="1" showInputMessage="1" showErrorMessage="1" sqref="U25" xr:uid="{ED74DCE0-AA78-4106-9EA0-950729D06320}">
      <formula1>$D$25:$T$25</formula1>
    </dataValidation>
    <dataValidation type="list" allowBlank="1" showInputMessage="1" showErrorMessage="1" sqref="U26" xr:uid="{64869167-79B1-40D9-863E-E80F0A166312}">
      <formula1>$D$26:$T$26</formula1>
    </dataValidation>
    <dataValidation type="list" allowBlank="1" showInputMessage="1" showErrorMessage="1" sqref="U29" xr:uid="{39B41454-C362-4DEA-97C2-CC93DBE7692D}">
      <formula1>$D$29:$T$29</formula1>
    </dataValidation>
    <dataValidation type="list" allowBlank="1" showInputMessage="1" showErrorMessage="1" sqref="U30" xr:uid="{A0E308B2-91AA-4F6F-8B07-020E2BF66C37}">
      <formula1>$D$30:$T$30</formula1>
    </dataValidation>
    <dataValidation type="list" allowBlank="1" showInputMessage="1" showErrorMessage="1" sqref="U54" xr:uid="{B01DBCED-BD9F-400E-BF1F-F72CC3241753}">
      <formula1>$D$54:$T$54</formula1>
    </dataValidation>
    <dataValidation type="list" allowBlank="1" showInputMessage="1" showErrorMessage="1" sqref="U55" xr:uid="{852F7663-2D5D-466B-AB14-496E0DA3CF49}">
      <formula1>$D$55:$T$55</formula1>
    </dataValidation>
    <dataValidation type="list" allowBlank="1" showInputMessage="1" showErrorMessage="1" sqref="U56" xr:uid="{E8D38C0A-483E-4C38-9AD9-F07EB5CD6C71}">
      <formula1>$D$56:$T$56</formula1>
    </dataValidation>
    <dataValidation type="list" allowBlank="1" showInputMessage="1" showErrorMessage="1" sqref="U57" xr:uid="{276D69A2-1BCA-4B9D-B29D-B324A87EBCBD}">
      <formula1>$D$57:$T$57</formula1>
    </dataValidation>
    <dataValidation type="list" allowBlank="1" showInputMessage="1" showErrorMessage="1" sqref="U58" xr:uid="{DD223B46-226E-4757-BBAE-DDE48E5DB06B}">
      <formula1>$D$58:$T$58</formula1>
    </dataValidation>
    <dataValidation type="list" allowBlank="1" showInputMessage="1" showErrorMessage="1" sqref="U42" xr:uid="{8C28BB82-326F-47A5-BDDA-045B816A9DA5}">
      <formula1>$D$42:$T$42</formula1>
    </dataValidation>
    <dataValidation type="list" allowBlank="1" showInputMessage="1" showErrorMessage="1" sqref="U43" xr:uid="{E343EB37-7F7B-44D8-929F-49AE11BC89AF}">
      <formula1>$D$43:$T$43</formula1>
    </dataValidation>
    <dataValidation type="list" allowBlank="1" showInputMessage="1" showErrorMessage="1" sqref="U49" xr:uid="{DF4960DD-C8C2-4015-BB98-CAE47B70A6E1}">
      <formula1>$D$49:$T$49</formula1>
    </dataValidation>
    <dataValidation type="list" allowBlank="1" showInputMessage="1" showErrorMessage="1" sqref="U97" xr:uid="{180223BF-EA45-489C-AA41-89770EDACCED}">
      <formula1>$D$97:$T$97</formula1>
    </dataValidation>
    <dataValidation type="list" allowBlank="1" showInputMessage="1" showErrorMessage="1" sqref="U98" xr:uid="{DF8163B6-AE09-4F04-9AC3-C9D801D4DC80}">
      <formula1>$D$98:$T$98</formula1>
    </dataValidation>
    <dataValidation type="list" allowBlank="1" showInputMessage="1" showErrorMessage="1" sqref="U99" xr:uid="{20AF2CFE-AFED-460B-A4AF-ABD8AF25794A}">
      <formula1>$D$99:$T$99</formula1>
    </dataValidation>
    <dataValidation type="list" allowBlank="1" showInputMessage="1" showErrorMessage="1" sqref="U100" xr:uid="{6887D4B5-CEB7-47F0-A0D6-D87E035E2E98}">
      <formula1>$D$100:$T$100</formula1>
    </dataValidation>
    <dataValidation type="list" allowBlank="1" showInputMessage="1" showErrorMessage="1" sqref="U101" xr:uid="{64E47AAD-EF8E-418C-9FE3-FE1661988279}">
      <formula1>$D$101:$T$101</formula1>
    </dataValidation>
    <dataValidation type="list" allowBlank="1" showInputMessage="1" showErrorMessage="1" sqref="U102" xr:uid="{6AA9D7E7-2C3A-47D9-ADB3-F47D16EF0DED}">
      <formula1>$D$102:$T$102</formula1>
    </dataValidation>
    <dataValidation type="list" allowBlank="1" showInputMessage="1" showErrorMessage="1" sqref="U103" xr:uid="{0E8BD30D-57B3-40DE-BF46-B4B8F8896610}">
      <formula1>$D$103:$T$103</formula1>
    </dataValidation>
    <dataValidation type="list" allowBlank="1" showInputMessage="1" showErrorMessage="1" sqref="U84" xr:uid="{16A9D62E-0B03-41D8-B30E-5978E3120B4C}">
      <formula1>$D$84:$T$84</formula1>
    </dataValidation>
    <dataValidation type="list" allowBlank="1" showInputMessage="1" showErrorMessage="1" sqref="U85" xr:uid="{08EBEE1D-DF92-41AC-9DF0-368363A5C407}">
      <formula1>$D$85:$T$85</formula1>
    </dataValidation>
    <dataValidation type="list" allowBlank="1" showInputMessage="1" showErrorMessage="1" sqref="U86" xr:uid="{BB770AB7-0924-4A4F-97BE-CBA741029510}">
      <formula1>$D$86:$T$86</formula1>
    </dataValidation>
    <dataValidation type="list" allowBlank="1" showInputMessage="1" showErrorMessage="1" sqref="U34" xr:uid="{38253E41-A4B3-46B2-AEE0-0CFEB814DB63}">
      <formula1>$D$34:$T$34</formula1>
    </dataValidation>
    <dataValidation type="list" allowBlank="1" showInputMessage="1" showErrorMessage="1" sqref="U35" xr:uid="{C9D8B416-119C-41AD-94AD-2D4C3EEA6E82}">
      <formula1>$D$35:$T$35</formula1>
    </dataValidation>
    <dataValidation type="list" allowBlank="1" showInputMessage="1" showErrorMessage="1" sqref="U36" xr:uid="{21E3AB67-7649-4D82-AEE3-EE30CB212FA9}">
      <formula1>$D$36:$T$36</formula1>
    </dataValidation>
    <dataValidation type="list" allowBlank="1" showInputMessage="1" showErrorMessage="1" sqref="U37" xr:uid="{04619E6E-9CF7-4075-9290-B91EC25002A7}">
      <formula1>$D$37:$T$37</formula1>
    </dataValidation>
    <dataValidation type="list" allowBlank="1" showInputMessage="1" showErrorMessage="1" sqref="U38" xr:uid="{7AAAA7F6-B073-4742-A295-35EB1D103B46}">
      <formula1>$D$38:$T$38</formula1>
    </dataValidation>
    <dataValidation type="list" allowBlank="1" showInputMessage="1" showErrorMessage="1" sqref="U39" xr:uid="{F0D58372-9CA0-465E-9F75-062BFB7E0701}">
      <formula1>$D$39:$T$39</formula1>
    </dataValidation>
    <dataValidation type="list" allowBlank="1" showInputMessage="1" showErrorMessage="1" sqref="U40" xr:uid="{847525CA-B7CE-45D9-9905-38C71400A550}">
      <formula1>$D$40:$T$40</formula1>
    </dataValidation>
    <dataValidation type="list" allowBlank="1" showInputMessage="1" showErrorMessage="1" sqref="U41" xr:uid="{E22A2464-3CAA-4277-9190-A768D76F9779}">
      <formula1>$D$41:$T$41</formula1>
    </dataValidation>
    <dataValidation type="list" allowBlank="1" showInputMessage="1" showErrorMessage="1" sqref="U87" xr:uid="{26D64E7A-D5D6-4B27-B7ED-B636AB8BB867}">
      <formula1>$D$87:$T$87</formula1>
    </dataValidation>
    <dataValidation type="list" allowBlank="1" showInputMessage="1" showErrorMessage="1" sqref="U88" xr:uid="{01966FD8-394C-4B25-9CD4-930D84C51B2E}">
      <formula1>$D$88:$T$88</formula1>
    </dataValidation>
    <dataValidation type="list" allowBlank="1" showInputMessage="1" showErrorMessage="1" sqref="U89" xr:uid="{BD8CD9D6-F5DB-4AD5-920A-DC6F2BC5253E}">
      <formula1>$D$89:$T$89</formula1>
    </dataValidation>
    <dataValidation type="list" allowBlank="1" showInputMessage="1" showErrorMessage="1" sqref="U90" xr:uid="{C8F571FC-39C3-4655-8040-EB58C78AD1AB}">
      <formula1>$D$90:$T$90</formula1>
    </dataValidation>
    <dataValidation type="list" allowBlank="1" showInputMessage="1" showErrorMessage="1" sqref="U91" xr:uid="{EFAFB1EF-7C84-427F-BCD6-DEACACA2D9D7}">
      <formula1>$D$91:$T$91</formula1>
    </dataValidation>
    <dataValidation type="list" allowBlank="1" showInputMessage="1" showErrorMessage="1" sqref="U61" xr:uid="{0CD9FDA6-1DF5-47D9-BE98-61AD1356A7D8}">
      <formula1>$D$61:$T$61</formula1>
    </dataValidation>
    <dataValidation type="list" allowBlank="1" showInputMessage="1" showErrorMessage="1" sqref="U62" xr:uid="{5617E784-10B7-4378-B561-5993EA740251}">
      <formula1>$D$62:$T$62</formula1>
    </dataValidation>
    <dataValidation type="list" allowBlank="1" showInputMessage="1" showErrorMessage="1" sqref="U63" xr:uid="{63838501-67E7-4B3C-8C49-C910C3981FA4}">
      <formula1>$D$63:$T$63</formula1>
    </dataValidation>
    <dataValidation type="list" allowBlank="1" showInputMessage="1" showErrorMessage="1" sqref="U64" xr:uid="{EB7569EE-9DED-4A86-BAD5-B3CF99D4D004}">
      <formula1>$D$64:$T$64</formula1>
    </dataValidation>
    <dataValidation type="list" allowBlank="1" showInputMessage="1" showErrorMessage="1" sqref="U65" xr:uid="{828FA0B9-2F97-414B-8B4C-7895D49B8CFA}">
      <formula1>$D$65:$T$65</formula1>
    </dataValidation>
    <dataValidation type="list" allowBlank="1" showInputMessage="1" showErrorMessage="1" sqref="U66" xr:uid="{DF018A52-7EB4-41D9-AC5C-A3490A0CA990}">
      <formula1>$D$66:$T$66</formula1>
    </dataValidation>
    <dataValidation type="list" allowBlank="1" showInputMessage="1" showErrorMessage="1" sqref="U67" xr:uid="{3029221F-6C3F-41C1-9CCA-FA6B15BDE16A}">
      <formula1>$D$67:$T$67</formula1>
    </dataValidation>
    <dataValidation type="list" allowBlank="1" showInputMessage="1" showErrorMessage="1" sqref="U68" xr:uid="{B35AEC4E-A16F-4C6C-A5D8-02D8B51C3ACF}">
      <formula1>$D$68:$T$68</formula1>
    </dataValidation>
    <dataValidation type="list" allowBlank="1" showInputMessage="1" showErrorMessage="1" sqref="U69" xr:uid="{69652EBB-0034-438A-BFEB-6DEE4A2C5F42}">
      <formula1>$D$69:$T$69</formula1>
    </dataValidation>
    <dataValidation type="list" allowBlank="1" showInputMessage="1" showErrorMessage="1" sqref="U70" xr:uid="{FEF37DC5-A3C9-43CD-8C4B-001BAA2BC516}">
      <formula1>$D$70:$T$70</formula1>
    </dataValidation>
    <dataValidation type="list" allowBlank="1" showInputMessage="1" showErrorMessage="1" sqref="U75" xr:uid="{967F1665-E39F-47D5-A1BE-7B77C822C314}">
      <formula1>$D$75:$T$75</formula1>
    </dataValidation>
    <dataValidation type="list" allowBlank="1" showInputMessage="1" showErrorMessage="1" sqref="U76" xr:uid="{AD68991D-DB7B-4F39-BCDF-88851A353865}">
      <formula1>$D$76:$T$76</formula1>
    </dataValidation>
    <dataValidation type="list" allowBlank="1" showInputMessage="1" showErrorMessage="1" sqref="U77" xr:uid="{D206D9C0-CDB1-431E-A53F-4E13F96E9823}">
      <formula1>$D$77:$T$77</formula1>
    </dataValidation>
    <dataValidation type="list" allowBlank="1" showInputMessage="1" showErrorMessage="1" sqref="U78" xr:uid="{BF9D9BC3-D85D-4EAD-B142-655EDD8F7CB7}">
      <formula1>$D$78:$T$78</formula1>
    </dataValidation>
    <dataValidation type="list" allowBlank="1" showInputMessage="1" showErrorMessage="1" sqref="U79" xr:uid="{0CBF1237-1EE8-40C7-8EC3-F6AAAA1DC71B}">
      <formula1>$D$79:$T$79</formula1>
    </dataValidation>
    <dataValidation type="list" allowBlank="1" showInputMessage="1" showErrorMessage="1" sqref="U80" xr:uid="{08FAF863-807A-411B-AA10-181AE09E2386}">
      <formula1>$D$80:$T$80</formula1>
    </dataValidation>
    <dataValidation type="list" allowBlank="1" showInputMessage="1" showErrorMessage="1" sqref="V80" xr:uid="{13C4A553-D61E-4884-AB91-6321AACBE322}">
      <formula1>"NA, SMARTIO12_5"</formula1>
    </dataValidation>
    <dataValidation type="list" allowBlank="1" showInputMessage="1" showErrorMessage="1" sqref="V79" xr:uid="{D2BFB6DC-DCEE-4CB6-B33B-8187EAFA2084}">
      <formula1>"NA, SMARTIO12_4"</formula1>
    </dataValidation>
    <dataValidation type="list" allowBlank="1" showInputMessage="1" showErrorMessage="1" sqref="V78" xr:uid="{1837D1F8-7B9C-420D-A18A-DEAF53F413BE}">
      <formula1>"NA, SMARTIO12_3"</formula1>
    </dataValidation>
    <dataValidation type="list" allowBlank="1" showInputMessage="1" showErrorMessage="1" sqref="V77" xr:uid="{85320AC3-BCB0-4549-8880-0082E85EFC4E}">
      <formula1>"NA, SMARTIO12_2"</formula1>
    </dataValidation>
    <dataValidation type="list" allowBlank="1" showInputMessage="1" showErrorMessage="1" sqref="V76" xr:uid="{4538FA31-8C5B-4293-9817-37E41F97376C}">
      <formula1>"NA, SMARTIO12_1"</formula1>
    </dataValidation>
    <dataValidation type="list" allowBlank="1" showInputMessage="1" showErrorMessage="1" sqref="V75" xr:uid="{64B30BB2-0648-45FC-87C1-1DA982BD91F9}">
      <formula1>"NA, SMARTIO12_0"</formula1>
    </dataValidation>
    <dataValidation type="list" allowBlank="1" showInputMessage="1" showErrorMessage="1" sqref="V90" xr:uid="{CB8105AF-9262-454A-9FC2-19142BC2E1D2}">
      <formula1>"NA, SMARTIO13_7"</formula1>
    </dataValidation>
    <dataValidation type="list" allowBlank="1" showInputMessage="1" showErrorMessage="1" sqref="V89" xr:uid="{52560574-3871-454C-B3B4-B9BE09B3C5A1}">
      <formula1>"NA, SMARTIO13_6"</formula1>
    </dataValidation>
    <dataValidation type="list" allowBlank="1" showInputMessage="1" showErrorMessage="1" sqref="V88" xr:uid="{A6E2460A-D7B5-4FD6-8DB2-BA6AA49EDE09}">
      <formula1>"NA, SMARTIO13_5"</formula1>
    </dataValidation>
    <dataValidation type="list" allowBlank="1" showInputMessage="1" showErrorMessage="1" sqref="V87" xr:uid="{90851F51-8344-48C7-A4FD-01A3A8E24AC1}">
      <formula1>"NA, SMARTIO13_4"</formula1>
    </dataValidation>
    <dataValidation type="list" allowBlank="1" showInputMessage="1" showErrorMessage="1" sqref="V86" xr:uid="{545C08DC-301A-476A-9ADA-CFF69F6A1E79}">
      <formula1>"NA, SMARTIO13_3"</formula1>
    </dataValidation>
    <dataValidation type="list" allowBlank="1" showInputMessage="1" showErrorMessage="1" sqref="V85" xr:uid="{8BFE9163-52FB-459C-AA2E-B2820095F241}">
      <formula1>"NA, SMARTIO13_2"</formula1>
    </dataValidation>
    <dataValidation type="list" allowBlank="1" showInputMessage="1" showErrorMessage="1" sqref="V84" xr:uid="{8D4F1FC2-7106-45DD-8485-AD045E468827}">
      <formula1>"NA, SMARTIO13_1"</formula1>
    </dataValidation>
    <dataValidation type="list" allowBlank="1" showInputMessage="1" showErrorMessage="1" sqref="V83" xr:uid="{1359B1A8-FBDC-4EE0-A77D-11F193FD205B}">
      <formula1>"NA, SMARTIO13_0"</formula1>
    </dataValidation>
    <dataValidation type="list" allowBlank="1" showInputMessage="1" showErrorMessage="1" sqref="V100" xr:uid="{67818FF8-61A8-46BF-A4D7-73323C0F8016}">
      <formula1>"NA, SMARTIO15_3"</formula1>
    </dataValidation>
    <dataValidation type="list" allowBlank="1" showInputMessage="1" showErrorMessage="1" sqref="V99" xr:uid="{3451819F-B5D3-4227-AD11-D586F0B6683A}">
      <formula1>"NA, SMARTIO15_2"</formula1>
    </dataValidation>
    <dataValidation type="list" allowBlank="1" showInputMessage="1" showErrorMessage="1" sqref="V98" xr:uid="{68EF94EB-43FC-494F-8843-F12CC3069B8F}">
      <formula1>"NA, SMARTIO15_1"</formula1>
    </dataValidation>
    <dataValidation type="list" allowBlank="1" showInputMessage="1" showErrorMessage="1" sqref="V97" xr:uid="{85FE5C0C-A4A3-47F4-BEC9-978CB5F90252}">
      <formula1>"NA, SMARTIO15_0"</formula1>
    </dataValidation>
    <dataValidation type="list" allowBlank="1" showInputMessage="1" showErrorMessage="1" sqref="V96" xr:uid="{5EA488DE-9CFF-4E5D-8E52-79D34A070A06}">
      <formula1>"NA, SMARTIO14_5"</formula1>
    </dataValidation>
    <dataValidation type="list" allowBlank="1" showInputMessage="1" showErrorMessage="1" sqref="V95" xr:uid="{E5CA2BFC-F6B8-497B-9B7B-ED6B561D0CE6}">
      <formula1>"NA, SMARTIO14_4"</formula1>
    </dataValidation>
    <dataValidation type="list" allowBlank="1" showInputMessage="1" showErrorMessage="1" sqref="V94" xr:uid="{B08713C0-4F0A-44EC-AE33-532939E91376}">
      <formula1>"NA, SMARTIO14_3"</formula1>
    </dataValidation>
    <dataValidation type="list" allowBlank="1" showInputMessage="1" showErrorMessage="1" sqref="V93" xr:uid="{964C4B5D-4692-409B-AA4A-87C2ADE9FCCA}">
      <formula1>"NA, SMARTIO14_2"</formula1>
    </dataValidation>
    <dataValidation type="list" allowBlank="1" showInputMessage="1" showErrorMessage="1" sqref="V92" xr:uid="{9CC1F877-DF7D-4167-8591-7A5B252D9D9A}">
      <formula1>"NA, SMARTIO14_1"</formula1>
    </dataValidation>
    <dataValidation type="list" allowBlank="1" showInputMessage="1" showErrorMessage="1" sqref="V91" xr:uid="{A4EBBD36-FCA7-44EA-AA42-95627E09CDEE}">
      <formula1>"NA, SMARTIO14_0"</formula1>
    </dataValidation>
    <dataValidation type="list" allowBlank="1" showInputMessage="1" showErrorMessage="1" sqref="V108" xr:uid="{D01A388E-C61A-4E0C-AD9A-BCAB213C08AF}">
      <formula1>"NA, SMARTIO17_4"</formula1>
    </dataValidation>
    <dataValidation type="list" allowBlank="1" showInputMessage="1" showErrorMessage="1" sqref="V107" xr:uid="{3F2CEB7F-9CBB-491C-8AF4-FF087DB9380B}">
      <formula1>"NA, SMARTIO17_3"</formula1>
    </dataValidation>
    <dataValidation type="list" allowBlank="1" showInputMessage="1" showErrorMessage="1" sqref="V106" xr:uid="{9530167D-5040-4E5F-A817-A400276BB5EE}">
      <formula1>"NA, SMARTIO17_2"</formula1>
    </dataValidation>
    <dataValidation type="list" allowBlank="1" showInputMessage="1" showErrorMessage="1" sqref="V105" xr:uid="{FC1966FC-420D-44D9-B5DE-0F35C5D7CCFE}">
      <formula1>"NA, SMARTIO17_1"</formula1>
    </dataValidation>
    <dataValidation type="list" allowBlank="1" showInputMessage="1" showErrorMessage="1" sqref="V104" xr:uid="{56C68495-ABAF-4D5B-8D21-3E1B4DBD1BB7}">
      <formula1>"NA, SMARTIO17_0"</formula1>
    </dataValidation>
  </dataValidations>
  <pageMargins left="0.7" right="0.7" top="0.75" bottom="0.75" header="0.3" footer="0.3"/>
  <pageSetup paperSize="9" orientation="portrait" r:id="rId1"/>
  <ignoredErrors>
    <ignoredError sqref="W11:W153" unlockedFormula="1"/>
  </ignoredErrors>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DF5BF-D751-4217-B770-A29951B0D3A8}">
  <dimension ref="A1:BQ125"/>
  <sheetViews>
    <sheetView zoomScale="85" zoomScaleNormal="85" workbookViewId="0">
      <selection activeCell="D13" sqref="D13"/>
    </sheetView>
  </sheetViews>
  <sheetFormatPr defaultRowHeight="10" x14ac:dyDescent="0.55000000000000004"/>
  <cols>
    <col min="1" max="1" width="8.58203125" style="40"/>
    <col min="2" max="2" width="14.08203125" style="40" bestFit="1" customWidth="1"/>
    <col min="3" max="3" width="12.08203125" style="40" bestFit="1" customWidth="1"/>
    <col min="4" max="66" width="6.08203125" style="40" customWidth="1"/>
    <col min="67" max="69" width="8.58203125" style="40" customWidth="1"/>
    <col min="70" max="291" width="8.58203125" style="40"/>
    <col min="292" max="292" width="14.33203125" style="40" customWidth="1"/>
    <col min="293" max="294" width="3.33203125" style="40" customWidth="1"/>
    <col min="295" max="319" width="2.33203125" style="40" customWidth="1"/>
    <col min="320" max="321" width="3.33203125" style="40" customWidth="1"/>
    <col min="322" max="322" width="14.33203125" style="40" customWidth="1"/>
    <col min="323" max="547" width="8.58203125" style="40"/>
    <col min="548" max="548" width="14.33203125" style="40" customWidth="1"/>
    <col min="549" max="550" width="3.33203125" style="40" customWidth="1"/>
    <col min="551" max="575" width="2.33203125" style="40" customWidth="1"/>
    <col min="576" max="577" width="3.33203125" style="40" customWidth="1"/>
    <col min="578" max="578" width="14.33203125" style="40" customWidth="1"/>
    <col min="579" max="803" width="8.58203125" style="40"/>
    <col min="804" max="804" width="14.33203125" style="40" customWidth="1"/>
    <col min="805" max="806" width="3.33203125" style="40" customWidth="1"/>
    <col min="807" max="831" width="2.33203125" style="40" customWidth="1"/>
    <col min="832" max="833" width="3.33203125" style="40" customWidth="1"/>
    <col min="834" max="834" width="14.33203125" style="40" customWidth="1"/>
    <col min="835" max="1059" width="8.58203125" style="40"/>
    <col min="1060" max="1060" width="14.33203125" style="40" customWidth="1"/>
    <col min="1061" max="1062" width="3.33203125" style="40" customWidth="1"/>
    <col min="1063" max="1087" width="2.33203125" style="40" customWidth="1"/>
    <col min="1088" max="1089" width="3.33203125" style="40" customWidth="1"/>
    <col min="1090" max="1090" width="14.33203125" style="40" customWidth="1"/>
    <col min="1091" max="1315" width="8.58203125" style="40"/>
    <col min="1316" max="1316" width="14.33203125" style="40" customWidth="1"/>
    <col min="1317" max="1318" width="3.33203125" style="40" customWidth="1"/>
    <col min="1319" max="1343" width="2.33203125" style="40" customWidth="1"/>
    <col min="1344" max="1345" width="3.33203125" style="40" customWidth="1"/>
    <col min="1346" max="1346" width="14.33203125" style="40" customWidth="1"/>
    <col min="1347" max="1571" width="8.58203125" style="40"/>
    <col min="1572" max="1572" width="14.33203125" style="40" customWidth="1"/>
    <col min="1573" max="1574" width="3.33203125" style="40" customWidth="1"/>
    <col min="1575" max="1599" width="2.33203125" style="40" customWidth="1"/>
    <col min="1600" max="1601" width="3.33203125" style="40" customWidth="1"/>
    <col min="1602" max="1602" width="14.33203125" style="40" customWidth="1"/>
    <col min="1603" max="1827" width="8.58203125" style="40"/>
    <col min="1828" max="1828" width="14.33203125" style="40" customWidth="1"/>
    <col min="1829" max="1830" width="3.33203125" style="40" customWidth="1"/>
    <col min="1831" max="1855" width="2.33203125" style="40" customWidth="1"/>
    <col min="1856" max="1857" width="3.33203125" style="40" customWidth="1"/>
    <col min="1858" max="1858" width="14.33203125" style="40" customWidth="1"/>
    <col min="1859" max="2083" width="8.58203125" style="40"/>
    <col min="2084" max="2084" width="14.33203125" style="40" customWidth="1"/>
    <col min="2085" max="2086" width="3.33203125" style="40" customWidth="1"/>
    <col min="2087" max="2111" width="2.33203125" style="40" customWidth="1"/>
    <col min="2112" max="2113" width="3.33203125" style="40" customWidth="1"/>
    <col min="2114" max="2114" width="14.33203125" style="40" customWidth="1"/>
    <col min="2115" max="2339" width="8.58203125" style="40"/>
    <col min="2340" max="2340" width="14.33203125" style="40" customWidth="1"/>
    <col min="2341" max="2342" width="3.33203125" style="40" customWidth="1"/>
    <col min="2343" max="2367" width="2.33203125" style="40" customWidth="1"/>
    <col min="2368" max="2369" width="3.33203125" style="40" customWidth="1"/>
    <col min="2370" max="2370" width="14.33203125" style="40" customWidth="1"/>
    <col min="2371" max="2595" width="8.58203125" style="40"/>
    <col min="2596" max="2596" width="14.33203125" style="40" customWidth="1"/>
    <col min="2597" max="2598" width="3.33203125" style="40" customWidth="1"/>
    <col min="2599" max="2623" width="2.33203125" style="40" customWidth="1"/>
    <col min="2624" max="2625" width="3.33203125" style="40" customWidth="1"/>
    <col min="2626" max="2626" width="14.33203125" style="40" customWidth="1"/>
    <col min="2627" max="2851" width="8.58203125" style="40"/>
    <col min="2852" max="2852" width="14.33203125" style="40" customWidth="1"/>
    <col min="2853" max="2854" width="3.33203125" style="40" customWidth="1"/>
    <col min="2855" max="2879" width="2.33203125" style="40" customWidth="1"/>
    <col min="2880" max="2881" width="3.33203125" style="40" customWidth="1"/>
    <col min="2882" max="2882" width="14.33203125" style="40" customWidth="1"/>
    <col min="2883" max="3107" width="8.58203125" style="40"/>
    <col min="3108" max="3108" width="14.33203125" style="40" customWidth="1"/>
    <col min="3109" max="3110" width="3.33203125" style="40" customWidth="1"/>
    <col min="3111" max="3135" width="2.33203125" style="40" customWidth="1"/>
    <col min="3136" max="3137" width="3.33203125" style="40" customWidth="1"/>
    <col min="3138" max="3138" width="14.33203125" style="40" customWidth="1"/>
    <col min="3139" max="3363" width="8.58203125" style="40"/>
    <col min="3364" max="3364" width="14.33203125" style="40" customWidth="1"/>
    <col min="3365" max="3366" width="3.33203125" style="40" customWidth="1"/>
    <col min="3367" max="3391" width="2.33203125" style="40" customWidth="1"/>
    <col min="3392" max="3393" width="3.33203125" style="40" customWidth="1"/>
    <col min="3394" max="3394" width="14.33203125" style="40" customWidth="1"/>
    <col min="3395" max="3619" width="8.58203125" style="40"/>
    <col min="3620" max="3620" width="14.33203125" style="40" customWidth="1"/>
    <col min="3621" max="3622" width="3.33203125" style="40" customWidth="1"/>
    <col min="3623" max="3647" width="2.33203125" style="40" customWidth="1"/>
    <col min="3648" max="3649" width="3.33203125" style="40" customWidth="1"/>
    <col min="3650" max="3650" width="14.33203125" style="40" customWidth="1"/>
    <col min="3651" max="3875" width="8.58203125" style="40"/>
    <col min="3876" max="3876" width="14.33203125" style="40" customWidth="1"/>
    <col min="3877" max="3878" width="3.33203125" style="40" customWidth="1"/>
    <col min="3879" max="3903" width="2.33203125" style="40" customWidth="1"/>
    <col min="3904" max="3905" width="3.33203125" style="40" customWidth="1"/>
    <col min="3906" max="3906" width="14.33203125" style="40" customWidth="1"/>
    <col min="3907" max="4131" width="8.58203125" style="40"/>
    <col min="4132" max="4132" width="14.33203125" style="40" customWidth="1"/>
    <col min="4133" max="4134" width="3.33203125" style="40" customWidth="1"/>
    <col min="4135" max="4159" width="2.33203125" style="40" customWidth="1"/>
    <col min="4160" max="4161" width="3.33203125" style="40" customWidth="1"/>
    <col min="4162" max="4162" width="14.33203125" style="40" customWidth="1"/>
    <col min="4163" max="4387" width="8.58203125" style="40"/>
    <col min="4388" max="4388" width="14.33203125" style="40" customWidth="1"/>
    <col min="4389" max="4390" width="3.33203125" style="40" customWidth="1"/>
    <col min="4391" max="4415" width="2.33203125" style="40" customWidth="1"/>
    <col min="4416" max="4417" width="3.33203125" style="40" customWidth="1"/>
    <col min="4418" max="4418" width="14.33203125" style="40" customWidth="1"/>
    <col min="4419" max="4643" width="8.58203125" style="40"/>
    <col min="4644" max="4644" width="14.33203125" style="40" customWidth="1"/>
    <col min="4645" max="4646" width="3.33203125" style="40" customWidth="1"/>
    <col min="4647" max="4671" width="2.33203125" style="40" customWidth="1"/>
    <col min="4672" max="4673" width="3.33203125" style="40" customWidth="1"/>
    <col min="4674" max="4674" width="14.33203125" style="40" customWidth="1"/>
    <col min="4675" max="4899" width="8.58203125" style="40"/>
    <col min="4900" max="4900" width="14.33203125" style="40" customWidth="1"/>
    <col min="4901" max="4902" width="3.33203125" style="40" customWidth="1"/>
    <col min="4903" max="4927" width="2.33203125" style="40" customWidth="1"/>
    <col min="4928" max="4929" width="3.33203125" style="40" customWidth="1"/>
    <col min="4930" max="4930" width="14.33203125" style="40" customWidth="1"/>
    <col min="4931" max="5155" width="8.58203125" style="40"/>
    <col min="5156" max="5156" width="14.33203125" style="40" customWidth="1"/>
    <col min="5157" max="5158" width="3.33203125" style="40" customWidth="1"/>
    <col min="5159" max="5183" width="2.33203125" style="40" customWidth="1"/>
    <col min="5184" max="5185" width="3.33203125" style="40" customWidth="1"/>
    <col min="5186" max="5186" width="14.33203125" style="40" customWidth="1"/>
    <col min="5187" max="5411" width="8.58203125" style="40"/>
    <col min="5412" max="5412" width="14.33203125" style="40" customWidth="1"/>
    <col min="5413" max="5414" width="3.33203125" style="40" customWidth="1"/>
    <col min="5415" max="5439" width="2.33203125" style="40" customWidth="1"/>
    <col min="5440" max="5441" width="3.33203125" style="40" customWidth="1"/>
    <col min="5442" max="5442" width="14.33203125" style="40" customWidth="1"/>
    <col min="5443" max="5667" width="8.58203125" style="40"/>
    <col min="5668" max="5668" width="14.33203125" style="40" customWidth="1"/>
    <col min="5669" max="5670" width="3.33203125" style="40" customWidth="1"/>
    <col min="5671" max="5695" width="2.33203125" style="40" customWidth="1"/>
    <col min="5696" max="5697" width="3.33203125" style="40" customWidth="1"/>
    <col min="5698" max="5698" width="14.33203125" style="40" customWidth="1"/>
    <col min="5699" max="5923" width="8.58203125" style="40"/>
    <col min="5924" max="5924" width="14.33203125" style="40" customWidth="1"/>
    <col min="5925" max="5926" width="3.33203125" style="40" customWidth="1"/>
    <col min="5927" max="5951" width="2.33203125" style="40" customWidth="1"/>
    <col min="5952" max="5953" width="3.33203125" style="40" customWidth="1"/>
    <col min="5954" max="5954" width="14.33203125" style="40" customWidth="1"/>
    <col min="5955" max="6179" width="8.58203125" style="40"/>
    <col min="6180" max="6180" width="14.33203125" style="40" customWidth="1"/>
    <col min="6181" max="6182" width="3.33203125" style="40" customWidth="1"/>
    <col min="6183" max="6207" width="2.33203125" style="40" customWidth="1"/>
    <col min="6208" max="6209" width="3.33203125" style="40" customWidth="1"/>
    <col min="6210" max="6210" width="14.33203125" style="40" customWidth="1"/>
    <col min="6211" max="6435" width="8.58203125" style="40"/>
    <col min="6436" max="6436" width="14.33203125" style="40" customWidth="1"/>
    <col min="6437" max="6438" width="3.33203125" style="40" customWidth="1"/>
    <col min="6439" max="6463" width="2.33203125" style="40" customWidth="1"/>
    <col min="6464" max="6465" width="3.33203125" style="40" customWidth="1"/>
    <col min="6466" max="6466" width="14.33203125" style="40" customWidth="1"/>
    <col min="6467" max="6691" width="8.58203125" style="40"/>
    <col min="6692" max="6692" width="14.33203125" style="40" customWidth="1"/>
    <col min="6693" max="6694" width="3.33203125" style="40" customWidth="1"/>
    <col min="6695" max="6719" width="2.33203125" style="40" customWidth="1"/>
    <col min="6720" max="6721" width="3.33203125" style="40" customWidth="1"/>
    <col min="6722" max="6722" width="14.33203125" style="40" customWidth="1"/>
    <col min="6723" max="6947" width="8.58203125" style="40"/>
    <col min="6948" max="6948" width="14.33203125" style="40" customWidth="1"/>
    <col min="6949" max="6950" width="3.33203125" style="40" customWidth="1"/>
    <col min="6951" max="6975" width="2.33203125" style="40" customWidth="1"/>
    <col min="6976" max="6977" width="3.33203125" style="40" customWidth="1"/>
    <col min="6978" max="6978" width="14.33203125" style="40" customWidth="1"/>
    <col min="6979" max="7203" width="8.58203125" style="40"/>
    <col min="7204" max="7204" width="14.33203125" style="40" customWidth="1"/>
    <col min="7205" max="7206" width="3.33203125" style="40" customWidth="1"/>
    <col min="7207" max="7231" width="2.33203125" style="40" customWidth="1"/>
    <col min="7232" max="7233" width="3.33203125" style="40" customWidth="1"/>
    <col min="7234" max="7234" width="14.33203125" style="40" customWidth="1"/>
    <col min="7235" max="7459" width="8.58203125" style="40"/>
    <col min="7460" max="7460" width="14.33203125" style="40" customWidth="1"/>
    <col min="7461" max="7462" width="3.33203125" style="40" customWidth="1"/>
    <col min="7463" max="7487" width="2.33203125" style="40" customWidth="1"/>
    <col min="7488" max="7489" width="3.33203125" style="40" customWidth="1"/>
    <col min="7490" max="7490" width="14.33203125" style="40" customWidth="1"/>
    <col min="7491" max="7715" width="8.58203125" style="40"/>
    <col min="7716" max="7716" width="14.33203125" style="40" customWidth="1"/>
    <col min="7717" max="7718" width="3.33203125" style="40" customWidth="1"/>
    <col min="7719" max="7743" width="2.33203125" style="40" customWidth="1"/>
    <col min="7744" max="7745" width="3.33203125" style="40" customWidth="1"/>
    <col min="7746" max="7746" width="14.33203125" style="40" customWidth="1"/>
    <col min="7747" max="7971" width="8.58203125" style="40"/>
    <col min="7972" max="7972" width="14.33203125" style="40" customWidth="1"/>
    <col min="7973" max="7974" width="3.33203125" style="40" customWidth="1"/>
    <col min="7975" max="7999" width="2.33203125" style="40" customWidth="1"/>
    <col min="8000" max="8001" width="3.33203125" style="40" customWidth="1"/>
    <col min="8002" max="8002" width="14.33203125" style="40" customWidth="1"/>
    <col min="8003" max="8227" width="8.58203125" style="40"/>
    <col min="8228" max="8228" width="14.33203125" style="40" customWidth="1"/>
    <col min="8229" max="8230" width="3.33203125" style="40" customWidth="1"/>
    <col min="8231" max="8255" width="2.33203125" style="40" customWidth="1"/>
    <col min="8256" max="8257" width="3.33203125" style="40" customWidth="1"/>
    <col min="8258" max="8258" width="14.33203125" style="40" customWidth="1"/>
    <col min="8259" max="8483" width="8.58203125" style="40"/>
    <col min="8484" max="8484" width="14.33203125" style="40" customWidth="1"/>
    <col min="8485" max="8486" width="3.33203125" style="40" customWidth="1"/>
    <col min="8487" max="8511" width="2.33203125" style="40" customWidth="1"/>
    <col min="8512" max="8513" width="3.33203125" style="40" customWidth="1"/>
    <col min="8514" max="8514" width="14.33203125" style="40" customWidth="1"/>
    <col min="8515" max="8739" width="8.58203125" style="40"/>
    <col min="8740" max="8740" width="14.33203125" style="40" customWidth="1"/>
    <col min="8741" max="8742" width="3.33203125" style="40" customWidth="1"/>
    <col min="8743" max="8767" width="2.33203125" style="40" customWidth="1"/>
    <col min="8768" max="8769" width="3.33203125" style="40" customWidth="1"/>
    <col min="8770" max="8770" width="14.33203125" style="40" customWidth="1"/>
    <col min="8771" max="8995" width="8.58203125" style="40"/>
    <col min="8996" max="8996" width="14.33203125" style="40" customWidth="1"/>
    <col min="8997" max="8998" width="3.33203125" style="40" customWidth="1"/>
    <col min="8999" max="9023" width="2.33203125" style="40" customWidth="1"/>
    <col min="9024" max="9025" width="3.33203125" style="40" customWidth="1"/>
    <col min="9026" max="9026" width="14.33203125" style="40" customWidth="1"/>
    <col min="9027" max="9251" width="8.58203125" style="40"/>
    <col min="9252" max="9252" width="14.33203125" style="40" customWidth="1"/>
    <col min="9253" max="9254" width="3.33203125" style="40" customWidth="1"/>
    <col min="9255" max="9279" width="2.33203125" style="40" customWidth="1"/>
    <col min="9280" max="9281" width="3.33203125" style="40" customWidth="1"/>
    <col min="9282" max="9282" width="14.33203125" style="40" customWidth="1"/>
    <col min="9283" max="9507" width="8.58203125" style="40"/>
    <col min="9508" max="9508" width="14.33203125" style="40" customWidth="1"/>
    <col min="9509" max="9510" width="3.33203125" style="40" customWidth="1"/>
    <col min="9511" max="9535" width="2.33203125" style="40" customWidth="1"/>
    <col min="9536" max="9537" width="3.33203125" style="40" customWidth="1"/>
    <col min="9538" max="9538" width="14.33203125" style="40" customWidth="1"/>
    <col min="9539" max="9763" width="8.58203125" style="40"/>
    <col min="9764" max="9764" width="14.33203125" style="40" customWidth="1"/>
    <col min="9765" max="9766" width="3.33203125" style="40" customWidth="1"/>
    <col min="9767" max="9791" width="2.33203125" style="40" customWidth="1"/>
    <col min="9792" max="9793" width="3.33203125" style="40" customWidth="1"/>
    <col min="9794" max="9794" width="14.33203125" style="40" customWidth="1"/>
    <col min="9795" max="10019" width="8.58203125" style="40"/>
    <col min="10020" max="10020" width="14.33203125" style="40" customWidth="1"/>
    <col min="10021" max="10022" width="3.33203125" style="40" customWidth="1"/>
    <col min="10023" max="10047" width="2.33203125" style="40" customWidth="1"/>
    <col min="10048" max="10049" width="3.33203125" style="40" customWidth="1"/>
    <col min="10050" max="10050" width="14.33203125" style="40" customWidth="1"/>
    <col min="10051" max="10275" width="8.58203125" style="40"/>
    <col min="10276" max="10276" width="14.33203125" style="40" customWidth="1"/>
    <col min="10277" max="10278" width="3.33203125" style="40" customWidth="1"/>
    <col min="10279" max="10303" width="2.33203125" style="40" customWidth="1"/>
    <col min="10304" max="10305" width="3.33203125" style="40" customWidth="1"/>
    <col min="10306" max="10306" width="14.33203125" style="40" customWidth="1"/>
    <col min="10307" max="10531" width="8.58203125" style="40"/>
    <col min="10532" max="10532" width="14.33203125" style="40" customWidth="1"/>
    <col min="10533" max="10534" width="3.33203125" style="40" customWidth="1"/>
    <col min="10535" max="10559" width="2.33203125" style="40" customWidth="1"/>
    <col min="10560" max="10561" width="3.33203125" style="40" customWidth="1"/>
    <col min="10562" max="10562" width="14.33203125" style="40" customWidth="1"/>
    <col min="10563" max="10787" width="8.58203125" style="40"/>
    <col min="10788" max="10788" width="14.33203125" style="40" customWidth="1"/>
    <col min="10789" max="10790" width="3.33203125" style="40" customWidth="1"/>
    <col min="10791" max="10815" width="2.33203125" style="40" customWidth="1"/>
    <col min="10816" max="10817" width="3.33203125" style="40" customWidth="1"/>
    <col min="10818" max="10818" width="14.33203125" style="40" customWidth="1"/>
    <col min="10819" max="11043" width="8.58203125" style="40"/>
    <col min="11044" max="11044" width="14.33203125" style="40" customWidth="1"/>
    <col min="11045" max="11046" width="3.33203125" style="40" customWidth="1"/>
    <col min="11047" max="11071" width="2.33203125" style="40" customWidth="1"/>
    <col min="11072" max="11073" width="3.33203125" style="40" customWidth="1"/>
    <col min="11074" max="11074" width="14.33203125" style="40" customWidth="1"/>
    <col min="11075" max="11299" width="8.58203125" style="40"/>
    <col min="11300" max="11300" width="14.33203125" style="40" customWidth="1"/>
    <col min="11301" max="11302" width="3.33203125" style="40" customWidth="1"/>
    <col min="11303" max="11327" width="2.33203125" style="40" customWidth="1"/>
    <col min="11328" max="11329" width="3.33203125" style="40" customWidth="1"/>
    <col min="11330" max="11330" width="14.33203125" style="40" customWidth="1"/>
    <col min="11331" max="11555" width="8.58203125" style="40"/>
    <col min="11556" max="11556" width="14.33203125" style="40" customWidth="1"/>
    <col min="11557" max="11558" width="3.33203125" style="40" customWidth="1"/>
    <col min="11559" max="11583" width="2.33203125" style="40" customWidth="1"/>
    <col min="11584" max="11585" width="3.33203125" style="40" customWidth="1"/>
    <col min="11586" max="11586" width="14.33203125" style="40" customWidth="1"/>
    <col min="11587" max="11811" width="8.58203125" style="40"/>
    <col min="11812" max="11812" width="14.33203125" style="40" customWidth="1"/>
    <col min="11813" max="11814" width="3.33203125" style="40" customWidth="1"/>
    <col min="11815" max="11839" width="2.33203125" style="40" customWidth="1"/>
    <col min="11840" max="11841" width="3.33203125" style="40" customWidth="1"/>
    <col min="11842" max="11842" width="14.33203125" style="40" customWidth="1"/>
    <col min="11843" max="12067" width="8.58203125" style="40"/>
    <col min="12068" max="12068" width="14.33203125" style="40" customWidth="1"/>
    <col min="12069" max="12070" width="3.33203125" style="40" customWidth="1"/>
    <col min="12071" max="12095" width="2.33203125" style="40" customWidth="1"/>
    <col min="12096" max="12097" width="3.33203125" style="40" customWidth="1"/>
    <col min="12098" max="12098" width="14.33203125" style="40" customWidth="1"/>
    <col min="12099" max="12323" width="8.58203125" style="40"/>
    <col min="12324" max="12324" width="14.33203125" style="40" customWidth="1"/>
    <col min="12325" max="12326" width="3.33203125" style="40" customWidth="1"/>
    <col min="12327" max="12351" width="2.33203125" style="40" customWidth="1"/>
    <col min="12352" max="12353" width="3.33203125" style="40" customWidth="1"/>
    <col min="12354" max="12354" width="14.33203125" style="40" customWidth="1"/>
    <col min="12355" max="12579" width="8.58203125" style="40"/>
    <col min="12580" max="12580" width="14.33203125" style="40" customWidth="1"/>
    <col min="12581" max="12582" width="3.33203125" style="40" customWidth="1"/>
    <col min="12583" max="12607" width="2.33203125" style="40" customWidth="1"/>
    <col min="12608" max="12609" width="3.33203125" style="40" customWidth="1"/>
    <col min="12610" max="12610" width="14.33203125" style="40" customWidth="1"/>
    <col min="12611" max="12835" width="8.58203125" style="40"/>
    <col min="12836" max="12836" width="14.33203125" style="40" customWidth="1"/>
    <col min="12837" max="12838" width="3.33203125" style="40" customWidth="1"/>
    <col min="12839" max="12863" width="2.33203125" style="40" customWidth="1"/>
    <col min="12864" max="12865" width="3.33203125" style="40" customWidth="1"/>
    <col min="12866" max="12866" width="14.33203125" style="40" customWidth="1"/>
    <col min="12867" max="13091" width="8.58203125" style="40"/>
    <col min="13092" max="13092" width="14.33203125" style="40" customWidth="1"/>
    <col min="13093" max="13094" width="3.33203125" style="40" customWidth="1"/>
    <col min="13095" max="13119" width="2.33203125" style="40" customWidth="1"/>
    <col min="13120" max="13121" width="3.33203125" style="40" customWidth="1"/>
    <col min="13122" max="13122" width="14.33203125" style="40" customWidth="1"/>
    <col min="13123" max="13347" width="8.58203125" style="40"/>
    <col min="13348" max="13348" width="14.33203125" style="40" customWidth="1"/>
    <col min="13349" max="13350" width="3.33203125" style="40" customWidth="1"/>
    <col min="13351" max="13375" width="2.33203125" style="40" customWidth="1"/>
    <col min="13376" max="13377" width="3.33203125" style="40" customWidth="1"/>
    <col min="13378" max="13378" width="14.33203125" style="40" customWidth="1"/>
    <col min="13379" max="13603" width="8.58203125" style="40"/>
    <col min="13604" max="13604" width="14.33203125" style="40" customWidth="1"/>
    <col min="13605" max="13606" width="3.33203125" style="40" customWidth="1"/>
    <col min="13607" max="13631" width="2.33203125" style="40" customWidth="1"/>
    <col min="13632" max="13633" width="3.33203125" style="40" customWidth="1"/>
    <col min="13634" max="13634" width="14.33203125" style="40" customWidth="1"/>
    <col min="13635" max="13859" width="8.58203125" style="40"/>
    <col min="13860" max="13860" width="14.33203125" style="40" customWidth="1"/>
    <col min="13861" max="13862" width="3.33203125" style="40" customWidth="1"/>
    <col min="13863" max="13887" width="2.33203125" style="40" customWidth="1"/>
    <col min="13888" max="13889" width="3.33203125" style="40" customWidth="1"/>
    <col min="13890" max="13890" width="14.33203125" style="40" customWidth="1"/>
    <col min="13891" max="14115" width="8.58203125" style="40"/>
    <col min="14116" max="14116" width="14.33203125" style="40" customWidth="1"/>
    <col min="14117" max="14118" width="3.33203125" style="40" customWidth="1"/>
    <col min="14119" max="14143" width="2.33203125" style="40" customWidth="1"/>
    <col min="14144" max="14145" width="3.33203125" style="40" customWidth="1"/>
    <col min="14146" max="14146" width="14.33203125" style="40" customWidth="1"/>
    <col min="14147" max="14371" width="8.58203125" style="40"/>
    <col min="14372" max="14372" width="14.33203125" style="40" customWidth="1"/>
    <col min="14373" max="14374" width="3.33203125" style="40" customWidth="1"/>
    <col min="14375" max="14399" width="2.33203125" style="40" customWidth="1"/>
    <col min="14400" max="14401" width="3.33203125" style="40" customWidth="1"/>
    <col min="14402" max="14402" width="14.33203125" style="40" customWidth="1"/>
    <col min="14403" max="14627" width="8.58203125" style="40"/>
    <col min="14628" max="14628" width="14.33203125" style="40" customWidth="1"/>
    <col min="14629" max="14630" width="3.33203125" style="40" customWidth="1"/>
    <col min="14631" max="14655" width="2.33203125" style="40" customWidth="1"/>
    <col min="14656" max="14657" width="3.33203125" style="40" customWidth="1"/>
    <col min="14658" max="14658" width="14.33203125" style="40" customWidth="1"/>
    <col min="14659" max="14883" width="8.58203125" style="40"/>
    <col min="14884" max="14884" width="14.33203125" style="40" customWidth="1"/>
    <col min="14885" max="14886" width="3.33203125" style="40" customWidth="1"/>
    <col min="14887" max="14911" width="2.33203125" style="40" customWidth="1"/>
    <col min="14912" max="14913" width="3.33203125" style="40" customWidth="1"/>
    <col min="14914" max="14914" width="14.33203125" style="40" customWidth="1"/>
    <col min="14915" max="15139" width="8.58203125" style="40"/>
    <col min="15140" max="15140" width="14.33203125" style="40" customWidth="1"/>
    <col min="15141" max="15142" width="3.33203125" style="40" customWidth="1"/>
    <col min="15143" max="15167" width="2.33203125" style="40" customWidth="1"/>
    <col min="15168" max="15169" width="3.33203125" style="40" customWidth="1"/>
    <col min="15170" max="15170" width="14.33203125" style="40" customWidth="1"/>
    <col min="15171" max="15395" width="8.58203125" style="40"/>
    <col min="15396" max="15396" width="14.33203125" style="40" customWidth="1"/>
    <col min="15397" max="15398" width="3.33203125" style="40" customWidth="1"/>
    <col min="15399" max="15423" width="2.33203125" style="40" customWidth="1"/>
    <col min="15424" max="15425" width="3.33203125" style="40" customWidth="1"/>
    <col min="15426" max="15426" width="14.33203125" style="40" customWidth="1"/>
    <col min="15427" max="15651" width="8.58203125" style="40"/>
    <col min="15652" max="15652" width="14.33203125" style="40" customWidth="1"/>
    <col min="15653" max="15654" width="3.33203125" style="40" customWidth="1"/>
    <col min="15655" max="15679" width="2.33203125" style="40" customWidth="1"/>
    <col min="15680" max="15681" width="3.33203125" style="40" customWidth="1"/>
    <col min="15682" max="15682" width="14.33203125" style="40" customWidth="1"/>
    <col min="15683" max="15907" width="8.58203125" style="40"/>
    <col min="15908" max="15908" width="14.33203125" style="40" customWidth="1"/>
    <col min="15909" max="15910" width="3.33203125" style="40" customWidth="1"/>
    <col min="15911" max="15935" width="2.33203125" style="40" customWidth="1"/>
    <col min="15936" max="15937" width="3.33203125" style="40" customWidth="1"/>
    <col min="15938" max="15938" width="14.33203125" style="40" customWidth="1"/>
    <col min="15939" max="16163" width="8.58203125" style="40"/>
    <col min="16164" max="16164" width="14.33203125" style="40" customWidth="1"/>
    <col min="16165" max="16166" width="3.33203125" style="40" customWidth="1"/>
    <col min="16167" max="16191" width="2.33203125" style="40" customWidth="1"/>
    <col min="16192" max="16193" width="3.33203125" style="40" customWidth="1"/>
    <col min="16194" max="16194" width="14.33203125" style="40" customWidth="1"/>
    <col min="16195" max="16384" width="8.58203125" style="40"/>
  </cols>
  <sheetData>
    <row r="1" spans="1:69" ht="25" customHeight="1" x14ac:dyDescent="0.55000000000000004">
      <c r="A1" s="39" t="s">
        <v>574</v>
      </c>
      <c r="BO1" s="36"/>
      <c r="BP1" s="36"/>
      <c r="BQ1" s="36"/>
    </row>
    <row r="2" spans="1:69" ht="25" customHeight="1" x14ac:dyDescent="0.55000000000000004">
      <c r="A2" s="39"/>
      <c r="BO2" s="36"/>
      <c r="BP2" s="36"/>
      <c r="BQ2" s="36"/>
    </row>
    <row r="3" spans="1:69" ht="25" customHeight="1" x14ac:dyDescent="0.55000000000000004">
      <c r="A3" s="39"/>
      <c r="BO3" s="36"/>
      <c r="BP3" s="36"/>
      <c r="BQ3" s="36"/>
    </row>
    <row r="4" spans="1:69" ht="25" customHeight="1" x14ac:dyDescent="0.55000000000000004">
      <c r="A4" s="39"/>
      <c r="BO4" s="36"/>
      <c r="BP4" s="36"/>
      <c r="BQ4" s="36"/>
    </row>
    <row r="5" spans="1:69" ht="25" customHeight="1" x14ac:dyDescent="0.55000000000000004">
      <c r="A5" s="39"/>
      <c r="BN5" s="41"/>
      <c r="BO5" s="36"/>
      <c r="BP5" s="36"/>
      <c r="BQ5" s="37" t="s">
        <v>814</v>
      </c>
    </row>
    <row r="7" spans="1:69" x14ac:dyDescent="0.55000000000000004">
      <c r="B7" s="141" t="s">
        <v>385</v>
      </c>
      <c r="C7" s="142"/>
      <c r="D7" s="42" t="s">
        <v>411</v>
      </c>
      <c r="E7" s="42" t="s">
        <v>409</v>
      </c>
      <c r="F7" s="42" t="s">
        <v>412</v>
      </c>
    </row>
    <row r="8" spans="1:69" x14ac:dyDescent="0.55000000000000004">
      <c r="B8" s="143" t="s">
        <v>407</v>
      </c>
      <c r="C8" s="43" t="s">
        <v>396</v>
      </c>
      <c r="D8" s="43">
        <f>COUNTIF('PF144'!U10:U153,"CAN0_0_RX")</f>
        <v>0</v>
      </c>
      <c r="E8" s="43">
        <f>COUNTIF('PF144'!U10:U153,"CAN0_1_RX")</f>
        <v>0</v>
      </c>
      <c r="F8" s="43">
        <f>COUNTIF('PF144'!U10:U153,"CAN0_2_RX")</f>
        <v>0</v>
      </c>
    </row>
    <row r="9" spans="1:69" x14ac:dyDescent="0.55000000000000004">
      <c r="B9" s="144"/>
      <c r="C9" s="43" t="s">
        <v>395</v>
      </c>
      <c r="D9" s="43">
        <f>COUNTIF('PF144'!U10:U153,"CAN0_0_TX")</f>
        <v>0</v>
      </c>
      <c r="E9" s="43">
        <f>COUNTIF('PF144'!U10:U153,"CAN0_1_TX")</f>
        <v>0</v>
      </c>
      <c r="F9" s="43">
        <f>COUNTIF('PF144'!U10:U153,"CAN0_2_TX")</f>
        <v>0</v>
      </c>
    </row>
    <row r="11" spans="1:69" x14ac:dyDescent="0.55000000000000004">
      <c r="B11" s="141" t="s">
        <v>381</v>
      </c>
      <c r="C11" s="142"/>
      <c r="D11" s="42" t="s">
        <v>413</v>
      </c>
      <c r="E11" s="42" t="s">
        <v>415</v>
      </c>
      <c r="F11" s="42" t="s">
        <v>414</v>
      </c>
    </row>
    <row r="12" spans="1:69" x14ac:dyDescent="0.55000000000000004">
      <c r="B12" s="145" t="s">
        <v>407</v>
      </c>
      <c r="C12" s="43" t="s">
        <v>396</v>
      </c>
      <c r="D12" s="43">
        <f>COUNTIF('PF144'!U10:U153,"CAN1_0_RX")</f>
        <v>0</v>
      </c>
      <c r="E12" s="43">
        <f>COUNTIF('PF144'!U10:U153,"CAN1_1_RX")</f>
        <v>0</v>
      </c>
      <c r="F12" s="43">
        <f>COUNTIF('PF144'!U10:U153,"CAN1_2_RX")</f>
        <v>0</v>
      </c>
    </row>
    <row r="13" spans="1:69" x14ac:dyDescent="0.55000000000000004">
      <c r="B13" s="145"/>
      <c r="C13" s="43" t="s">
        <v>395</v>
      </c>
      <c r="D13" s="43">
        <f>COUNTIF('PF144'!U10:U153,"CAN1_0_TX")</f>
        <v>0</v>
      </c>
      <c r="E13" s="43">
        <f>COUNTIF('PF144'!U10:U153,"CAN1_1_TX")</f>
        <v>0</v>
      </c>
      <c r="F13" s="43">
        <f>COUNTIF('PF144'!U10:U153,"CAN1_2_TX")</f>
        <v>0</v>
      </c>
    </row>
    <row r="14" spans="1:69" x14ac:dyDescent="0.55000000000000004">
      <c r="B14" s="44"/>
      <c r="C14" s="45"/>
      <c r="D14" s="45"/>
      <c r="E14" s="45"/>
      <c r="F14" s="45"/>
    </row>
    <row r="16" spans="1:69" x14ac:dyDescent="0.55000000000000004">
      <c r="B16" s="141" t="s">
        <v>384</v>
      </c>
      <c r="C16" s="142"/>
      <c r="D16" s="42" t="s">
        <v>398</v>
      </c>
      <c r="E16" s="42" t="s">
        <v>399</v>
      </c>
      <c r="F16" s="42" t="s">
        <v>400</v>
      </c>
      <c r="G16" s="42" t="s">
        <v>401</v>
      </c>
      <c r="H16" s="42" t="s">
        <v>402</v>
      </c>
      <c r="I16" s="42" t="s">
        <v>403</v>
      </c>
      <c r="J16" s="42" t="s">
        <v>404</v>
      </c>
      <c r="K16" s="42" t="s">
        <v>405</v>
      </c>
    </row>
    <row r="17" spans="2:59" x14ac:dyDescent="0.55000000000000004">
      <c r="B17" s="143" t="s">
        <v>407</v>
      </c>
      <c r="C17" s="43" t="s">
        <v>396</v>
      </c>
      <c r="D17" s="43">
        <f>COUNTIF('PF144'!U10:U153,"LIN0_RX")</f>
        <v>0</v>
      </c>
      <c r="E17" s="43">
        <f>COUNTIF('PF144'!U10:U153,"LIN1_RX")</f>
        <v>0</v>
      </c>
      <c r="F17" s="43">
        <f>COUNTIF('PF144'!U10:U153,"LIN2_RX")</f>
        <v>0</v>
      </c>
      <c r="G17" s="43">
        <f>COUNTIF('PF144'!U10:U153,"LIN3_RX")</f>
        <v>0</v>
      </c>
      <c r="H17" s="43">
        <f>COUNTIF('PF144'!U10:U153,"LIN4_RX")</f>
        <v>0</v>
      </c>
      <c r="I17" s="43">
        <f>COUNTIF('PF144'!U10:U153,"LIN5_RX")</f>
        <v>0</v>
      </c>
      <c r="J17" s="43">
        <f>COUNTIF('PF144'!U10:U153,"LIN6_RX")</f>
        <v>0</v>
      </c>
      <c r="K17" s="43">
        <f>COUNTIF('PF144'!U10:U153,"LIN7_RX")</f>
        <v>0</v>
      </c>
    </row>
    <row r="18" spans="2:59" x14ac:dyDescent="0.55000000000000004">
      <c r="B18" s="146"/>
      <c r="C18" s="43" t="s">
        <v>395</v>
      </c>
      <c r="D18" s="43">
        <f>COUNTIF('PF144'!U10:U153,"LIN0_TX")</f>
        <v>0</v>
      </c>
      <c r="E18" s="43">
        <f>COUNTIF('PF144'!U10:U153,"LIN1_TX")</f>
        <v>0</v>
      </c>
      <c r="F18" s="43">
        <f>COUNTIF('PF144'!U10:U153,"LIN2_TX")</f>
        <v>0</v>
      </c>
      <c r="G18" s="43">
        <f>COUNTIF('PF144'!U10:U153,"LIN3_TX")</f>
        <v>0</v>
      </c>
      <c r="H18" s="43">
        <f>COUNTIF('PF144'!U10:U153,"LIN4_TX")</f>
        <v>0</v>
      </c>
      <c r="I18" s="43">
        <f>COUNTIF('PF144'!U10:U153,"LIN5_TX")</f>
        <v>0</v>
      </c>
      <c r="J18" s="43">
        <f>COUNTIF('PF144'!U10:U153,"LIN6_TX")</f>
        <v>0</v>
      </c>
      <c r="K18" s="43">
        <f>COUNTIF('PF144'!U10:U153,"LIN7_TX")</f>
        <v>0</v>
      </c>
    </row>
    <row r="19" spans="2:59" x14ac:dyDescent="0.55000000000000004">
      <c r="B19" s="144"/>
      <c r="C19" s="43" t="s">
        <v>406</v>
      </c>
      <c r="D19" s="43">
        <f>COUNTIF('PF144'!U10:U153,"LIN0_EN")</f>
        <v>0</v>
      </c>
      <c r="E19" s="43">
        <f>COUNTIF('PF144'!U10:U153,"LIN1_EN")</f>
        <v>0</v>
      </c>
      <c r="F19" s="43">
        <f>COUNTIF('PF144'!U10:U153,"LIN2_EN")</f>
        <v>0</v>
      </c>
      <c r="G19" s="43">
        <f>COUNTIF('PF144'!U10:U153,"LIN3_EN")</f>
        <v>0</v>
      </c>
      <c r="H19" s="43">
        <f>COUNTIF('PF144'!U10:U153,"LIN4_EN")</f>
        <v>0</v>
      </c>
      <c r="I19" s="43">
        <f>COUNTIF('PF144'!U10:U153,"LIN5_EN")</f>
        <v>0</v>
      </c>
      <c r="J19" s="43">
        <f>COUNTIF('PF144'!U10:U153,"LIN6_EN")</f>
        <v>0</v>
      </c>
      <c r="K19" s="43">
        <f>COUNTIF('PF144'!U10:U153,"LIN7_EN")</f>
        <v>0</v>
      </c>
    </row>
    <row r="20" spans="2:59" x14ac:dyDescent="0.55000000000000004">
      <c r="B20" s="44"/>
      <c r="C20" s="45"/>
      <c r="D20" s="45"/>
      <c r="E20" s="45"/>
      <c r="F20" s="45"/>
      <c r="G20" s="45"/>
      <c r="H20" s="45"/>
      <c r="I20" s="45"/>
      <c r="J20" s="45"/>
      <c r="K20" s="45"/>
    </row>
    <row r="22" spans="2:59" x14ac:dyDescent="0.55000000000000004">
      <c r="B22" s="141" t="s">
        <v>386</v>
      </c>
      <c r="C22" s="142"/>
      <c r="D22" s="42" t="s">
        <v>387</v>
      </c>
      <c r="E22" s="42" t="s">
        <v>388</v>
      </c>
      <c r="F22" s="42" t="s">
        <v>389</v>
      </c>
      <c r="G22" s="42" t="s">
        <v>390</v>
      </c>
      <c r="H22" s="42" t="s">
        <v>394</v>
      </c>
      <c r="I22" s="42" t="s">
        <v>393</v>
      </c>
      <c r="J22" s="42" t="s">
        <v>392</v>
      </c>
      <c r="K22" s="42" t="s">
        <v>391</v>
      </c>
    </row>
    <row r="23" spans="2:59" ht="10" customHeight="1" x14ac:dyDescent="0.55000000000000004">
      <c r="B23" s="148" t="s">
        <v>426</v>
      </c>
      <c r="C23" s="49" t="s">
        <v>797</v>
      </c>
      <c r="D23" s="50">
        <f>COUNTIF('PF144'!U10:U153,"SCB0_CLK (0)")</f>
        <v>0</v>
      </c>
      <c r="E23" s="51">
        <f>COUNTIF('PF144'!U10:U153,"SCB1_CLK (0)")</f>
        <v>0</v>
      </c>
      <c r="F23" s="51">
        <f>COUNTIF('PF144'!U10:U153,"SCB2_CLK (0)")</f>
        <v>0</v>
      </c>
      <c r="G23" s="51">
        <f>COUNTIF('PF144'!U10:U153,"SCB3_CLK (0)")</f>
        <v>0</v>
      </c>
      <c r="H23" s="51">
        <f>COUNTIF('PF144'!U10:U153,"SCB4_CLK (0)")</f>
        <v>0</v>
      </c>
      <c r="I23" s="51">
        <f>COUNTIF('PF144'!U10:U153,"SCB5_CLK (0)")</f>
        <v>0</v>
      </c>
      <c r="J23" s="51">
        <f>COUNTIF('PF144'!U10:U153,"SCB6_CLK (0)")</f>
        <v>0</v>
      </c>
      <c r="K23" s="51">
        <f>COUNTIF('PF144'!U10:U153,"SCB7_CLK (0)")</f>
        <v>0</v>
      </c>
      <c r="BG23" s="52"/>
    </row>
    <row r="24" spans="2:59" ht="10" customHeight="1" x14ac:dyDescent="0.55000000000000004">
      <c r="B24" s="149"/>
      <c r="C24" s="49" t="s">
        <v>804</v>
      </c>
      <c r="D24" s="50">
        <f>COUNTIF('PF144'!U10:U153,"SCB0_CLK (1)")</f>
        <v>0</v>
      </c>
      <c r="E24" s="51">
        <f>COUNTIF('PF144'!U10:U153,"SCB1_CLK (1)")</f>
        <v>0</v>
      </c>
      <c r="F24" s="51">
        <f>COUNTIF('PF144'!U10:U153,"SCB2_CLK (1)")</f>
        <v>0</v>
      </c>
      <c r="G24" s="51">
        <f>COUNTIF('PF144'!U10:U153,"SCB3_CLK (1)")</f>
        <v>0</v>
      </c>
      <c r="H24" s="51">
        <f>COUNTIF('PF144'!U10:U153,"SCB4_CLK (1)")</f>
        <v>0</v>
      </c>
      <c r="I24" s="51">
        <f>COUNTIF('PF144'!U10:U153,"SCB5_CLK (1)")</f>
        <v>0</v>
      </c>
      <c r="J24" s="51">
        <f>COUNTIF('PF144'!U10:U153,"SCB6_CLK (1)")</f>
        <v>0</v>
      </c>
      <c r="K24" s="51">
        <f>COUNTIF('PF144'!U10:U153,"SCB7_CLK (1)")</f>
        <v>0</v>
      </c>
      <c r="BG24" s="52"/>
    </row>
    <row r="25" spans="2:59" x14ac:dyDescent="0.55000000000000004">
      <c r="B25" s="149"/>
      <c r="C25" s="49" t="s">
        <v>798</v>
      </c>
      <c r="D25" s="50">
        <f>COUNTIF('PF144'!U10:U153,"SCB0_MOSI (0)")</f>
        <v>0</v>
      </c>
      <c r="E25" s="51">
        <f>COUNTIF('PF144'!U10:U153,"SCB1_MOSI (0)")</f>
        <v>0</v>
      </c>
      <c r="F25" s="51">
        <f>COUNTIF('PF144'!U10:U153,"SCB2_MOSI (0)")</f>
        <v>0</v>
      </c>
      <c r="G25" s="51">
        <f>COUNTIF('PF144'!U10:U153,"SCB3_MOSI (0)")</f>
        <v>0</v>
      </c>
      <c r="H25" s="51">
        <f>COUNTIF('PF144'!U10:U153,"SCB4_MOSI (0)")</f>
        <v>0</v>
      </c>
      <c r="I25" s="51">
        <f>COUNTIF('PF144'!U10:U153,"SCB5_MOSI (0)")</f>
        <v>0</v>
      </c>
      <c r="J25" s="51">
        <f>COUNTIF('PF144'!U10:U153,"SCB6_MOSI (0)")</f>
        <v>0</v>
      </c>
      <c r="K25" s="51">
        <f>COUNTIF('PF144'!U10:U153,"SCB7_MOSI (0)")</f>
        <v>0</v>
      </c>
    </row>
    <row r="26" spans="2:59" x14ac:dyDescent="0.55000000000000004">
      <c r="B26" s="149"/>
      <c r="C26" s="49" t="s">
        <v>805</v>
      </c>
      <c r="D26" s="50">
        <f>COUNTIF('PF144'!U10:U153,"SCB0_MOSI (1)")</f>
        <v>0</v>
      </c>
      <c r="E26" s="51">
        <f>COUNTIF('PF144'!U10:U153,"SCB1_MOSI (1)")</f>
        <v>0</v>
      </c>
      <c r="F26" s="51">
        <f>COUNTIF('PF144'!U10:U153,"SCB2_MOSI (1)")</f>
        <v>0</v>
      </c>
      <c r="G26" s="51">
        <f>COUNTIF('PF144'!U10:U153,"SCB3_MOSI (1)")</f>
        <v>0</v>
      </c>
      <c r="H26" s="51">
        <f>COUNTIF('PF144'!U10:U153,"SCB4_MOSI (1)")</f>
        <v>0</v>
      </c>
      <c r="I26" s="51">
        <f>COUNTIF('PF144'!U10:U153,"SCB5_MOSI (1)")</f>
        <v>0</v>
      </c>
      <c r="J26" s="51">
        <f>COUNTIF('PF144'!U10:U153,"SCB6_MOSI (1)")</f>
        <v>0</v>
      </c>
      <c r="K26" s="51">
        <f>COUNTIF('PF144'!U10:U153,"SCB7_MOSI (1)")</f>
        <v>0</v>
      </c>
    </row>
    <row r="27" spans="2:59" x14ac:dyDescent="0.55000000000000004">
      <c r="B27" s="149"/>
      <c r="C27" s="49" t="s">
        <v>799</v>
      </c>
      <c r="D27" s="50">
        <f>COUNTIF('PF144'!U10:U153,"SCB0_MISO (0)")</f>
        <v>0</v>
      </c>
      <c r="E27" s="51">
        <f>COUNTIF('PF144'!U10:U153,"SCB1_MISO (0)")</f>
        <v>0</v>
      </c>
      <c r="F27" s="51">
        <f>COUNTIF('PF144'!U10:U153,"SCB2_MISO (0)")</f>
        <v>0</v>
      </c>
      <c r="G27" s="51">
        <f>COUNTIF('PF144'!U10:U153,"SCB3_MISO (0)")</f>
        <v>0</v>
      </c>
      <c r="H27" s="51">
        <f>COUNTIF('PF144'!U10:U153,"SCB4_MISO (0)")</f>
        <v>0</v>
      </c>
      <c r="I27" s="51">
        <f>COUNTIF('PF144'!U10:U153,"SCB5_MISO (0)")</f>
        <v>0</v>
      </c>
      <c r="J27" s="51">
        <f>COUNTIF('PF144'!U10:U153,"SCB6_MISO (0)")</f>
        <v>0</v>
      </c>
      <c r="K27" s="51">
        <f>COUNTIF('PF144'!U10:U153,"SCB7_MISO (0)")</f>
        <v>0</v>
      </c>
    </row>
    <row r="28" spans="2:59" x14ac:dyDescent="0.55000000000000004">
      <c r="B28" s="149"/>
      <c r="C28" s="49" t="s">
        <v>806</v>
      </c>
      <c r="D28" s="50">
        <f>COUNTIF('PF144'!U10:U153,"SCB0_MISO (1)")</f>
        <v>0</v>
      </c>
      <c r="E28" s="51">
        <f>COUNTIF('PF144'!U10:U153,"SCB1_MISO (1)")</f>
        <v>0</v>
      </c>
      <c r="F28" s="51">
        <f>COUNTIF('PF144'!U10:U153,"SCB2_MISO (1)")</f>
        <v>0</v>
      </c>
      <c r="G28" s="51">
        <f>COUNTIF('PF144'!U10:U153,"SCB3_MISO (1)")</f>
        <v>0</v>
      </c>
      <c r="H28" s="51">
        <f>COUNTIF('PF144'!U10:U153,"SCB4_MISO (1)")</f>
        <v>0</v>
      </c>
      <c r="I28" s="51">
        <f>COUNTIF('PF144'!U10:U153,"SCB5_MISO (1)")</f>
        <v>0</v>
      </c>
      <c r="J28" s="51">
        <f>COUNTIF('PF144'!U10:U153,"SCB6_MISO (1)")</f>
        <v>0</v>
      </c>
      <c r="K28" s="51">
        <f>COUNTIF('PF144'!U10:U153,"SCB7_MISO (1)")</f>
        <v>0</v>
      </c>
    </row>
    <row r="29" spans="2:59" x14ac:dyDescent="0.55000000000000004">
      <c r="B29" s="149"/>
      <c r="C29" s="49" t="s">
        <v>800</v>
      </c>
      <c r="D29" s="50">
        <f>COUNTIF('PF144'!U10:U153,"SCB0_SEL0 (0)")</f>
        <v>0</v>
      </c>
      <c r="E29" s="51">
        <f>COUNTIF('PF144'!U10:U153,"SCB1_SEL0 (0)")</f>
        <v>0</v>
      </c>
      <c r="F29" s="51">
        <f>COUNTIF('PF144'!U10:U153,"SCB2_SEL0 (0)")</f>
        <v>0</v>
      </c>
      <c r="G29" s="51">
        <f>COUNTIF('PF144'!U10:U153,"SCB3_SEL0 (0)")</f>
        <v>0</v>
      </c>
      <c r="H29" s="51">
        <f>COUNTIF('PF144'!U10:U153,"SCB4_SEL0 (0)")</f>
        <v>0</v>
      </c>
      <c r="I29" s="50">
        <f>COUNTIF('PF144'!U10:U153,"SCB5_SEL0 (0)")</f>
        <v>0</v>
      </c>
      <c r="J29" s="50">
        <f>COUNTIF('PF144'!U10:U153,"SCB6_SEL0 (0)")</f>
        <v>0</v>
      </c>
      <c r="K29" s="51">
        <f>COUNTIF('PF144'!U10:U153,"SCB7_SEL0 (0)")</f>
        <v>0</v>
      </c>
    </row>
    <row r="30" spans="2:59" x14ac:dyDescent="0.55000000000000004">
      <c r="B30" s="149"/>
      <c r="C30" s="49" t="s">
        <v>807</v>
      </c>
      <c r="D30" s="50">
        <f>COUNTIF('PF144'!U10:U153,"SCB0_SEL0 (1)")</f>
        <v>0</v>
      </c>
      <c r="E30" s="51">
        <f>COUNTIF('PF144'!U10:U153,"SCB1_SEL0 (1)")</f>
        <v>0</v>
      </c>
      <c r="F30" s="51">
        <f>COUNTIF('PF144'!U10:U153,"SCB2_SEL0 (1)")</f>
        <v>0</v>
      </c>
      <c r="G30" s="51">
        <f>COUNTIF('PF144'!U10:U153,"SCB3_SEL0 (1)")</f>
        <v>0</v>
      </c>
      <c r="H30" s="51">
        <f>COUNTIF('PF144'!U10:U153,"SCB4_SEL0 (1)")</f>
        <v>0</v>
      </c>
      <c r="I30" s="50">
        <f>COUNTIF('PF144'!U10:U153,"SCB5_SEL0 (1)")</f>
        <v>0</v>
      </c>
      <c r="J30" s="50">
        <f>COUNTIF('PF144'!U10:U153,"SCB6_SEL0 (1)")</f>
        <v>0</v>
      </c>
      <c r="K30" s="51">
        <f>COUNTIF('PF144'!U10:U153,"SCB7_SEL0 (1)")</f>
        <v>0</v>
      </c>
    </row>
    <row r="31" spans="2:59" x14ac:dyDescent="0.55000000000000004">
      <c r="B31" s="149"/>
      <c r="C31" s="49" t="s">
        <v>801</v>
      </c>
      <c r="D31" s="50">
        <f>COUNTIF('PF144'!U10:U153,"SCB0_SEL1 (0)")</f>
        <v>0</v>
      </c>
      <c r="E31" s="51">
        <f>COUNTIF('PF144'!U10:U153,"SCB1_SEL1 (0)")</f>
        <v>0</v>
      </c>
      <c r="F31" s="51">
        <f>COUNTIF('PF144'!U10:U153,"SCB2_SEL1 (0)")</f>
        <v>0</v>
      </c>
      <c r="G31" s="51">
        <f>COUNTIF('PF144'!U10:U153,"SCB3_SEL1 (0)")</f>
        <v>0</v>
      </c>
      <c r="H31" s="51">
        <f>COUNTIF('PF144'!U10:U153,"SCB4_SEL1 (0)")</f>
        <v>0</v>
      </c>
      <c r="I31" s="50">
        <f>COUNTIF('PF144'!U10:U153,"SCB5_SEL1 (0)")</f>
        <v>0</v>
      </c>
      <c r="J31" s="50">
        <f>COUNTIF('PF144'!U10:U153,"SCB6_SEL1 (0)")</f>
        <v>0</v>
      </c>
      <c r="K31" s="51">
        <f>COUNTIF('PF144'!U10:U153,"SCB7_SEL1 (0)")</f>
        <v>0</v>
      </c>
    </row>
    <row r="32" spans="2:59" x14ac:dyDescent="0.55000000000000004">
      <c r="B32" s="149"/>
      <c r="C32" s="49" t="s">
        <v>808</v>
      </c>
      <c r="D32" s="50">
        <f>COUNTIF('PF144'!U10:U153,"SCB0_SEL1 (1)")</f>
        <v>0</v>
      </c>
      <c r="E32" s="51">
        <f>COUNTIF('PF144'!U10:U153,"SCB1_SEL1 (1)")</f>
        <v>0</v>
      </c>
      <c r="F32" s="51">
        <f>COUNTIF('PF144'!U10:U153,"SCB2_SEL1 (1)")</f>
        <v>0</v>
      </c>
      <c r="G32" s="51">
        <f>COUNTIF('PF144'!U10:U153,"SCB3_SEL1 (1)")</f>
        <v>0</v>
      </c>
      <c r="H32" s="51">
        <f>COUNTIF('PF144'!U10:U153,"SCB4_SEL1 (1)")</f>
        <v>0</v>
      </c>
      <c r="I32" s="50">
        <f>COUNTIF('PF144'!U10:U153,"SCB5_SEL1 (1)")</f>
        <v>0</v>
      </c>
      <c r="J32" s="50">
        <f>COUNTIF('PF144'!U10:U153,"SCB6_SEL1 (1)")</f>
        <v>0</v>
      </c>
      <c r="K32" s="51">
        <f>COUNTIF('PF144'!U10:U153,"SCB7_SEL1 (1)")</f>
        <v>0</v>
      </c>
    </row>
    <row r="33" spans="2:11" x14ac:dyDescent="0.55000000000000004">
      <c r="B33" s="149"/>
      <c r="C33" s="49" t="s">
        <v>802</v>
      </c>
      <c r="D33" s="50">
        <f>COUNTIF('PF144'!U10:U153,"SCB0_SEL2 (0)")</f>
        <v>0</v>
      </c>
      <c r="E33" s="51">
        <f>COUNTIF('PF144'!U10:U153,"SCB1_SEL2 (0)")</f>
        <v>0</v>
      </c>
      <c r="F33" s="51">
        <f>COUNTIF('PF144'!U10:U153,"SCB2_SEL2 (0)")</f>
        <v>0</v>
      </c>
      <c r="G33" s="51">
        <f>COUNTIF('PF144'!U10:U153,"SCB3_SEL2 (0)")</f>
        <v>0</v>
      </c>
      <c r="H33" s="51">
        <f>COUNTIF('PF144'!U10:U153,"SCB4_SEL2 (0)")</f>
        <v>0</v>
      </c>
      <c r="I33" s="50">
        <f>COUNTIF('PF144'!U10:U153,"SCB5_SEL2 (0)")</f>
        <v>0</v>
      </c>
      <c r="J33" s="50">
        <f>COUNTIF('PF144'!U10:U153,"SCB6_SEL2 (0)")</f>
        <v>0</v>
      </c>
      <c r="K33" s="51">
        <f>COUNTIF('PF144'!U10:U153,"SCB7_SEL2 (0)")</f>
        <v>0</v>
      </c>
    </row>
    <row r="34" spans="2:11" x14ac:dyDescent="0.55000000000000004">
      <c r="B34" s="149"/>
      <c r="C34" s="49" t="s">
        <v>809</v>
      </c>
      <c r="D34" s="50">
        <f>COUNTIF('PF144'!U10:U153,"SCB0_SEL2 (1)")</f>
        <v>0</v>
      </c>
      <c r="E34" s="51">
        <f>COUNTIF('PF144'!U10:U153,"SCB1_SEL2 (1)")</f>
        <v>0</v>
      </c>
      <c r="F34" s="51">
        <f>COUNTIF('PF144'!U10:U153,"SCB2_SEL2 (1)")</f>
        <v>0</v>
      </c>
      <c r="G34" s="51">
        <f>COUNTIF('PF144'!U10:U153,"SCB3_SEL2 (1)")</f>
        <v>0</v>
      </c>
      <c r="H34" s="51">
        <f>COUNTIF('PF144'!U10:U153,"SCB4_SEL2 (1)")</f>
        <v>0</v>
      </c>
      <c r="I34" s="50">
        <f>COUNTIF('PF144'!U10:U153,"SCB5_SEL2 (1)")</f>
        <v>0</v>
      </c>
      <c r="J34" s="50">
        <f>COUNTIF('PF144'!U10:U153,"SCB6_SEL2 (1)")</f>
        <v>0</v>
      </c>
      <c r="K34" s="51">
        <f>COUNTIF('PF144'!U10:U153,"SCB7_SEL2 (1)")</f>
        <v>0</v>
      </c>
    </row>
    <row r="35" spans="2:11" x14ac:dyDescent="0.55000000000000004">
      <c r="B35" s="149"/>
      <c r="C35" s="49" t="s">
        <v>803</v>
      </c>
      <c r="D35" s="50">
        <f>COUNTIF('PF144'!U10:U153,"SCB0_SEL3 (0)")</f>
        <v>0</v>
      </c>
      <c r="E35" s="51">
        <f>COUNTIF('PF144'!U10:U153,"SCB1_SEL3 (0)")</f>
        <v>0</v>
      </c>
      <c r="F35" s="51">
        <f>COUNTIF('PF144'!U10:U153,"SCB2_SEL3 (0)")</f>
        <v>0</v>
      </c>
      <c r="G35" s="51">
        <f>COUNTIF('PF144'!U10:U153,"SCB3_SEL3 (0)")</f>
        <v>0</v>
      </c>
      <c r="H35" s="51">
        <f>COUNTIF('PF144'!U10:U153,"SCB4_SEL3 (0)")</f>
        <v>0</v>
      </c>
      <c r="I35" s="50">
        <f>COUNTIF('PF144'!U10:U153,"SCB5_SEL3 (0)")</f>
        <v>0</v>
      </c>
      <c r="J35" s="50">
        <f>COUNTIF('PF144'!U10:U153,"SCB6_SEL3 (0)")</f>
        <v>0</v>
      </c>
      <c r="K35" s="51">
        <f>COUNTIF('PF144'!U10:U153,"SCB7_SEL3 (0)")</f>
        <v>0</v>
      </c>
    </row>
    <row r="36" spans="2:11" x14ac:dyDescent="0.55000000000000004">
      <c r="B36" s="150"/>
      <c r="C36" s="49" t="s">
        <v>810</v>
      </c>
      <c r="D36" s="50">
        <f>COUNTIF('PF144'!U10:U153,"SCB0_SEL3 (1)")</f>
        <v>0</v>
      </c>
      <c r="E36" s="51">
        <f>COUNTIF('PF144'!U10:U153,"SCB1_SEL3 (1)")</f>
        <v>0</v>
      </c>
      <c r="F36" s="51">
        <f>COUNTIF('PF144'!U10:U153,"SCB2_SEL3 (1)")</f>
        <v>0</v>
      </c>
      <c r="G36" s="51">
        <f>COUNTIF('PF144'!U10:U153,"SCB3_SEL3 (1)")</f>
        <v>0</v>
      </c>
      <c r="H36" s="51">
        <f>COUNTIF('PF144'!U10:U153,"SCB4_SEL3 (1)")</f>
        <v>0</v>
      </c>
      <c r="I36" s="50">
        <f>COUNTIF('PF144'!U10:U153,"SCB5_SEL3 (1)")</f>
        <v>0</v>
      </c>
      <c r="J36" s="50">
        <f>COUNTIF('PF144'!U10:U153,"SCB6_SEL3 (1)")</f>
        <v>0</v>
      </c>
      <c r="K36" s="51">
        <f>COUNTIF('PF144'!U10:U153,"SCB7_SEL3 (1)")</f>
        <v>0</v>
      </c>
    </row>
    <row r="37" spans="2:11" ht="10" customHeight="1" x14ac:dyDescent="0.55000000000000004">
      <c r="B37" s="147" t="s">
        <v>425</v>
      </c>
      <c r="C37" s="49" t="s">
        <v>780</v>
      </c>
      <c r="D37" s="50">
        <f>COUNTIF('PF144'!U10:U153,"SCB0_TX (0)")</f>
        <v>0</v>
      </c>
      <c r="E37" s="51">
        <f>COUNTIF('PF144'!U10:U153,"SCB1_TX (0)")</f>
        <v>0</v>
      </c>
      <c r="F37" s="51">
        <f>COUNTIF('PF144'!U10:U153,"SCB2_TX (0)")</f>
        <v>0</v>
      </c>
      <c r="G37" s="51">
        <f>COUNTIF('PF144'!U10:U153,"SCB3_TX (0)")</f>
        <v>0</v>
      </c>
      <c r="H37" s="51">
        <f>COUNTIF('PF144'!U10:U153,"SCB4_TX (0)")</f>
        <v>0</v>
      </c>
      <c r="I37" s="55">
        <f>COUNTIF('PF144'!U10:U153,"SCB5_TX (0)")</f>
        <v>0</v>
      </c>
      <c r="J37" s="55">
        <f>COUNTIF('PF144'!U10:U153,"SCB6_TX (0)")</f>
        <v>0</v>
      </c>
      <c r="K37" s="51">
        <f>COUNTIF('PF144'!U10:U153,"SCB7_TX (0)")</f>
        <v>0</v>
      </c>
    </row>
    <row r="38" spans="2:11" ht="10" customHeight="1" x14ac:dyDescent="0.55000000000000004">
      <c r="B38" s="147"/>
      <c r="C38" s="49" t="s">
        <v>781</v>
      </c>
      <c r="D38" s="56">
        <f>COUNTIF('PF144'!U10:U153,"SCB0_TX (1)")</f>
        <v>0</v>
      </c>
      <c r="E38" s="51">
        <f>COUNTIF('PF144'!U10:U153,"SCB1_TX (1)")</f>
        <v>0</v>
      </c>
      <c r="F38" s="51">
        <f>COUNTIF('PF144'!U10:U153,"SCB2_TX (1)")</f>
        <v>0</v>
      </c>
      <c r="G38" s="51">
        <f>COUNTIF('PF144'!U10:U153,"SCB3_TX (1)")</f>
        <v>0</v>
      </c>
      <c r="H38" s="51">
        <f>COUNTIF('PF144'!U10:U153,"SCB4_TX (1)")</f>
        <v>0</v>
      </c>
      <c r="I38" s="55">
        <f>COUNTIF('PF144'!U10:U153,"SCB5_TX (1)")</f>
        <v>0</v>
      </c>
      <c r="J38" s="55">
        <f>COUNTIF('PF144'!U10:U153,"SCB6_TX (1)")</f>
        <v>0</v>
      </c>
      <c r="K38" s="51">
        <f>COUNTIF('PF144'!U10:U153,"SCB7_TX (1)")</f>
        <v>0</v>
      </c>
    </row>
    <row r="39" spans="2:11" x14ac:dyDescent="0.55000000000000004">
      <c r="B39" s="147"/>
      <c r="C39" s="49" t="s">
        <v>782</v>
      </c>
      <c r="D39" s="50">
        <f>COUNTIF('PF144'!U10:U153,"SCB0_RX (0)")</f>
        <v>0</v>
      </c>
      <c r="E39" s="51">
        <f>COUNTIF('PF144'!U10:U153,"SCB1_RX (0)")</f>
        <v>0</v>
      </c>
      <c r="F39" s="51">
        <f>COUNTIF('PF144'!U10:U153,"SCB2_RX (0)")</f>
        <v>0</v>
      </c>
      <c r="G39" s="51">
        <f>COUNTIF('PF144'!U10:U153,"SCB3_RX (0)")</f>
        <v>0</v>
      </c>
      <c r="H39" s="51">
        <f>COUNTIF('PF144'!U10:U153,"SCB4_RX (0)")</f>
        <v>0</v>
      </c>
      <c r="I39" s="51">
        <f>COUNTIF('PF144'!U10:U153,"SCB5_RX (0)")</f>
        <v>0</v>
      </c>
      <c r="J39" s="51">
        <f>COUNTIF('PF144'!U10:U153,"SCB6_RX (0)")</f>
        <v>0</v>
      </c>
      <c r="K39" s="51">
        <f>COUNTIF('PF144'!U10:U153,"SCB7_RX (0)")</f>
        <v>0</v>
      </c>
    </row>
    <row r="40" spans="2:11" x14ac:dyDescent="0.55000000000000004">
      <c r="B40" s="147"/>
      <c r="C40" s="49" t="s">
        <v>785</v>
      </c>
      <c r="D40" s="56">
        <f>COUNTIF('PF144'!U10:U153,"SCB0_RX (1)")</f>
        <v>0</v>
      </c>
      <c r="E40" s="51">
        <f>COUNTIF('PF144'!U10:U153,"SCB1_RX (1)")</f>
        <v>0</v>
      </c>
      <c r="F40" s="51">
        <f>COUNTIF('PF144'!U10:U153,"SCB2_RX (1)")</f>
        <v>0</v>
      </c>
      <c r="G40" s="51">
        <f>COUNTIF('PF144'!U10:U153,"SCB3_RX (1)")</f>
        <v>0</v>
      </c>
      <c r="H40" s="51">
        <f>COUNTIF('PF144'!U10:U153,"SCB4_RX (1)")</f>
        <v>0</v>
      </c>
      <c r="I40" s="51">
        <f>COUNTIF('PF144'!U10:U153,"SCB5_RX (1)")</f>
        <v>0</v>
      </c>
      <c r="J40" s="51">
        <f>COUNTIF('PF144'!U10:U153,"SCB6_RX (1)")</f>
        <v>0</v>
      </c>
      <c r="K40" s="51">
        <f>COUNTIF('PF144'!U10:U153,"SCB7_RX (1)")</f>
        <v>0</v>
      </c>
    </row>
    <row r="41" spans="2:11" x14ac:dyDescent="0.55000000000000004">
      <c r="B41" s="147"/>
      <c r="C41" s="49" t="s">
        <v>783</v>
      </c>
      <c r="D41" s="50">
        <f>COUNTIF('PF144'!U10:U153,"SCB0_CTS (0)")</f>
        <v>0</v>
      </c>
      <c r="E41" s="51">
        <f>COUNTIF('PF144'!U10:U153,"SCB1_CTS (0)")</f>
        <v>0</v>
      </c>
      <c r="F41" s="51">
        <f>COUNTIF('PF144'!U10:U153,"SCB2_CTS (0)")</f>
        <v>0</v>
      </c>
      <c r="G41" s="51">
        <f>COUNTIF('PF144'!U10:U153,"SCB3_CTS (0)")</f>
        <v>0</v>
      </c>
      <c r="H41" s="51">
        <f>COUNTIF('PF144'!U10:U153,"SCB4_CTS (0)")</f>
        <v>0</v>
      </c>
      <c r="I41" s="51">
        <f>COUNTIF('PF144'!U10:U153,"SCB5_CTS (0)")</f>
        <v>0</v>
      </c>
      <c r="J41" s="51">
        <f>COUNTIF('PF144'!U10:U153,"SCB6_CTS (0)")</f>
        <v>0</v>
      </c>
      <c r="K41" s="51">
        <f>COUNTIF('PF144'!U10:U153,"SCB7_CTS (0)")</f>
        <v>0</v>
      </c>
    </row>
    <row r="42" spans="2:11" x14ac:dyDescent="0.55000000000000004">
      <c r="B42" s="147"/>
      <c r="C42" s="49" t="s">
        <v>786</v>
      </c>
      <c r="D42" s="56">
        <f>COUNTIF('PF144'!U10:U153,"SCB0_CTS (1)")</f>
        <v>0</v>
      </c>
      <c r="E42" s="51">
        <f>COUNTIF('PF144'!U10:U153,"SCB1_CTS (1)")</f>
        <v>0</v>
      </c>
      <c r="F42" s="51">
        <f>COUNTIF('PF144'!U10:U153,"SCB2_CTS (1)")</f>
        <v>0</v>
      </c>
      <c r="G42" s="51">
        <f>COUNTIF('PF144'!U10:U153,"SCB3_CTS (1)")</f>
        <v>0</v>
      </c>
      <c r="H42" s="51">
        <f>COUNTIF('PF144'!U10:U153,"SCB4_CTS (1)")</f>
        <v>0</v>
      </c>
      <c r="I42" s="51">
        <f>COUNTIF('PF144'!U10:U153,"SCB5_CTS (1)")</f>
        <v>0</v>
      </c>
      <c r="J42" s="51">
        <f>COUNTIF('PF144'!U10:U153,"SCB6_CTS (1)")</f>
        <v>0</v>
      </c>
      <c r="K42" s="51">
        <f>COUNTIF('PF144'!U10:U153,"SCB7_CTS (1)")</f>
        <v>0</v>
      </c>
    </row>
    <row r="43" spans="2:11" x14ac:dyDescent="0.55000000000000004">
      <c r="B43" s="147"/>
      <c r="C43" s="49" t="s">
        <v>784</v>
      </c>
      <c r="D43" s="50">
        <f>COUNTIF('PF144'!U10:U153,"SCB0_RTS (0)")</f>
        <v>0</v>
      </c>
      <c r="E43" s="51">
        <f>COUNTIF('PF144'!U10:U153,"SCB1_RTS (0)")</f>
        <v>0</v>
      </c>
      <c r="F43" s="51">
        <f>COUNTIF('PF144'!U10:U153,"SCB2_RTS (0)")</f>
        <v>0</v>
      </c>
      <c r="G43" s="51">
        <f>COUNTIF('PF144'!U10:U153,"SCB3_RTS (0)")</f>
        <v>0</v>
      </c>
      <c r="H43" s="51">
        <f>COUNTIF('PF144'!U10:U153,"SCB4_RTS (0)")</f>
        <v>0</v>
      </c>
      <c r="I43" s="51">
        <f>COUNTIF('PF144'!U10:U153,"SCB5_RTS (0)")</f>
        <v>0</v>
      </c>
      <c r="J43" s="51">
        <f>COUNTIF('PF144'!U10:U153,"SCB6_RTS (0)")</f>
        <v>0</v>
      </c>
      <c r="K43" s="51">
        <f>COUNTIF('PF144'!U10:U153,"SCB7_RTS (0)")</f>
        <v>0</v>
      </c>
    </row>
    <row r="44" spans="2:11" x14ac:dyDescent="0.55000000000000004">
      <c r="B44" s="147"/>
      <c r="C44" s="49" t="s">
        <v>787</v>
      </c>
      <c r="D44" s="56">
        <f>COUNTIF('PF144'!U10:U153,"SCB0_RTS (1)")</f>
        <v>0</v>
      </c>
      <c r="E44" s="51">
        <f>COUNTIF('PF144'!U10:U153,"SCB1_RTS (1)")</f>
        <v>0</v>
      </c>
      <c r="F44" s="51">
        <f>COUNTIF('PF144'!U10:U153,"SCB2_RTS (1)")</f>
        <v>0</v>
      </c>
      <c r="G44" s="51">
        <f>COUNTIF('PF144'!U10:U153,"SCB3_RTS (1)")</f>
        <v>0</v>
      </c>
      <c r="H44" s="51">
        <f>COUNTIF('PF144'!U10:U153,"SCB4_RTS (1)")</f>
        <v>0</v>
      </c>
      <c r="I44" s="51">
        <f>COUNTIF('PF144'!U10:U153,"SCB5_RTS (1)")</f>
        <v>0</v>
      </c>
      <c r="J44" s="51">
        <f>COUNTIF('PF144'!U10:U153,"SCB6_RTS (1)")</f>
        <v>0</v>
      </c>
      <c r="K44" s="51">
        <f>COUNTIF('PF144'!U10:U153,"SCB7_RTS (1)")</f>
        <v>0</v>
      </c>
    </row>
    <row r="45" spans="2:11" ht="10" customHeight="1" x14ac:dyDescent="0.55000000000000004">
      <c r="B45" s="147" t="s">
        <v>427</v>
      </c>
      <c r="C45" s="57" t="s">
        <v>790</v>
      </c>
      <c r="D45" s="50">
        <f>COUNTIF('PF144'!U10:U153,"SCB0_SDA (0)")</f>
        <v>0</v>
      </c>
      <c r="E45" s="51">
        <f>COUNTIF('PF144'!U10:U153,"SCB1_SDA (0)")</f>
        <v>0</v>
      </c>
      <c r="F45" s="51">
        <f>COUNTIF('PF144'!U10:U153,"SCB2_SDA (0)")</f>
        <v>0</v>
      </c>
      <c r="G45" s="51">
        <f>COUNTIF('PF144'!U10:U153,"SCB3_SDA (0)")</f>
        <v>0</v>
      </c>
      <c r="H45" s="51">
        <f>COUNTIF('PF144'!U10:U153,"SCB4_SDA (0)")</f>
        <v>0</v>
      </c>
      <c r="I45" s="55">
        <f>COUNTIF('PF144'!U10:U153,"SCB5_SDA (0)")</f>
        <v>0</v>
      </c>
      <c r="J45" s="55">
        <f>COUNTIF('PF144'!U10:U153,"SCB6_SDA (0)")</f>
        <v>0</v>
      </c>
      <c r="K45" s="55">
        <f>COUNTIF('PF144'!U10:U153,"SCB7_SDA (0)")</f>
        <v>0</v>
      </c>
    </row>
    <row r="46" spans="2:11" x14ac:dyDescent="0.55000000000000004">
      <c r="B46" s="147"/>
      <c r="C46" s="57" t="s">
        <v>791</v>
      </c>
      <c r="D46" s="50">
        <f>COUNTIF('PF144'!U10:U153,"SCB0_SDA (1)")</f>
        <v>0</v>
      </c>
      <c r="E46" s="51">
        <f>COUNTIF('PF144'!U10:U153,"SCB1_SDA (1)")</f>
        <v>0</v>
      </c>
      <c r="F46" s="51">
        <f>COUNTIF('PF144'!U10:U153,"SCB2_SDA (1)")</f>
        <v>0</v>
      </c>
      <c r="G46" s="51">
        <f>COUNTIF('PF144'!U10:U153,"SCB3_SDA (1)")</f>
        <v>0</v>
      </c>
      <c r="H46" s="51">
        <f>COUNTIF('PF144'!U10:U153,"SCB4_SDA (1)")</f>
        <v>0</v>
      </c>
      <c r="I46" s="55">
        <f>COUNTIF('PF144'!U10:U153,"SCB5_SDA (1)")</f>
        <v>0</v>
      </c>
      <c r="J46" s="55">
        <f>COUNTIF('PF144'!U10:U153,"SCB6_SDA (1)")</f>
        <v>0</v>
      </c>
      <c r="K46" s="55">
        <f>COUNTIF('PF144'!U10:U153,"SCB7_SDA (1)")</f>
        <v>0</v>
      </c>
    </row>
    <row r="47" spans="2:11" x14ac:dyDescent="0.55000000000000004">
      <c r="B47" s="147"/>
      <c r="C47" s="57" t="s">
        <v>792</v>
      </c>
      <c r="D47" s="50">
        <f>COUNTIF('PF144'!U10:U153,"SCB0_SDA (2)")</f>
        <v>0</v>
      </c>
      <c r="E47" s="51">
        <f>COUNTIF('PF144'!U10:U153,"SCB1_SDA (2)")</f>
        <v>0</v>
      </c>
      <c r="F47" s="51">
        <f>COUNTIF('PF144'!U10:U153,"SCB2_SDA (2)")</f>
        <v>0</v>
      </c>
      <c r="G47" s="51">
        <f>COUNTIF('PF144'!U10:U153,"SCB3_SDA (2)")</f>
        <v>0</v>
      </c>
      <c r="H47" s="51">
        <f>COUNTIF('PF144'!U10:U153,"SCB4_SDA (2)")</f>
        <v>0</v>
      </c>
      <c r="I47" s="55">
        <f>COUNTIF('PF144'!U10:U153,"SCB5_SDA (2)")</f>
        <v>0</v>
      </c>
      <c r="J47" s="55">
        <f>COUNTIF('PF144'!U10:U153,"SCB6_SDA (2)")</f>
        <v>0</v>
      </c>
      <c r="K47" s="55">
        <f>COUNTIF('PF144'!U10:U153,"SCB7_SDA (2)")</f>
        <v>0</v>
      </c>
    </row>
    <row r="48" spans="2:11" x14ac:dyDescent="0.55000000000000004">
      <c r="B48" s="147"/>
      <c r="C48" s="57" t="s">
        <v>793</v>
      </c>
      <c r="D48" s="50">
        <f>COUNTIF('PF144'!U10:U153,"SCB0_SCL (0)")</f>
        <v>0</v>
      </c>
      <c r="E48" s="51">
        <f>COUNTIF('PF144'!U10:U153,"SCB1_SCL (0)")</f>
        <v>0</v>
      </c>
      <c r="F48" s="51">
        <f>COUNTIF('PF144'!U10:U153,"SCB2_SCL (0)")</f>
        <v>0</v>
      </c>
      <c r="G48" s="51">
        <f>COUNTIF('PF144'!U10:U153,"SCB3_SCL (0)")</f>
        <v>0</v>
      </c>
      <c r="H48" s="51">
        <f>COUNTIF('PF144'!U10:U153,"SCB4_SCL (0)")</f>
        <v>0</v>
      </c>
      <c r="I48" s="55">
        <f>COUNTIF('PF144'!U10:U153,"SCB5_SCL (0)")</f>
        <v>0</v>
      </c>
      <c r="J48" s="55">
        <f>COUNTIF('PF144'!U10:U153,"SCB6_SCL (0)")</f>
        <v>0</v>
      </c>
      <c r="K48" s="55">
        <f>COUNTIF('PF144'!U10:U153,"SCB7_SCL (0)")</f>
        <v>0</v>
      </c>
    </row>
    <row r="49" spans="2:66" x14ac:dyDescent="0.55000000000000004">
      <c r="B49" s="147"/>
      <c r="C49" s="57" t="s">
        <v>794</v>
      </c>
      <c r="D49" s="50">
        <f>COUNTIF('PF144'!U10:U153,"SCB0_SCL (1)")</f>
        <v>0</v>
      </c>
      <c r="E49" s="51">
        <f>COUNTIF('PF144'!U10:U153,"SCB1_SCL (1)")</f>
        <v>0</v>
      </c>
      <c r="F49" s="51">
        <f>COUNTIF('PF144'!U10:U153,"SCB2_SCL (1)")</f>
        <v>0</v>
      </c>
      <c r="G49" s="51">
        <f>COUNTIF('PF144'!U10:U153,"SCB3_SCL (1)")</f>
        <v>0</v>
      </c>
      <c r="H49" s="51">
        <f>COUNTIF('PF144'!U10:U153,"SCB4_SCL (1)")</f>
        <v>0</v>
      </c>
      <c r="I49" s="55">
        <f>COUNTIF('PF144'!U10:U153,"SCB5_SCL (1)")</f>
        <v>0</v>
      </c>
      <c r="J49" s="55">
        <f>COUNTIF('PF144'!U10:U153,"SCB6_SCL (1)")</f>
        <v>0</v>
      </c>
      <c r="K49" s="55">
        <f>COUNTIF('PF144'!U10:U153,"SCB7_SCL (1)")</f>
        <v>0</v>
      </c>
    </row>
    <row r="50" spans="2:66" x14ac:dyDescent="0.55000000000000004">
      <c r="B50" s="147"/>
      <c r="C50" s="57" t="s">
        <v>795</v>
      </c>
      <c r="D50" s="50">
        <f>COUNTIF('PF144'!U10:U153,"SCB0_SCL (2)")</f>
        <v>0</v>
      </c>
      <c r="E50" s="51">
        <f>COUNTIF('PF144'!U10:U153,"SCB1_SCL (2)")</f>
        <v>0</v>
      </c>
      <c r="F50" s="51">
        <f>COUNTIF('PF144'!U10:U153,"SCB2_SCL (2)")</f>
        <v>0</v>
      </c>
      <c r="G50" s="51">
        <f>COUNTIF('PF144'!U10:U153,"SCB3_SCL (2)")</f>
        <v>0</v>
      </c>
      <c r="H50" s="51">
        <f>COUNTIF('PF144'!U10:U153,"SCB4_SCL (2)")</f>
        <v>0</v>
      </c>
      <c r="I50" s="55">
        <f>COUNTIF('PF144'!U10:U153,"SCB5_SCL (2)")</f>
        <v>0</v>
      </c>
      <c r="J50" s="55">
        <f>COUNTIF('PF144'!U10:U153,"SCB6_SCL (2)")</f>
        <v>0</v>
      </c>
      <c r="K50" s="55">
        <f>COUNTIF('PF144'!U10:U153,"SCB7_SCL (2)")</f>
        <v>0</v>
      </c>
    </row>
    <row r="52" spans="2:66" hidden="1" x14ac:dyDescent="0.55000000000000004">
      <c r="B52" s="58" t="s">
        <v>386</v>
      </c>
      <c r="C52" s="58" t="s">
        <v>831</v>
      </c>
      <c r="D52" s="59" t="s">
        <v>387</v>
      </c>
      <c r="E52" s="59" t="s">
        <v>388</v>
      </c>
      <c r="F52" s="59" t="s">
        <v>389</v>
      </c>
      <c r="G52" s="59" t="s">
        <v>390</v>
      </c>
      <c r="H52" s="59" t="s">
        <v>394</v>
      </c>
      <c r="I52" s="59" t="s">
        <v>393</v>
      </c>
      <c r="J52" s="59" t="s">
        <v>392</v>
      </c>
      <c r="K52" s="59" t="s">
        <v>391</v>
      </c>
    </row>
    <row r="53" spans="2:66" hidden="1" x14ac:dyDescent="0.55000000000000004">
      <c r="B53" s="60" t="s">
        <v>830</v>
      </c>
      <c r="C53" s="61">
        <v>0</v>
      </c>
      <c r="D53" s="61">
        <f>D23+D25+D27+D29+D31+D33+D35</f>
        <v>0</v>
      </c>
      <c r="E53" s="61">
        <f t="shared" ref="E53:K54" si="0">E23+E25+E27+E29+E31+E33+E35</f>
        <v>0</v>
      </c>
      <c r="F53" s="61">
        <f t="shared" si="0"/>
        <v>0</v>
      </c>
      <c r="G53" s="61">
        <f t="shared" si="0"/>
        <v>0</v>
      </c>
      <c r="H53" s="61">
        <f t="shared" si="0"/>
        <v>0</v>
      </c>
      <c r="I53" s="61">
        <f t="shared" si="0"/>
        <v>0</v>
      </c>
      <c r="J53" s="61">
        <f t="shared" si="0"/>
        <v>0</v>
      </c>
      <c r="K53" s="61">
        <f t="shared" si="0"/>
        <v>0</v>
      </c>
    </row>
    <row r="54" spans="2:66" hidden="1" x14ac:dyDescent="0.55000000000000004">
      <c r="B54" s="62"/>
      <c r="C54" s="61">
        <v>1</v>
      </c>
      <c r="D54" s="61">
        <f>D24+D26+D28+D30+D32+D34+D36</f>
        <v>0</v>
      </c>
      <c r="E54" s="61">
        <f t="shared" si="0"/>
        <v>0</v>
      </c>
      <c r="F54" s="61">
        <f t="shared" si="0"/>
        <v>0</v>
      </c>
      <c r="G54" s="61">
        <f t="shared" si="0"/>
        <v>0</v>
      </c>
      <c r="H54" s="61">
        <f t="shared" si="0"/>
        <v>0</v>
      </c>
      <c r="I54" s="61">
        <f t="shared" si="0"/>
        <v>0</v>
      </c>
      <c r="J54" s="61">
        <f t="shared" si="0"/>
        <v>0</v>
      </c>
      <c r="K54" s="61">
        <f t="shared" si="0"/>
        <v>0</v>
      </c>
    </row>
    <row r="55" spans="2:66" hidden="1" x14ac:dyDescent="0.55000000000000004">
      <c r="B55" s="60" t="s">
        <v>832</v>
      </c>
      <c r="C55" s="61">
        <v>0</v>
      </c>
      <c r="D55" s="61">
        <f>D37+D39+D41+D43</f>
        <v>0</v>
      </c>
      <c r="E55" s="61">
        <f t="shared" ref="E55:K56" si="1">E37+E39+E41+E43</f>
        <v>0</v>
      </c>
      <c r="F55" s="61">
        <f t="shared" si="1"/>
        <v>0</v>
      </c>
      <c r="G55" s="61">
        <f t="shared" si="1"/>
        <v>0</v>
      </c>
      <c r="H55" s="61">
        <f t="shared" si="1"/>
        <v>0</v>
      </c>
      <c r="I55" s="61">
        <f t="shared" si="1"/>
        <v>0</v>
      </c>
      <c r="J55" s="61">
        <f t="shared" si="1"/>
        <v>0</v>
      </c>
      <c r="K55" s="61">
        <f t="shared" si="1"/>
        <v>0</v>
      </c>
    </row>
    <row r="56" spans="2:66" hidden="1" x14ac:dyDescent="0.55000000000000004">
      <c r="B56" s="62"/>
      <c r="C56" s="61">
        <v>1</v>
      </c>
      <c r="D56" s="61">
        <f>D38+D40+D42+D44</f>
        <v>0</v>
      </c>
      <c r="E56" s="61">
        <f t="shared" si="1"/>
        <v>0</v>
      </c>
      <c r="F56" s="61">
        <f t="shared" si="1"/>
        <v>0</v>
      </c>
      <c r="G56" s="61">
        <f t="shared" si="1"/>
        <v>0</v>
      </c>
      <c r="H56" s="61">
        <f t="shared" si="1"/>
        <v>0</v>
      </c>
      <c r="I56" s="61">
        <f t="shared" si="1"/>
        <v>0</v>
      </c>
      <c r="J56" s="61">
        <f t="shared" si="1"/>
        <v>0</v>
      </c>
      <c r="K56" s="61">
        <f t="shared" si="1"/>
        <v>0</v>
      </c>
    </row>
    <row r="57" spans="2:66" hidden="1" x14ac:dyDescent="0.55000000000000004">
      <c r="B57" s="60" t="s">
        <v>833</v>
      </c>
      <c r="C57" s="61">
        <v>0</v>
      </c>
      <c r="D57" s="61">
        <f>D45+D48</f>
        <v>0</v>
      </c>
      <c r="E57" s="61">
        <f>E45+E48</f>
        <v>0</v>
      </c>
      <c r="F57" s="61">
        <f>F45+F48</f>
        <v>0</v>
      </c>
      <c r="G57" s="61">
        <f t="shared" ref="G57:K57" si="2">G45+G48</f>
        <v>0</v>
      </c>
      <c r="H57" s="61">
        <f t="shared" si="2"/>
        <v>0</v>
      </c>
      <c r="I57" s="61">
        <f t="shared" si="2"/>
        <v>0</v>
      </c>
      <c r="J57" s="61">
        <f t="shared" si="2"/>
        <v>0</v>
      </c>
      <c r="K57" s="61">
        <f t="shared" si="2"/>
        <v>0</v>
      </c>
    </row>
    <row r="58" spans="2:66" hidden="1" x14ac:dyDescent="0.55000000000000004">
      <c r="B58" s="63"/>
      <c r="C58" s="61">
        <v>1</v>
      </c>
      <c r="D58" s="61">
        <f>D46+D49</f>
        <v>0</v>
      </c>
      <c r="E58" s="61">
        <f t="shared" ref="E58:K59" si="3">E46+E49</f>
        <v>0</v>
      </c>
      <c r="F58" s="61">
        <f t="shared" si="3"/>
        <v>0</v>
      </c>
      <c r="G58" s="61">
        <f t="shared" si="3"/>
        <v>0</v>
      </c>
      <c r="H58" s="61">
        <f t="shared" si="3"/>
        <v>0</v>
      </c>
      <c r="I58" s="61">
        <f t="shared" si="3"/>
        <v>0</v>
      </c>
      <c r="J58" s="61">
        <f t="shared" si="3"/>
        <v>0</v>
      </c>
      <c r="K58" s="61">
        <f t="shared" si="3"/>
        <v>0</v>
      </c>
    </row>
    <row r="59" spans="2:66" hidden="1" x14ac:dyDescent="0.55000000000000004">
      <c r="B59" s="62"/>
      <c r="C59" s="61">
        <v>2</v>
      </c>
      <c r="D59" s="61">
        <f>D47+D50</f>
        <v>0</v>
      </c>
      <c r="E59" s="61">
        <f t="shared" si="3"/>
        <v>0</v>
      </c>
      <c r="F59" s="61">
        <f t="shared" si="3"/>
        <v>0</v>
      </c>
      <c r="G59" s="61">
        <f t="shared" si="3"/>
        <v>0</v>
      </c>
      <c r="H59" s="61">
        <f t="shared" si="3"/>
        <v>0</v>
      </c>
      <c r="I59" s="61">
        <f t="shared" si="3"/>
        <v>0</v>
      </c>
      <c r="J59" s="61">
        <f t="shared" si="3"/>
        <v>0</v>
      </c>
      <c r="K59" s="61">
        <f t="shared" si="3"/>
        <v>0</v>
      </c>
    </row>
    <row r="60" spans="2:66" hidden="1" x14ac:dyDescent="0.55000000000000004">
      <c r="B60" s="64" t="s">
        <v>834</v>
      </c>
      <c r="C60" s="65"/>
      <c r="D60" s="58">
        <f t="shared" ref="D60:K60" si="4">COUNTIF(D53:D59, "&lt;&gt;0")</f>
        <v>0</v>
      </c>
      <c r="E60" s="58">
        <f t="shared" si="4"/>
        <v>0</v>
      </c>
      <c r="F60" s="58">
        <f t="shared" si="4"/>
        <v>0</v>
      </c>
      <c r="G60" s="58">
        <f t="shared" si="4"/>
        <v>0</v>
      </c>
      <c r="H60" s="58">
        <f t="shared" si="4"/>
        <v>0</v>
      </c>
      <c r="I60" s="58">
        <f t="shared" si="4"/>
        <v>0</v>
      </c>
      <c r="J60" s="58">
        <f t="shared" si="4"/>
        <v>0</v>
      </c>
      <c r="K60" s="58">
        <f t="shared" si="4"/>
        <v>0</v>
      </c>
    </row>
    <row r="62" spans="2:66" x14ac:dyDescent="0.55000000000000004">
      <c r="B62" s="141" t="s">
        <v>442</v>
      </c>
      <c r="C62" s="142"/>
      <c r="D62" s="42" t="s">
        <v>431</v>
      </c>
      <c r="E62" s="42" t="s">
        <v>432</v>
      </c>
      <c r="F62" s="42" t="s">
        <v>433</v>
      </c>
      <c r="G62" s="42" t="s">
        <v>434</v>
      </c>
      <c r="H62" s="42" t="s">
        <v>436</v>
      </c>
      <c r="I62" s="42" t="s">
        <v>437</v>
      </c>
      <c r="J62" s="42" t="s">
        <v>438</v>
      </c>
      <c r="K62" s="42" t="s">
        <v>439</v>
      </c>
      <c r="L62" s="42" t="s">
        <v>440</v>
      </c>
      <c r="M62" s="42" t="s">
        <v>441</v>
      </c>
      <c r="N62" s="42" t="s">
        <v>443</v>
      </c>
      <c r="O62" s="42" t="s">
        <v>444</v>
      </c>
      <c r="P62" s="42" t="s">
        <v>447</v>
      </c>
      <c r="Q62" s="42" t="s">
        <v>448</v>
      </c>
      <c r="R62" s="42" t="s">
        <v>449</v>
      </c>
      <c r="S62" s="42" t="s">
        <v>450</v>
      </c>
      <c r="T62" s="42" t="s">
        <v>451</v>
      </c>
      <c r="U62" s="42" t="s">
        <v>452</v>
      </c>
      <c r="V62" s="42" t="s">
        <v>453</v>
      </c>
      <c r="W62" s="42" t="s">
        <v>454</v>
      </c>
      <c r="X62" s="42" t="s">
        <v>455</v>
      </c>
      <c r="Y62" s="42" t="s">
        <v>456</v>
      </c>
      <c r="Z62" s="42" t="s">
        <v>457</v>
      </c>
      <c r="AA62" s="42" t="s">
        <v>458</v>
      </c>
      <c r="AB62" s="42" t="s">
        <v>459</v>
      </c>
      <c r="AC62" s="42" t="s">
        <v>460</v>
      </c>
      <c r="AD62" s="42" t="s">
        <v>461</v>
      </c>
      <c r="AE62" s="42" t="s">
        <v>462</v>
      </c>
      <c r="AF62" s="42" t="s">
        <v>463</v>
      </c>
      <c r="AG62" s="42" t="s">
        <v>464</v>
      </c>
      <c r="AH62" s="42" t="s">
        <v>465</v>
      </c>
      <c r="AI62" s="42" t="s">
        <v>466</v>
      </c>
      <c r="AJ62" s="42" t="s">
        <v>467</v>
      </c>
      <c r="AK62" s="42" t="s">
        <v>468</v>
      </c>
      <c r="AL62" s="42" t="s">
        <v>469</v>
      </c>
      <c r="AM62" s="42" t="s">
        <v>470</v>
      </c>
      <c r="AN62" s="42" t="s">
        <v>471</v>
      </c>
      <c r="AO62" s="42" t="s">
        <v>472</v>
      </c>
      <c r="AP62" s="42" t="s">
        <v>473</v>
      </c>
      <c r="AQ62" s="42" t="s">
        <v>474</v>
      </c>
      <c r="AR62" s="42" t="s">
        <v>475</v>
      </c>
      <c r="AS62" s="42" t="s">
        <v>476</v>
      </c>
      <c r="AT62" s="42" t="s">
        <v>477</v>
      </c>
      <c r="AU62" s="42" t="s">
        <v>478</v>
      </c>
      <c r="AV62" s="42" t="s">
        <v>479</v>
      </c>
      <c r="AW62" s="42" t="s">
        <v>480</v>
      </c>
      <c r="AX62" s="42" t="s">
        <v>481</v>
      </c>
      <c r="AY62" s="42" t="s">
        <v>482</v>
      </c>
      <c r="AZ62" s="42" t="s">
        <v>483</v>
      </c>
      <c r="BA62" s="42" t="s">
        <v>484</v>
      </c>
      <c r="BB62" s="42" t="s">
        <v>485</v>
      </c>
      <c r="BC62" s="42" t="s">
        <v>486</v>
      </c>
      <c r="BD62" s="42" t="s">
        <v>487</v>
      </c>
      <c r="BE62" s="42" t="s">
        <v>488</v>
      </c>
      <c r="BF62" s="42" t="s">
        <v>489</v>
      </c>
      <c r="BG62" s="42" t="s">
        <v>490</v>
      </c>
      <c r="BH62" s="42" t="s">
        <v>491</v>
      </c>
      <c r="BI62" s="42" t="s">
        <v>492</v>
      </c>
      <c r="BJ62" s="42" t="s">
        <v>493</v>
      </c>
      <c r="BK62" s="42" t="s">
        <v>494</v>
      </c>
      <c r="BL62" s="42" t="s">
        <v>495</v>
      </c>
      <c r="BM62" s="42" t="s">
        <v>496</v>
      </c>
      <c r="BN62" s="42" t="s">
        <v>497</v>
      </c>
    </row>
    <row r="63" spans="2:66" ht="10" customHeight="1" x14ac:dyDescent="0.55000000000000004">
      <c r="B63" s="139" t="s">
        <v>428</v>
      </c>
      <c r="C63" s="43" t="s">
        <v>421</v>
      </c>
      <c r="D63" s="43">
        <f>COUNTIF('PF144'!U10:U153,"PWM0_0")</f>
        <v>0</v>
      </c>
      <c r="E63" s="43">
        <f>COUNTIF('PF144'!U10:U153,"PWM0_1")</f>
        <v>0</v>
      </c>
      <c r="F63" s="43">
        <f>COUNTIF('PF144'!U10:U153,"PWM0_2")</f>
        <v>0</v>
      </c>
      <c r="G63" s="43">
        <f>COUNTIF('PF144'!U10:U153,"PWM0_3")</f>
        <v>0</v>
      </c>
      <c r="H63" s="43">
        <f>COUNTIF('PF144'!U10:U153,"PWM0_4")</f>
        <v>0</v>
      </c>
      <c r="I63" s="43">
        <f>COUNTIF('PF144'!U10:U153,"PWM0_5")</f>
        <v>0</v>
      </c>
      <c r="J63" s="43">
        <f>COUNTIF('PF144'!U10:U153,"PWM0_6")</f>
        <v>0</v>
      </c>
      <c r="K63" s="43">
        <f>COUNTIF('PF144'!U10:U153,"PWM0_7")</f>
        <v>0</v>
      </c>
      <c r="L63" s="43">
        <f>COUNTIF('PF144'!U10:U153,"PWM0_8")</f>
        <v>0</v>
      </c>
      <c r="M63" s="43">
        <f>COUNTIF('PF144'!U10:U153,"PWM0_9")</f>
        <v>0</v>
      </c>
      <c r="N63" s="43">
        <f>COUNTIF('PF144'!U10:U153,"PWM0_10")</f>
        <v>0</v>
      </c>
      <c r="O63" s="43">
        <f>COUNTIF('PF144'!U10:U153,"PWM0_11")</f>
        <v>0</v>
      </c>
      <c r="P63" s="43">
        <f>COUNTIF('PF144'!U10:U153,"PWM0_12")</f>
        <v>0</v>
      </c>
      <c r="Q63" s="43">
        <f>COUNTIF('PF144'!U10:U153,"PWM0_13")</f>
        <v>0</v>
      </c>
      <c r="R63" s="43">
        <f>COUNTIF('PF144'!U10:U153,"PWM0_14")</f>
        <v>0</v>
      </c>
      <c r="S63" s="43">
        <f>COUNTIF('PF144'!U10:U153,"PWM0_15")</f>
        <v>0</v>
      </c>
      <c r="T63" s="43">
        <f>COUNTIF('PF144'!U10:U153,"PWM0_16")</f>
        <v>0</v>
      </c>
      <c r="U63" s="43">
        <f>COUNTIF('PF144'!U10:U153,"PWM0_17")</f>
        <v>0</v>
      </c>
      <c r="V63" s="43">
        <f>COUNTIF('PF144'!U10:U153,"PWM0_18")</f>
        <v>0</v>
      </c>
      <c r="W63" s="43">
        <f>COUNTIF('PF144'!U10:U153,"PWM0_19")</f>
        <v>0</v>
      </c>
      <c r="X63" s="43">
        <f>COUNTIF('PF144'!U10:U153,"PWM0_20")</f>
        <v>0</v>
      </c>
      <c r="Y63" s="43">
        <f>COUNTIF('PF144'!U10:U153,"PWM0_21")</f>
        <v>0</v>
      </c>
      <c r="Z63" s="43">
        <f>COUNTIF('PF144'!U10:U153,"PWM0_22")</f>
        <v>0</v>
      </c>
      <c r="AA63" s="43">
        <f>COUNTIF('PF144'!U10:U153,"PWM0_23")</f>
        <v>0</v>
      </c>
      <c r="AB63" s="43">
        <f>COUNTIF('PF144'!U10:U153,"PWM0_24")</f>
        <v>0</v>
      </c>
      <c r="AC63" s="43">
        <f>COUNTIF('PF144'!U10:U153,"PWM0_25")</f>
        <v>0</v>
      </c>
      <c r="AD63" s="43">
        <f>COUNTIF('PF144'!U10:U153,"PWM0_26")</f>
        <v>0</v>
      </c>
      <c r="AE63" s="43">
        <f>COUNTIF('PF144'!U10:U153,"PWM0_27")</f>
        <v>0</v>
      </c>
      <c r="AF63" s="43">
        <f>COUNTIF('PF144'!U10:U153,"PWM0_28")</f>
        <v>0</v>
      </c>
      <c r="AG63" s="43">
        <f>COUNTIF('PF144'!U10:U153,"PWM0_29")</f>
        <v>0</v>
      </c>
      <c r="AH63" s="43">
        <f>COUNTIF('PF144'!U10:U153,"PWM0_30")</f>
        <v>0</v>
      </c>
      <c r="AI63" s="43">
        <f>COUNTIF('PF144'!U10:U153,"PWM0_31")</f>
        <v>0</v>
      </c>
      <c r="AJ63" s="43">
        <f>COUNTIF('PF144'!U10:U153,"PWM0_32")</f>
        <v>0</v>
      </c>
      <c r="AK63" s="43">
        <f>COUNTIF('PF144'!U10:U153,"PWM0_33")</f>
        <v>0</v>
      </c>
      <c r="AL63" s="43">
        <f>COUNTIF('PF144'!U10:U153,"PWM0_34")</f>
        <v>0</v>
      </c>
      <c r="AM63" s="43">
        <f>COUNTIF('PF144'!U10:U153,"PWM0_35")</f>
        <v>0</v>
      </c>
      <c r="AN63" s="43">
        <f>COUNTIF('PF144'!U10:U153,"PWM0_36")</f>
        <v>0</v>
      </c>
      <c r="AO63" s="43">
        <f>COUNTIF('PF144'!U10:U153,"PWM0_37")</f>
        <v>0</v>
      </c>
      <c r="AP63" s="43">
        <f>COUNTIF('PF144'!U10:U153,"PWM0_38")</f>
        <v>0</v>
      </c>
      <c r="AQ63" s="43">
        <f>COUNTIF('PF144'!U10:U153,"PWM0_39")</f>
        <v>0</v>
      </c>
      <c r="AR63" s="43">
        <f>COUNTIF('PF144'!U10:U153,"PWM0_40")</f>
        <v>0</v>
      </c>
      <c r="AS63" s="43">
        <f>COUNTIF('PF144'!U10:U153,"PWM0_41")</f>
        <v>0</v>
      </c>
      <c r="AT63" s="43">
        <f>COUNTIF('PF144'!U10:U153,"PWM0_42")</f>
        <v>0</v>
      </c>
      <c r="AU63" s="43">
        <f>COUNTIF('PF144'!U10:U153,"PWM0_43")</f>
        <v>0</v>
      </c>
      <c r="AV63" s="43">
        <f>COUNTIF('PF144'!U10:U153,"PWM0_44")</f>
        <v>0</v>
      </c>
      <c r="AW63" s="43">
        <f>COUNTIF('PF144'!U10:U153,"PWM0_45")</f>
        <v>0</v>
      </c>
      <c r="AX63" s="43">
        <f>COUNTIF('PF144'!U10:U153,"PWM0_46")</f>
        <v>0</v>
      </c>
      <c r="AY63" s="43">
        <f>COUNTIF('PF144'!U10:U153,"PWM0_47")</f>
        <v>0</v>
      </c>
      <c r="AZ63" s="43">
        <f>COUNTIF('PF144'!U10:U153,"PWM0_48")</f>
        <v>0</v>
      </c>
      <c r="BA63" s="43">
        <f>COUNTIF('PF144'!U10:U153,"PWM0_49")</f>
        <v>0</v>
      </c>
      <c r="BB63" s="43">
        <f>COUNTIF('PF144'!U10:U153,"PWM0_50")</f>
        <v>0</v>
      </c>
      <c r="BC63" s="43">
        <f>COUNTIF('PF144'!U10:U153,"PWM0_51")</f>
        <v>0</v>
      </c>
      <c r="BD63" s="43">
        <f>COUNTIF('PF144'!U10:U153,"PWM0_52")</f>
        <v>0</v>
      </c>
      <c r="BE63" s="43">
        <f>COUNTIF('PF144'!U10:U153,"PWM0_53")</f>
        <v>0</v>
      </c>
      <c r="BF63" s="43">
        <f>COUNTIF('PF144'!U10:U153,"PWM0_54")</f>
        <v>0</v>
      </c>
      <c r="BG63" s="43">
        <f>COUNTIF('PF144'!U10:U153,"PWM0_55")</f>
        <v>0</v>
      </c>
      <c r="BH63" s="43">
        <f>COUNTIF('PF144'!U10:U153,"PWM0_56")</f>
        <v>0</v>
      </c>
      <c r="BI63" s="43">
        <f>COUNTIF('PF144'!U10:U153,"PWM0_57")</f>
        <v>0</v>
      </c>
      <c r="BJ63" s="43">
        <f>COUNTIF('PF144'!U10:U153,"PWM0_58")</f>
        <v>0</v>
      </c>
      <c r="BK63" s="43">
        <f>COUNTIF('PF144'!U10:U153,"PWM0_59")</f>
        <v>0</v>
      </c>
      <c r="BL63" s="43">
        <f>COUNTIF('PF144'!U10:U153,"PWM0_60")</f>
        <v>0</v>
      </c>
      <c r="BM63" s="43">
        <f>COUNTIF('PF144'!U10:U153,"PWM0_61")</f>
        <v>0</v>
      </c>
      <c r="BN63" s="43">
        <f>COUNTIF('PF144'!U10:U153,"PWM_62")</f>
        <v>0</v>
      </c>
    </row>
    <row r="64" spans="2:66" x14ac:dyDescent="0.55000000000000004">
      <c r="B64" s="140"/>
      <c r="C64" s="43" t="s">
        <v>424</v>
      </c>
      <c r="D64" s="43">
        <f>COUNTIF('PF144'!U10:U153,"PWM0_0_N")</f>
        <v>0</v>
      </c>
      <c r="E64" s="43">
        <f>COUNTIF('PF144'!U10:U153,"PWM0_1_N")</f>
        <v>0</v>
      </c>
      <c r="F64" s="43">
        <f>COUNTIF('PF144'!U10:U153,"PWM0_2_N")</f>
        <v>0</v>
      </c>
      <c r="G64" s="43">
        <f>COUNTIF('PF144'!U10:U153,"PWM0_3_N")</f>
        <v>0</v>
      </c>
      <c r="H64" s="43">
        <f>COUNTIF('PF144'!U10:U153,"PWM0_4_N")</f>
        <v>0</v>
      </c>
      <c r="I64" s="43">
        <f>COUNTIF('PF144'!U10:U153,"PWM0_5_N")</f>
        <v>0</v>
      </c>
      <c r="J64" s="43">
        <f>COUNTIF('PF144'!U10:U153,"PWM0_6_N")</f>
        <v>0</v>
      </c>
      <c r="K64" s="43">
        <f>COUNTIF('PF144'!U10:U153,"PWM0_7_N")</f>
        <v>0</v>
      </c>
      <c r="L64" s="43">
        <f>COUNTIF('PF144'!U10:U153,"PWM0_8_N")</f>
        <v>0</v>
      </c>
      <c r="M64" s="43">
        <f>COUNTIF('PF144'!U10:U153,"PWM0_9_N")</f>
        <v>0</v>
      </c>
      <c r="N64" s="43">
        <f>COUNTIF('PF144'!U10:U153,"PWM0_10_N")</f>
        <v>0</v>
      </c>
      <c r="O64" s="43">
        <f>COUNTIF('PF144'!U10:U153,"PWM0_11_N")</f>
        <v>0</v>
      </c>
      <c r="P64" s="43">
        <f>COUNTIF('PF144'!U10:U153,"PWM0_12_N")</f>
        <v>0</v>
      </c>
      <c r="Q64" s="43">
        <f>COUNTIF('PF144'!U10:U153,"PWM0_13_N")</f>
        <v>0</v>
      </c>
      <c r="R64" s="43">
        <f>COUNTIF('PF144'!U10:U153,"PWM0_14_N")</f>
        <v>0</v>
      </c>
      <c r="S64" s="43">
        <f>COUNTIF('PF144'!U10:U153,"PWM0_15_N")</f>
        <v>0</v>
      </c>
      <c r="T64" s="43">
        <f>COUNTIF('PF144'!U10:U153,"PWM0_16_N")</f>
        <v>0</v>
      </c>
      <c r="U64" s="43">
        <f>COUNTIF('PF144'!U10:U153,"PWM0_17_N")</f>
        <v>0</v>
      </c>
      <c r="V64" s="43">
        <f>COUNTIF('PF144'!U10:U153,"PWM0_18_N")</f>
        <v>0</v>
      </c>
      <c r="W64" s="43">
        <f>COUNTIF('PF144'!U10:U153,"PWM0_19_N")</f>
        <v>0</v>
      </c>
      <c r="X64" s="43">
        <f>COUNTIF('PF144'!U10:U153,"PWM0_20_N")</f>
        <v>0</v>
      </c>
      <c r="Y64" s="43">
        <f>COUNTIF('PF144'!U10:U153,"PWM0_21_N")</f>
        <v>0</v>
      </c>
      <c r="Z64" s="43">
        <f>COUNTIF('PF144'!U10:U153,"PWM0_22_N")</f>
        <v>0</v>
      </c>
      <c r="AA64" s="43">
        <f>COUNTIF('PF144'!U10:U153,"PWM0_23_N")</f>
        <v>0</v>
      </c>
      <c r="AB64" s="43">
        <f>COUNTIF('PF144'!U10:U153,"PWM0_24_N")</f>
        <v>0</v>
      </c>
      <c r="AC64" s="43">
        <f>COUNTIF('PF144'!U10:U153,"PWM0_25_N")</f>
        <v>0</v>
      </c>
      <c r="AD64" s="43">
        <f>COUNTIF('PF144'!U10:U153,"PWM0_26_N")</f>
        <v>0</v>
      </c>
      <c r="AE64" s="43">
        <f>COUNTIF('PF144'!U10:U153,"PWM0_27_N")</f>
        <v>0</v>
      </c>
      <c r="AF64" s="43">
        <f>COUNTIF('PF144'!U10:U153,"PWM0_28_N")</f>
        <v>0</v>
      </c>
      <c r="AG64" s="43">
        <f>COUNTIF('PF144'!U10:U153,"PWM0_29_N")</f>
        <v>0</v>
      </c>
      <c r="AH64" s="43">
        <f>COUNTIF('PF144'!U10:U153,"PWM0_30_N")</f>
        <v>0</v>
      </c>
      <c r="AI64" s="43">
        <f>COUNTIF('PF144'!U10:U153,"PWM0_31_N")</f>
        <v>0</v>
      </c>
      <c r="AJ64" s="43">
        <f>COUNTIF('PF144'!U10:U153,"PWM0_32_N")</f>
        <v>0</v>
      </c>
      <c r="AK64" s="43">
        <f>COUNTIF('PF144'!U10:U153,"PWM0_33_N")</f>
        <v>0</v>
      </c>
      <c r="AL64" s="43">
        <f>COUNTIF('PF144'!U10:U153,"PWM0_34_N")</f>
        <v>0</v>
      </c>
      <c r="AM64" s="43">
        <f>COUNTIF('PF144'!U10:U153,"PWM0_35_N")</f>
        <v>0</v>
      </c>
      <c r="AN64" s="43">
        <f>COUNTIF('PF144'!U10:U153,"PWM0_36_N")</f>
        <v>0</v>
      </c>
      <c r="AO64" s="43">
        <f>COUNTIF('PF144'!U10:U153,"PWM0_37_N")</f>
        <v>0</v>
      </c>
      <c r="AP64" s="43">
        <f>COUNTIF('PF144'!U10:U153,"PWM0_38_N")</f>
        <v>0</v>
      </c>
      <c r="AQ64" s="43">
        <f>COUNTIF('PF144'!U10:U153,"PWM0_39_N")</f>
        <v>0</v>
      </c>
      <c r="AR64" s="43">
        <f>COUNTIF('PF144'!U10:U153,"PWM0_40_N")</f>
        <v>0</v>
      </c>
      <c r="AS64" s="43">
        <f>COUNTIF('PF144'!U10:U153,"PWM0_41_N")</f>
        <v>0</v>
      </c>
      <c r="AT64" s="43">
        <f>COUNTIF('PF144'!U10:U153,"PWM0_42_N")</f>
        <v>0</v>
      </c>
      <c r="AU64" s="43">
        <f>COUNTIF('PF144'!U10:U153,"PWM0_43_N")</f>
        <v>0</v>
      </c>
      <c r="AV64" s="43">
        <f>COUNTIF('PF144'!U10:U153,"PWM0_44_N")</f>
        <v>0</v>
      </c>
      <c r="AW64" s="43">
        <f>COUNTIF('PF144'!U10:U153,"PWM0_45_N")</f>
        <v>0</v>
      </c>
      <c r="AX64" s="43">
        <f>COUNTIF('PF144'!U10:U153,"PWM0_46_N")</f>
        <v>0</v>
      </c>
      <c r="AY64" s="43">
        <f>COUNTIF('PF144'!U10:U153,"PWM0_47_N")</f>
        <v>0</v>
      </c>
      <c r="AZ64" s="43">
        <f>COUNTIF('PF144'!U10:U153,"PWM0_48_N")</f>
        <v>0</v>
      </c>
      <c r="BA64" s="43">
        <f>COUNTIF('PF144'!U10:U153,"PWM0_49_N")</f>
        <v>0</v>
      </c>
      <c r="BB64" s="43">
        <f>COUNTIF('PF144'!U10:U153,"PWM0_50_N")</f>
        <v>0</v>
      </c>
      <c r="BC64" s="43">
        <f>COUNTIF('PF144'!U10:U153,"PWM0_51_N")</f>
        <v>0</v>
      </c>
      <c r="BD64" s="43">
        <f>COUNTIF('PF144'!U10:U153,"PWM0_52_N")</f>
        <v>0</v>
      </c>
      <c r="BE64" s="43">
        <f>COUNTIF('PF144'!U10:U153,"PWM0_53_N")</f>
        <v>0</v>
      </c>
      <c r="BF64" s="43">
        <f>COUNTIF('PF144'!U10:U153,"PWM0_54_N")</f>
        <v>0</v>
      </c>
      <c r="BG64" s="43">
        <f>COUNTIF('PF144'!U10:U153,"PWM0_55_N")</f>
        <v>0</v>
      </c>
      <c r="BH64" s="43">
        <f>COUNTIF('PF144'!U10:U153,"PWM0_56_N")</f>
        <v>0</v>
      </c>
      <c r="BI64" s="43">
        <f>COUNTIF('PF144'!U10:U153,"PWM0_57_N")</f>
        <v>0</v>
      </c>
      <c r="BJ64" s="43">
        <f>COUNTIF('PF144'!U10:U153,"PWM0_58_N")</f>
        <v>0</v>
      </c>
      <c r="BK64" s="43">
        <f>COUNTIF('PF144'!U10:U153,"PWM0_59_N")</f>
        <v>0</v>
      </c>
      <c r="BL64" s="43">
        <f>COUNTIF('PF144'!U10:U153,"PWM0_60_N")</f>
        <v>0</v>
      </c>
      <c r="BM64" s="43">
        <f>COUNTIF('PF144'!U10:U153,"PWM0_61_N")</f>
        <v>0</v>
      </c>
      <c r="BN64" s="43">
        <f>COUNTIF('PF144'!U10:U153,"PWM0_62_N")</f>
        <v>0</v>
      </c>
    </row>
    <row r="65" spans="2:66" x14ac:dyDescent="0.55000000000000004">
      <c r="B65" s="139" t="s">
        <v>429</v>
      </c>
      <c r="C65" s="43" t="s">
        <v>422</v>
      </c>
      <c r="D65" s="43">
        <f>COUNTIF('PF144'!U10:U153,"TC0_0_TR0")</f>
        <v>0</v>
      </c>
      <c r="E65" s="43">
        <f>COUNTIF('PF144'!U10:U153,"TC0_1_TR0")</f>
        <v>0</v>
      </c>
      <c r="F65" s="43">
        <f>COUNTIF('PF144'!U10:U153,"TC0_2_TR0")</f>
        <v>0</v>
      </c>
      <c r="G65" s="43">
        <f>COUNTIF('PF144'!U10:U153,"TC0_3_TR0")</f>
        <v>0</v>
      </c>
      <c r="H65" s="43">
        <f>COUNTIF('PF144'!U10:U153,"TC0_4_TR0")</f>
        <v>0</v>
      </c>
      <c r="I65" s="43">
        <f>COUNTIF('PF144'!U10:U153,"TC0_5_TR0")</f>
        <v>0</v>
      </c>
      <c r="J65" s="43">
        <f>COUNTIF('PF144'!U10:U153,"TC0_6_TR0")</f>
        <v>0</v>
      </c>
      <c r="K65" s="43">
        <f>COUNTIF('PF144'!U10:U153,"TC0_7_TR0")</f>
        <v>0</v>
      </c>
      <c r="L65" s="43">
        <f>COUNTIF('PF144'!U10:U153,"TC0_8_TR0")</f>
        <v>0</v>
      </c>
      <c r="M65" s="43">
        <f>COUNTIF('PF144'!U10:U153,"TC0_9_TR0")</f>
        <v>0</v>
      </c>
      <c r="N65" s="43">
        <f>COUNTIF('PF144'!U10:U153,"TC0_10_TR0")</f>
        <v>0</v>
      </c>
      <c r="O65" s="43">
        <f>COUNTIF('PF144'!U10:U153,"TC0_11_TR0")</f>
        <v>0</v>
      </c>
      <c r="P65" s="43">
        <f>COUNTIF('PF144'!U10:U153,"TC0_12_TR0")</f>
        <v>0</v>
      </c>
      <c r="Q65" s="43">
        <f>COUNTIF('PF144'!U10:U153,"TC0_13_TR0")</f>
        <v>0</v>
      </c>
      <c r="R65" s="43">
        <f>COUNTIF('PF144'!U10:U153,"TC0_14_TR0")</f>
        <v>0</v>
      </c>
      <c r="S65" s="43">
        <f>COUNTIF('PF144'!U10:U153,"TC0_15_TR0")</f>
        <v>0</v>
      </c>
      <c r="T65" s="43">
        <f>COUNTIF('PF144'!U10:U153,"TC0_16_TR0")</f>
        <v>0</v>
      </c>
      <c r="U65" s="43">
        <f>COUNTIF('PF144'!U10:U153,"TC0_17_TR0")</f>
        <v>0</v>
      </c>
      <c r="V65" s="43">
        <f>COUNTIF('PF144'!U10:U153,"TC0_18_TR0")</f>
        <v>0</v>
      </c>
      <c r="W65" s="43">
        <f>COUNTIF('PF144'!U10:U153,"TC0_19_TR0")</f>
        <v>0</v>
      </c>
      <c r="X65" s="43">
        <f>COUNTIF('PF144'!U10:U153,"TC0_20_TR0")</f>
        <v>0</v>
      </c>
      <c r="Y65" s="43">
        <f>COUNTIF('PF144'!U10:U153,"TC0_21_TR0")</f>
        <v>0</v>
      </c>
      <c r="Z65" s="43">
        <f>COUNTIF('PF144'!U10:U153,"TC0_22_TR0")</f>
        <v>0</v>
      </c>
      <c r="AA65" s="43">
        <f>COUNTIF('PF144'!U10:U153,"TC0_23_TR0")</f>
        <v>0</v>
      </c>
      <c r="AB65" s="43">
        <f>COUNTIF('PF144'!U10:U153,"TC0_24_TR0")</f>
        <v>0</v>
      </c>
      <c r="AC65" s="43">
        <f>COUNTIF('PF144'!U10:U153,"TC0_25_TR0")</f>
        <v>0</v>
      </c>
      <c r="AD65" s="43">
        <f>COUNTIF('PF144'!U10:U153,"TC0_26_TR0")</f>
        <v>0</v>
      </c>
      <c r="AE65" s="43">
        <f>COUNTIF('PF144'!U10:U153,"TC0_27_TR0")</f>
        <v>0</v>
      </c>
      <c r="AF65" s="43">
        <f>COUNTIF('PF144'!U10:U153,"TC0_28_TR0")</f>
        <v>0</v>
      </c>
      <c r="AG65" s="43">
        <f>COUNTIF('PF144'!U10:U153,"TC0_29_TR0")</f>
        <v>0</v>
      </c>
      <c r="AH65" s="43">
        <f>COUNTIF('PF144'!U10:U153,"TC0_30_TR0")</f>
        <v>0</v>
      </c>
      <c r="AI65" s="43">
        <f>COUNTIF('PF144'!U10:U153,"TC0_31_TR0")</f>
        <v>0</v>
      </c>
      <c r="AJ65" s="43">
        <f>COUNTIF('PF144'!U10:U153,"TC0_32_TR0")</f>
        <v>0</v>
      </c>
      <c r="AK65" s="43">
        <f>COUNTIF('PF144'!U10:U153,"TC0_33_TR0")</f>
        <v>0</v>
      </c>
      <c r="AL65" s="43">
        <f>COUNTIF('PF144'!U10:U153,"TC0_34_TR0")</f>
        <v>0</v>
      </c>
      <c r="AM65" s="43">
        <f>COUNTIF('PF144'!U10:U153,"TC0_35_TR0")</f>
        <v>0</v>
      </c>
      <c r="AN65" s="43">
        <f>COUNTIF('PF144'!U10:U153,"TC0_36_TR0")</f>
        <v>0</v>
      </c>
      <c r="AO65" s="43">
        <f>COUNTIF('PF144'!U10:U153,"TC0_37_TR0")</f>
        <v>0</v>
      </c>
      <c r="AP65" s="43">
        <f>COUNTIF('PF144'!U10:U153,"TC0_38_TR0")</f>
        <v>0</v>
      </c>
      <c r="AQ65" s="43">
        <f>COUNTIF('PF144'!U10:U153,"TC0_39_TR0")</f>
        <v>0</v>
      </c>
      <c r="AR65" s="43">
        <f>COUNTIF('PF144'!U10:U153,"TC0_40_TR0")</f>
        <v>0</v>
      </c>
      <c r="AS65" s="43">
        <f>COUNTIF('PF144'!U10:U153,"TC0_41_TR0")</f>
        <v>0</v>
      </c>
      <c r="AT65" s="43">
        <f>COUNTIF('PF144'!U10:U153,"TC0_42_TR0")</f>
        <v>0</v>
      </c>
      <c r="AU65" s="43">
        <f>COUNTIF('PF144'!U10:U153,"TC0_43_TR0")</f>
        <v>0</v>
      </c>
      <c r="AV65" s="43">
        <f>COUNTIF('PF144'!U10:U153,"TC0_44_TR0")</f>
        <v>0</v>
      </c>
      <c r="AW65" s="43">
        <f>COUNTIF('PF144'!U10:U153,"TC0_45_TR0")</f>
        <v>0</v>
      </c>
      <c r="AX65" s="43">
        <f>COUNTIF('PF144'!U10:U153,"TC0_46_TR0")</f>
        <v>0</v>
      </c>
      <c r="AY65" s="43">
        <f>COUNTIF('PF144'!U10:U153,"TC0_47_TR0")</f>
        <v>0</v>
      </c>
      <c r="AZ65" s="43">
        <f>COUNTIF('PF144'!U10:U153,"TC0_48_TR0")</f>
        <v>0</v>
      </c>
      <c r="BA65" s="43">
        <f>COUNTIF('PF144'!U10:U153,"TC0_49_TR0")</f>
        <v>0</v>
      </c>
      <c r="BB65" s="43">
        <f>COUNTIF('PF144'!U10:U153,"TC0_50_TR0")</f>
        <v>0</v>
      </c>
      <c r="BC65" s="43">
        <f>COUNTIF('PF144'!U10:U153,"TC0_51_TR0")</f>
        <v>0</v>
      </c>
      <c r="BD65" s="43">
        <f>COUNTIF('PF144'!U10:U153,"TC0_52_TR0")</f>
        <v>0</v>
      </c>
      <c r="BE65" s="43">
        <f>COUNTIF('PF144'!U10:U153,"TC0_53_TR0")</f>
        <v>0</v>
      </c>
      <c r="BF65" s="43">
        <f>COUNTIF('PF144'!U10:U153,"TC0_54_TR0")</f>
        <v>0</v>
      </c>
      <c r="BG65" s="43">
        <f>COUNTIF('PF144'!U10:U153,"TC0_55_TR0")</f>
        <v>0</v>
      </c>
      <c r="BH65" s="43">
        <f>COUNTIF('PF144'!U10:U153,"TC0_56_TR0")</f>
        <v>0</v>
      </c>
      <c r="BI65" s="43">
        <f>COUNTIF('PF144'!U10:U153,"TC0_57_TR0")</f>
        <v>0</v>
      </c>
      <c r="BJ65" s="43">
        <f>COUNTIF('PF144'!U10:U153,"TC0_58_TR0")</f>
        <v>0</v>
      </c>
      <c r="BK65" s="43">
        <f>COUNTIF('PF144'!U10:U153,"TC0_59_TR0")</f>
        <v>0</v>
      </c>
      <c r="BL65" s="43">
        <f>COUNTIF('PF144'!U10:U153,"TC0_60_TR0")</f>
        <v>0</v>
      </c>
      <c r="BM65" s="43">
        <f>COUNTIF('PF144'!U10:U153,"TC0_61_TR0")</f>
        <v>0</v>
      </c>
      <c r="BN65" s="43">
        <f>COUNTIF('PF144'!U10:U153,"TC0_62_TR0")</f>
        <v>0</v>
      </c>
    </row>
    <row r="66" spans="2:66" x14ac:dyDescent="0.55000000000000004">
      <c r="B66" s="140"/>
      <c r="C66" s="43" t="s">
        <v>423</v>
      </c>
      <c r="D66" s="43">
        <f>COUNTIF('PF144'!U10:U153,"TC0_0_TR1")</f>
        <v>0</v>
      </c>
      <c r="E66" s="43">
        <f>COUNTIF('PF144'!U10:U153,"TC0_1_TR1")</f>
        <v>0</v>
      </c>
      <c r="F66" s="43">
        <f>COUNTIF('PF144'!U10:U153,"TC0_2_TR1")</f>
        <v>0</v>
      </c>
      <c r="G66" s="43">
        <f>COUNTIF('PF144'!U10:U153,"TC0_3_TR1")</f>
        <v>0</v>
      </c>
      <c r="H66" s="43">
        <f>COUNTIF('PF144'!U10:U153,"TC0_4_TR1")</f>
        <v>0</v>
      </c>
      <c r="I66" s="43">
        <f>COUNTIF('PF144'!U10:U153,"TC0_5_TR1")</f>
        <v>0</v>
      </c>
      <c r="J66" s="43">
        <f>COUNTIF('PF144'!U10:U153,"TC0_6_TR1")</f>
        <v>0</v>
      </c>
      <c r="K66" s="43">
        <f>COUNTIF('PF144'!U10:U153,"TC0_7_TR1")</f>
        <v>0</v>
      </c>
      <c r="L66" s="43">
        <f>COUNTIF('PF144'!U10:U153,"TC0_8_TR1")</f>
        <v>0</v>
      </c>
      <c r="M66" s="43">
        <f>COUNTIF('PF144'!U10:U153,"TC0_9_TR1")</f>
        <v>0</v>
      </c>
      <c r="N66" s="43">
        <f>COUNTIF('PF144'!U10:U153,"TC0_10_TR1")</f>
        <v>0</v>
      </c>
      <c r="O66" s="43">
        <f>COUNTIF('PF144'!U10:U153,"TC0_11_TR1")</f>
        <v>0</v>
      </c>
      <c r="P66" s="43">
        <f>COUNTIF('PF144'!U10:U153,"TC0_12_TR1")</f>
        <v>0</v>
      </c>
      <c r="Q66" s="43">
        <f>COUNTIF('PF144'!U10:U153,"TC0_13_TR1")</f>
        <v>0</v>
      </c>
      <c r="R66" s="43">
        <f>COUNTIF('PF144'!U10:U153,"TC0_14_TR1")</f>
        <v>0</v>
      </c>
      <c r="S66" s="43">
        <f>COUNTIF('PF144'!U10:U153,"TC0_15_TR1")</f>
        <v>0</v>
      </c>
      <c r="T66" s="43">
        <f>COUNTIF('PF144'!U10:U153,"TC0_16_TR1")</f>
        <v>0</v>
      </c>
      <c r="U66" s="43">
        <f>COUNTIF('PF144'!U10:U153,"TC0_17_TR1")</f>
        <v>0</v>
      </c>
      <c r="V66" s="43">
        <f>COUNTIF('PF144'!U10:U153,"TC0_18_TR1")</f>
        <v>0</v>
      </c>
      <c r="W66" s="43">
        <f>COUNTIF('PF144'!U10:U153,"TC0_19_TR1")</f>
        <v>0</v>
      </c>
      <c r="X66" s="43">
        <f>COUNTIF('PF144'!U10:U153,"TC0_20_TR1")</f>
        <v>0</v>
      </c>
      <c r="Y66" s="43">
        <f>COUNTIF('PF144'!U10:U153,"TC0_21_TR1")</f>
        <v>0</v>
      </c>
      <c r="Z66" s="43">
        <f>COUNTIF('PF144'!U10:U153,"TC0_22_TR1")</f>
        <v>0</v>
      </c>
      <c r="AA66" s="43">
        <f>COUNTIF('PF144'!U10:U153,"TC0_23_TR1")</f>
        <v>0</v>
      </c>
      <c r="AB66" s="43">
        <f>COUNTIF('PF144'!U10:U153,"TC0_24_TR1")</f>
        <v>0</v>
      </c>
      <c r="AC66" s="43">
        <f>COUNTIF('PF144'!U10:U153,"TC0_25_TR1")</f>
        <v>0</v>
      </c>
      <c r="AD66" s="43">
        <f>COUNTIF('PF144'!U10:U153,"TC0_26_TR1")</f>
        <v>0</v>
      </c>
      <c r="AE66" s="43">
        <f>COUNTIF('PF144'!U10:U153,"TC0_27_TR1")</f>
        <v>0</v>
      </c>
      <c r="AF66" s="43">
        <f>COUNTIF('PF144'!U10:U153,"TC0_28_TR1")</f>
        <v>0</v>
      </c>
      <c r="AG66" s="43">
        <f>COUNTIF('PF144'!U10:U153,"TC0_29_TR1")</f>
        <v>0</v>
      </c>
      <c r="AH66" s="43">
        <f>COUNTIF('PF144'!U10:U153,"TC0_30_TR1")</f>
        <v>0</v>
      </c>
      <c r="AI66" s="43">
        <f>COUNTIF('PF144'!U10:U153,"TC0_31_TR1")</f>
        <v>0</v>
      </c>
      <c r="AJ66" s="43">
        <f>COUNTIF('PF144'!U10:U153,"TC0_32_TR1")</f>
        <v>0</v>
      </c>
      <c r="AK66" s="43">
        <f>COUNTIF('PF144'!U10:U153,"TC0_33_TR1")</f>
        <v>0</v>
      </c>
      <c r="AL66" s="43">
        <f>COUNTIF('PF144'!U10:U153,"TC0_34_TR1")</f>
        <v>0</v>
      </c>
      <c r="AM66" s="43">
        <f>COUNTIF('PF144'!U10:U153,"TC0_35_TR1")</f>
        <v>0</v>
      </c>
      <c r="AN66" s="43">
        <f>COUNTIF('PF144'!U10:U153,"TC0_36_TR1")</f>
        <v>0</v>
      </c>
      <c r="AO66" s="43">
        <f>COUNTIF('PF144'!U10:U153,"TC0_37_TR1")</f>
        <v>0</v>
      </c>
      <c r="AP66" s="43">
        <f>COUNTIF('PF144'!U10:U153,"TC0_38_TR1")</f>
        <v>0</v>
      </c>
      <c r="AQ66" s="43">
        <f>COUNTIF('PF144'!U10:U153,"TC0_39_TR1")</f>
        <v>0</v>
      </c>
      <c r="AR66" s="43">
        <f>COUNTIF('PF144'!U10:U153,"TC0_40_TR1")</f>
        <v>0</v>
      </c>
      <c r="AS66" s="43">
        <f>COUNTIF('PF144'!U10:U153,"TC0_41_TR1")</f>
        <v>0</v>
      </c>
      <c r="AT66" s="43">
        <f>COUNTIF('PF144'!U10:U153,"TC0_42_TR1")</f>
        <v>0</v>
      </c>
      <c r="AU66" s="43">
        <f>COUNTIF('PF144'!U10:U153,"TC0_43_TR1")</f>
        <v>0</v>
      </c>
      <c r="AV66" s="43">
        <f>COUNTIF('PF144'!U10:U153,"TC0_44_TR1")</f>
        <v>0</v>
      </c>
      <c r="AW66" s="43">
        <f>COUNTIF('PF144'!U10:U153,"TC0_45_TR1")</f>
        <v>0</v>
      </c>
      <c r="AX66" s="43">
        <f>COUNTIF('PF144'!U10:U153,"TC0_46_TR1")</f>
        <v>0</v>
      </c>
      <c r="AY66" s="43">
        <f>COUNTIF('PF144'!U10:U153,"TC0_47_TR1")</f>
        <v>0</v>
      </c>
      <c r="AZ66" s="43">
        <f>COUNTIF('PF144'!U10:U153,"TC0_48_TR1")</f>
        <v>0</v>
      </c>
      <c r="BA66" s="43">
        <f>COUNTIF('PF144'!U10:U153,"TC0_49_TR1")</f>
        <v>0</v>
      </c>
      <c r="BB66" s="43">
        <f>COUNTIF('PF144'!U10:U153,"TC0_50_TR1")</f>
        <v>0</v>
      </c>
      <c r="BC66" s="43">
        <f>COUNTIF('PF144'!U10:U153,"TC0_51_TR1")</f>
        <v>0</v>
      </c>
      <c r="BD66" s="43">
        <f>COUNTIF('PF144'!U10:U153,"TC0_52_TR1")</f>
        <v>0</v>
      </c>
      <c r="BE66" s="43">
        <f>COUNTIF('PF144'!U10:U153,"TC0_53_TR1")</f>
        <v>0</v>
      </c>
      <c r="BF66" s="43">
        <f>COUNTIF('PF144'!U10:U153,"TC0_54_TR1")</f>
        <v>0</v>
      </c>
      <c r="BG66" s="43">
        <f>COUNTIF('PF144'!U10:U153,"TC0_55_TR1")</f>
        <v>0</v>
      </c>
      <c r="BH66" s="43">
        <f>COUNTIF('PF144'!U10:U153,"TC0_56_TR1")</f>
        <v>0</v>
      </c>
      <c r="BI66" s="43">
        <f>COUNTIF('PF144'!U10:U153,"TC0_57_TR1")</f>
        <v>0</v>
      </c>
      <c r="BJ66" s="43">
        <f>COUNTIF('PF144'!U10:U153,"TC0_58_TR1")</f>
        <v>0</v>
      </c>
      <c r="BK66" s="43">
        <f>COUNTIF('PF144'!U10:U153,"TC0_59_TR1")</f>
        <v>0</v>
      </c>
      <c r="BL66" s="43">
        <f>COUNTIF('PF144'!U10:U153,"TC0_60_TR1")</f>
        <v>0</v>
      </c>
      <c r="BM66" s="43">
        <f>COUNTIF('PF144'!U10:U153,"TC0_61_TR1")</f>
        <v>0</v>
      </c>
      <c r="BN66" s="43">
        <f>COUNTIF('PF144'!U10:U153,"TC0_62_TR1")</f>
        <v>0</v>
      </c>
    </row>
    <row r="68" spans="2:66" x14ac:dyDescent="0.55000000000000004">
      <c r="B68" s="141" t="s">
        <v>445</v>
      </c>
      <c r="C68" s="142"/>
      <c r="D68" s="42" t="s">
        <v>431</v>
      </c>
      <c r="E68" s="42" t="s">
        <v>432</v>
      </c>
      <c r="F68" s="42" t="s">
        <v>433</v>
      </c>
      <c r="G68" s="42" t="s">
        <v>434</v>
      </c>
      <c r="H68" s="42" t="s">
        <v>436</v>
      </c>
      <c r="I68" s="42" t="s">
        <v>437</v>
      </c>
      <c r="J68" s="42" t="s">
        <v>438</v>
      </c>
      <c r="K68" s="42" t="s">
        <v>439</v>
      </c>
      <c r="L68" s="42" t="s">
        <v>440</v>
      </c>
      <c r="M68" s="42" t="s">
        <v>441</v>
      </c>
      <c r="N68" s="42" t="s">
        <v>443</v>
      </c>
      <c r="O68" s="42" t="s">
        <v>444</v>
      </c>
      <c r="P68" s="66"/>
      <c r="Q68" s="44"/>
      <c r="R68" s="44"/>
      <c r="S68" s="44"/>
      <c r="T68" s="44"/>
      <c r="U68" s="44"/>
      <c r="V68" s="44"/>
      <c r="W68" s="44"/>
      <c r="X68" s="44"/>
      <c r="Y68" s="44"/>
      <c r="Z68" s="44"/>
      <c r="AA68" s="44"/>
      <c r="AB68" s="44"/>
      <c r="AC68" s="44"/>
      <c r="AD68" s="44"/>
      <c r="AE68" s="44"/>
      <c r="AF68" s="44"/>
      <c r="AG68" s="44"/>
      <c r="AH68" s="44"/>
      <c r="AI68" s="44"/>
      <c r="AJ68" s="44"/>
      <c r="AK68" s="44"/>
      <c r="AL68" s="44"/>
      <c r="AM68" s="44"/>
      <c r="AN68" s="44"/>
      <c r="AO68" s="44"/>
      <c r="AP68" s="44"/>
      <c r="AQ68" s="44"/>
      <c r="AR68" s="44"/>
      <c r="AS68" s="44"/>
      <c r="AT68" s="44"/>
      <c r="AU68" s="44"/>
      <c r="AV68" s="44"/>
      <c r="AW68" s="44"/>
      <c r="AX68" s="44"/>
      <c r="AY68" s="44"/>
      <c r="AZ68" s="44"/>
      <c r="BA68" s="44"/>
      <c r="BB68" s="44"/>
      <c r="BC68" s="44"/>
      <c r="BD68" s="44"/>
      <c r="BE68" s="44"/>
      <c r="BF68" s="44"/>
    </row>
    <row r="69" spans="2:66" x14ac:dyDescent="0.55000000000000004">
      <c r="B69" s="139" t="s">
        <v>428</v>
      </c>
      <c r="C69" s="43" t="s">
        <v>421</v>
      </c>
      <c r="D69" s="43">
        <f>COUNTIF('PF144'!U10:U153,"PWM0_M_0")</f>
        <v>0</v>
      </c>
      <c r="E69" s="43">
        <f>COUNTIF('PF144'!U10:U153,"PWM0_M_1")</f>
        <v>0</v>
      </c>
      <c r="F69" s="43">
        <f>COUNTIF('PF144'!U10:U153,"PWM0_M_2")</f>
        <v>0</v>
      </c>
      <c r="G69" s="43">
        <f>COUNTIF('PF144'!U10:U153,"PWM0_M_3")</f>
        <v>0</v>
      </c>
      <c r="H69" s="43">
        <f>COUNTIF('PF144'!U10:U153,"PWM0_M_4")</f>
        <v>0</v>
      </c>
      <c r="I69" s="43">
        <f>COUNTIF('PF144'!U10:U153,"PWM0_M_5")</f>
        <v>0</v>
      </c>
      <c r="J69" s="43">
        <f>COUNTIF('PF144'!U10:U153,"PWM0_M_6")</f>
        <v>0</v>
      </c>
      <c r="K69" s="43">
        <f>COUNTIF('PF144'!U10:U153,"PWM0_M_7")</f>
        <v>0</v>
      </c>
      <c r="L69" s="43">
        <f>COUNTIF('PF144'!U10:U153,"PWM0_M_8")</f>
        <v>0</v>
      </c>
      <c r="M69" s="43">
        <f>COUNTIF('PF144'!U10:U153,"PWM0_M_9")</f>
        <v>0</v>
      </c>
      <c r="N69" s="43">
        <f>COUNTIF('PF144'!U10:U153,"PWM0_M_10")</f>
        <v>0</v>
      </c>
      <c r="O69" s="43">
        <f>COUNTIF('PF144'!U10:U153,"PWM0_M_11")</f>
        <v>0</v>
      </c>
      <c r="P69" s="67"/>
      <c r="Q69" s="45"/>
      <c r="R69" s="45"/>
      <c r="S69" s="45"/>
      <c r="T69" s="45"/>
      <c r="U69" s="45"/>
      <c r="V69" s="45"/>
      <c r="W69" s="45"/>
      <c r="X69" s="45"/>
      <c r="Y69" s="45"/>
      <c r="Z69" s="45"/>
      <c r="AA69" s="45"/>
      <c r="AB69" s="45"/>
      <c r="AC69" s="45"/>
      <c r="AD69" s="45"/>
      <c r="AE69" s="45"/>
      <c r="AF69" s="45"/>
      <c r="AG69" s="45"/>
      <c r="AH69" s="45"/>
      <c r="AI69" s="45"/>
      <c r="AJ69" s="45"/>
      <c r="AK69" s="45"/>
      <c r="AL69" s="45"/>
      <c r="AM69" s="45"/>
      <c r="AN69" s="45"/>
      <c r="AO69" s="45"/>
      <c r="AP69" s="45"/>
      <c r="AQ69" s="45"/>
      <c r="AR69" s="45"/>
      <c r="AS69" s="45"/>
      <c r="AT69" s="45"/>
      <c r="AU69" s="45"/>
      <c r="AV69" s="45"/>
      <c r="AW69" s="45"/>
      <c r="AX69" s="45"/>
      <c r="AY69" s="45"/>
      <c r="AZ69" s="45"/>
      <c r="BA69" s="45"/>
      <c r="BB69" s="45"/>
      <c r="BC69" s="45"/>
      <c r="BD69" s="45"/>
      <c r="BE69" s="45"/>
      <c r="BF69" s="45"/>
    </row>
    <row r="70" spans="2:66" x14ac:dyDescent="0.55000000000000004">
      <c r="B70" s="140"/>
      <c r="C70" s="43" t="s">
        <v>424</v>
      </c>
      <c r="D70" s="43">
        <f>COUNTIF('PF144'!U10:U153,"PWM0_M_0_N")</f>
        <v>0</v>
      </c>
      <c r="E70" s="43">
        <f>COUNTIF('PF144'!U10:U153,"PWM0_M_1_N")</f>
        <v>0</v>
      </c>
      <c r="F70" s="43">
        <f>COUNTIF('PF144'!U10:U153,"PWM0_M_2_N")</f>
        <v>0</v>
      </c>
      <c r="G70" s="43">
        <f>COUNTIF('PF144'!U10:U153,"PWM0_M_3_N")</f>
        <v>0</v>
      </c>
      <c r="H70" s="43">
        <f>COUNTIF('PF144'!U10:U153,"PWM0_M_4_N")</f>
        <v>0</v>
      </c>
      <c r="I70" s="43">
        <f>COUNTIF('PF144'!U10:U153,"PWM0_M_5_N")</f>
        <v>0</v>
      </c>
      <c r="J70" s="43">
        <f>COUNTIF('PF144'!U10:U153,"PWM0_M_6_N")</f>
        <v>0</v>
      </c>
      <c r="K70" s="43">
        <f>COUNTIF('PF144'!U10:U153,"PWM0_M_7_N")</f>
        <v>0</v>
      </c>
      <c r="L70" s="43">
        <f>COUNTIF('PF144'!U10:U153,"PWM0_M_8_N")</f>
        <v>0</v>
      </c>
      <c r="M70" s="43">
        <f>COUNTIF('PF144'!U10:U153,"PWM0_M_9_N")</f>
        <v>0</v>
      </c>
      <c r="N70" s="43">
        <f>COUNTIF('PF144'!U10:U153,"PWM0_M_10_N")</f>
        <v>0</v>
      </c>
      <c r="O70" s="43">
        <f>COUNTIF('PF144'!U10:U153,"PWM0_M_11_N")</f>
        <v>0</v>
      </c>
      <c r="P70" s="67"/>
      <c r="Q70" s="45"/>
      <c r="R70" s="45"/>
      <c r="S70" s="45"/>
      <c r="T70" s="45"/>
      <c r="U70" s="45"/>
      <c r="V70" s="45"/>
      <c r="W70" s="45"/>
      <c r="X70" s="45"/>
      <c r="Y70" s="45"/>
      <c r="Z70" s="45"/>
      <c r="AA70" s="45"/>
      <c r="AB70" s="45"/>
      <c r="AC70" s="45"/>
      <c r="AD70" s="45"/>
      <c r="AE70" s="45"/>
      <c r="AF70" s="45"/>
      <c r="AG70" s="45"/>
      <c r="AH70" s="45"/>
      <c r="AI70" s="45"/>
      <c r="AJ70" s="45"/>
      <c r="AK70" s="45"/>
      <c r="AL70" s="45"/>
      <c r="AM70" s="45"/>
      <c r="AN70" s="45"/>
      <c r="AO70" s="45"/>
      <c r="AP70" s="45"/>
      <c r="AQ70" s="45"/>
      <c r="AR70" s="45"/>
      <c r="AS70" s="45"/>
      <c r="AT70" s="45"/>
      <c r="AU70" s="45"/>
      <c r="AV70" s="45"/>
      <c r="AW70" s="45"/>
      <c r="AX70" s="45"/>
      <c r="AY70" s="45"/>
      <c r="AZ70" s="45"/>
      <c r="BA70" s="45"/>
      <c r="BB70" s="45"/>
      <c r="BC70" s="45"/>
      <c r="BD70" s="45"/>
      <c r="BE70" s="45"/>
      <c r="BF70" s="45"/>
    </row>
    <row r="71" spans="2:66" x14ac:dyDescent="0.55000000000000004">
      <c r="B71" s="139" t="s">
        <v>429</v>
      </c>
      <c r="C71" s="43" t="s">
        <v>422</v>
      </c>
      <c r="D71" s="43">
        <f>COUNTIF('PF144'!U10:U153,"TC0_M_0_TR0")</f>
        <v>0</v>
      </c>
      <c r="E71" s="43">
        <f>COUNTIF('PF144'!U10:U153,"TC0_M_1_TR0")</f>
        <v>0</v>
      </c>
      <c r="F71" s="43">
        <f>COUNTIF('PF144'!U10:U153,"TC0_M_2_TR0")</f>
        <v>0</v>
      </c>
      <c r="G71" s="43">
        <f>COUNTIF('PF144'!U10:U153,"TC0_M_3_TR0")</f>
        <v>0</v>
      </c>
      <c r="H71" s="43">
        <f>COUNTIF('PF144'!U10:U153,"TC0_M_4_TR0")</f>
        <v>0</v>
      </c>
      <c r="I71" s="43">
        <f>COUNTIF('PF144'!U10:U153,"TC0_M_5_TR0")</f>
        <v>0</v>
      </c>
      <c r="J71" s="43">
        <f>COUNTIF('PF144'!U10:U153,"TC0_M_6_TR0")</f>
        <v>0</v>
      </c>
      <c r="K71" s="43">
        <f>COUNTIF('PF144'!U10:U153,"TC0_M_7_TR0")</f>
        <v>0</v>
      </c>
      <c r="L71" s="43">
        <f>COUNTIF('PF144'!U10:U153,"TC0_M_8_TR0")</f>
        <v>0</v>
      </c>
      <c r="M71" s="43">
        <f>COUNTIF('PF144'!U10:U153,"TC0_M_9_TR0")</f>
        <v>0</v>
      </c>
      <c r="N71" s="43">
        <f>COUNTIF('PF144'!U10:U153,"TC0_M_10_TR0")</f>
        <v>0</v>
      </c>
      <c r="O71" s="43">
        <f>COUNTIF('PF144'!U10:U153,"TC0_M_11_TR0")</f>
        <v>0</v>
      </c>
      <c r="P71" s="67"/>
      <c r="Q71" s="45"/>
      <c r="R71" s="45"/>
      <c r="S71" s="45"/>
      <c r="T71" s="45"/>
      <c r="U71" s="45"/>
      <c r="V71" s="45"/>
      <c r="W71" s="45"/>
      <c r="X71" s="45"/>
      <c r="Y71" s="45"/>
      <c r="Z71" s="45"/>
      <c r="AA71" s="45"/>
      <c r="AB71" s="45"/>
      <c r="AC71" s="45"/>
      <c r="AD71" s="45"/>
      <c r="AE71" s="45"/>
      <c r="AF71" s="45"/>
      <c r="AG71" s="45"/>
      <c r="AH71" s="45"/>
      <c r="AI71" s="45"/>
      <c r="AJ71" s="45"/>
      <c r="AK71" s="45"/>
      <c r="AL71" s="45"/>
      <c r="AM71" s="45"/>
      <c r="AN71" s="45"/>
      <c r="AO71" s="45"/>
      <c r="AP71" s="45"/>
      <c r="AQ71" s="45"/>
      <c r="AR71" s="45"/>
      <c r="AS71" s="45"/>
      <c r="AT71" s="45"/>
      <c r="AU71" s="45"/>
      <c r="AV71" s="45"/>
      <c r="AW71" s="45"/>
      <c r="AX71" s="45"/>
      <c r="AY71" s="45"/>
      <c r="AZ71" s="45"/>
      <c r="BA71" s="45"/>
      <c r="BB71" s="45"/>
      <c r="BC71" s="45"/>
      <c r="BD71" s="45"/>
      <c r="BE71" s="45"/>
      <c r="BF71" s="45"/>
    </row>
    <row r="72" spans="2:66" x14ac:dyDescent="0.55000000000000004">
      <c r="B72" s="140"/>
      <c r="C72" s="43" t="s">
        <v>423</v>
      </c>
      <c r="D72" s="43">
        <f>COUNTIF('PF144'!U10:U153,"TC0_M_0_TR1")</f>
        <v>0</v>
      </c>
      <c r="E72" s="43">
        <f>COUNTIF('PF144'!U10:U153,"TC0_M_1_TR1")</f>
        <v>0</v>
      </c>
      <c r="F72" s="43">
        <f>COUNTIF('PF144'!U10:U153,"TC0_M_2_TR1")</f>
        <v>0</v>
      </c>
      <c r="G72" s="43">
        <f>COUNTIF('PF144'!U10:U153,"TC0_M_3_TR1")</f>
        <v>0</v>
      </c>
      <c r="H72" s="43">
        <f>COUNTIF('PF144'!U10:U153,"TC0_M_4_TR1")</f>
        <v>0</v>
      </c>
      <c r="I72" s="43">
        <f>COUNTIF('PF144'!U10:U153,"TC0_M_5_TR1")</f>
        <v>0</v>
      </c>
      <c r="J72" s="43">
        <f>COUNTIF('PF144'!U10:U153,"TC0_M_6_TR1")</f>
        <v>0</v>
      </c>
      <c r="K72" s="43">
        <f>COUNTIF('PF144'!U10:U153,"TC0_M_7_TR1")</f>
        <v>0</v>
      </c>
      <c r="L72" s="43">
        <f>COUNTIF('PF144'!U10:U153,"TC0_M_8_TR1")</f>
        <v>0</v>
      </c>
      <c r="M72" s="43">
        <f>COUNTIF('PF144'!U10:U153,"TC0_M_9_TR1")</f>
        <v>0</v>
      </c>
      <c r="N72" s="43">
        <f>COUNTIF('PF144'!U10:U153,"TC0_M_10_TR1")</f>
        <v>0</v>
      </c>
      <c r="O72" s="43">
        <f>COUNTIF('PF144'!U10:U153,"TC0_M_11_TR1")</f>
        <v>0</v>
      </c>
      <c r="P72" s="67"/>
      <c r="Q72" s="45"/>
      <c r="R72" s="45"/>
      <c r="S72" s="45"/>
      <c r="T72" s="45"/>
      <c r="U72" s="45"/>
      <c r="V72" s="45"/>
      <c r="W72" s="45"/>
      <c r="X72" s="45"/>
      <c r="Y72" s="45"/>
      <c r="Z72" s="45"/>
      <c r="AA72" s="45"/>
      <c r="AB72" s="45"/>
      <c r="AC72" s="45"/>
      <c r="AD72" s="45"/>
      <c r="AE72" s="45"/>
      <c r="AF72" s="45"/>
      <c r="AG72" s="45"/>
      <c r="AH72" s="45"/>
      <c r="AI72" s="45"/>
      <c r="AJ72" s="45"/>
      <c r="AK72" s="45"/>
      <c r="AL72" s="45"/>
      <c r="AM72" s="45"/>
      <c r="AN72" s="45"/>
      <c r="AO72" s="45"/>
      <c r="AP72" s="45"/>
      <c r="AQ72" s="45"/>
      <c r="AR72" s="45"/>
      <c r="AS72" s="45"/>
      <c r="AT72" s="45"/>
      <c r="AU72" s="45"/>
      <c r="AV72" s="45"/>
      <c r="AW72" s="45"/>
      <c r="AX72" s="45"/>
      <c r="AY72" s="45"/>
      <c r="AZ72" s="45"/>
      <c r="BA72" s="45"/>
      <c r="BB72" s="45"/>
      <c r="BC72" s="45"/>
      <c r="BD72" s="45"/>
      <c r="BE72" s="45"/>
      <c r="BF72" s="45"/>
    </row>
    <row r="73" spans="2:66" x14ac:dyDescent="0.55000000000000004">
      <c r="Q73" s="45"/>
      <c r="R73" s="45"/>
      <c r="S73" s="45"/>
      <c r="T73" s="45"/>
      <c r="U73" s="45"/>
      <c r="V73" s="45"/>
      <c r="W73" s="45"/>
      <c r="X73" s="45"/>
      <c r="Y73" s="45"/>
      <c r="Z73" s="45"/>
      <c r="AA73" s="45"/>
      <c r="AB73" s="45"/>
      <c r="AC73" s="45"/>
      <c r="AD73" s="45"/>
      <c r="AE73" s="45"/>
      <c r="AF73" s="45"/>
      <c r="AG73" s="45"/>
      <c r="AH73" s="45"/>
      <c r="AI73" s="45"/>
      <c r="AJ73" s="45"/>
      <c r="AK73" s="45"/>
      <c r="AL73" s="45"/>
      <c r="AM73" s="45"/>
      <c r="AN73" s="45"/>
      <c r="AO73" s="45"/>
      <c r="AP73" s="45"/>
      <c r="AQ73" s="45"/>
      <c r="AR73" s="45"/>
      <c r="AS73" s="45"/>
      <c r="AT73" s="45"/>
      <c r="AU73" s="45"/>
      <c r="AV73" s="45"/>
      <c r="AW73" s="45"/>
      <c r="AX73" s="45"/>
      <c r="AY73" s="45"/>
      <c r="AZ73" s="45"/>
      <c r="BA73" s="45"/>
      <c r="BB73" s="45"/>
      <c r="BC73" s="45"/>
      <c r="BD73" s="45"/>
      <c r="BE73" s="45"/>
      <c r="BF73" s="45"/>
    </row>
    <row r="74" spans="2:66" x14ac:dyDescent="0.55000000000000004">
      <c r="B74" s="141" t="s">
        <v>446</v>
      </c>
      <c r="C74" s="142"/>
      <c r="D74" s="42" t="s">
        <v>431</v>
      </c>
      <c r="E74" s="42" t="s">
        <v>432</v>
      </c>
      <c r="F74" s="42" t="s">
        <v>433</v>
      </c>
      <c r="G74" s="42" t="s">
        <v>434</v>
      </c>
      <c r="Q74" s="45"/>
      <c r="R74" s="45"/>
      <c r="S74" s="45"/>
      <c r="T74" s="45"/>
      <c r="U74" s="45"/>
      <c r="V74" s="45"/>
      <c r="W74" s="45"/>
      <c r="X74" s="45"/>
      <c r="Y74" s="45"/>
      <c r="Z74" s="45"/>
      <c r="AA74" s="45"/>
      <c r="AB74" s="45"/>
      <c r="AC74" s="45"/>
      <c r="AD74" s="45"/>
      <c r="AE74" s="45"/>
      <c r="AF74" s="45"/>
      <c r="AG74" s="45"/>
      <c r="AH74" s="44"/>
      <c r="AI74" s="44"/>
      <c r="AJ74" s="44"/>
      <c r="AK74" s="44"/>
      <c r="AL74" s="44"/>
      <c r="AM74" s="44"/>
      <c r="AN74" s="44"/>
      <c r="AO74" s="44"/>
      <c r="AP74" s="44"/>
      <c r="AQ74" s="44"/>
      <c r="AR74" s="44"/>
      <c r="AS74" s="44"/>
      <c r="AT74" s="44"/>
      <c r="AU74" s="44"/>
      <c r="AV74" s="44"/>
      <c r="AW74" s="44"/>
      <c r="AX74" s="44"/>
      <c r="AY74" s="44"/>
      <c r="AZ74" s="44"/>
      <c r="BA74" s="44"/>
      <c r="BB74" s="44"/>
      <c r="BC74" s="44"/>
      <c r="BD74" s="44"/>
      <c r="BE74" s="44"/>
      <c r="BF74" s="44"/>
    </row>
    <row r="75" spans="2:66" x14ac:dyDescent="0.55000000000000004">
      <c r="B75" s="139" t="s">
        <v>428</v>
      </c>
      <c r="C75" s="43" t="s">
        <v>421</v>
      </c>
      <c r="D75" s="43">
        <f>COUNTIF('PF144'!U10:U153,"PWM0_H_0")</f>
        <v>0</v>
      </c>
      <c r="E75" s="43">
        <f>COUNTIF('PF144'!U10:U153,"PWM0_H_1")</f>
        <v>0</v>
      </c>
      <c r="F75" s="43">
        <f>COUNTIF('PF144'!U10:U153,"PWM0_H_2")</f>
        <v>0</v>
      </c>
      <c r="G75" s="43">
        <f>COUNTIF('PF144'!U10:U153,"PWM0_H_3")</f>
        <v>0</v>
      </c>
      <c r="Q75" s="45"/>
      <c r="R75" s="45"/>
      <c r="S75" s="45"/>
      <c r="T75" s="45"/>
      <c r="U75" s="45"/>
      <c r="V75" s="45"/>
      <c r="W75" s="45"/>
      <c r="X75" s="45"/>
      <c r="Y75" s="45"/>
      <c r="Z75" s="45"/>
      <c r="AA75" s="45"/>
      <c r="AB75" s="45"/>
      <c r="AC75" s="45"/>
      <c r="AD75" s="45"/>
      <c r="AE75" s="45"/>
      <c r="AF75" s="45"/>
      <c r="AG75" s="45"/>
      <c r="AH75" s="45"/>
      <c r="AI75" s="45"/>
      <c r="AJ75" s="45"/>
      <c r="AK75" s="45"/>
      <c r="AL75" s="45"/>
      <c r="AM75" s="45"/>
      <c r="AN75" s="45"/>
      <c r="AO75" s="45"/>
      <c r="AP75" s="45"/>
      <c r="AQ75" s="45"/>
      <c r="AR75" s="45"/>
      <c r="AS75" s="45"/>
      <c r="AT75" s="45"/>
      <c r="AU75" s="45"/>
      <c r="AV75" s="45"/>
      <c r="AW75" s="45"/>
      <c r="AX75" s="45"/>
      <c r="AY75" s="45"/>
      <c r="AZ75" s="45"/>
      <c r="BA75" s="45"/>
      <c r="BB75" s="45"/>
      <c r="BC75" s="45"/>
      <c r="BD75" s="45"/>
      <c r="BE75" s="45"/>
      <c r="BF75" s="45"/>
    </row>
    <row r="76" spans="2:66" x14ac:dyDescent="0.55000000000000004">
      <c r="B76" s="140"/>
      <c r="C76" s="43" t="s">
        <v>424</v>
      </c>
      <c r="D76" s="43">
        <f>COUNTIF('PF144'!U10:U153,"PWM0_H_0_N")</f>
        <v>0</v>
      </c>
      <c r="E76" s="43">
        <f>COUNTIF('PF144'!U10:U153,"PWM0_H_1_N")</f>
        <v>0</v>
      </c>
      <c r="F76" s="43">
        <f>COUNTIF('PF144'!U10:U153,"PWM0_H_2_N")</f>
        <v>0</v>
      </c>
      <c r="G76" s="43">
        <f>COUNTIF('PF144'!U10:U153,"PWM0_H_3_N")</f>
        <v>0</v>
      </c>
      <c r="Q76" s="45"/>
      <c r="R76" s="45"/>
      <c r="S76" s="45"/>
      <c r="T76" s="45"/>
      <c r="U76" s="45"/>
      <c r="V76" s="45"/>
      <c r="W76" s="45"/>
      <c r="X76" s="45"/>
      <c r="Y76" s="45"/>
      <c r="Z76" s="45"/>
      <c r="AA76" s="45"/>
      <c r="AB76" s="45"/>
      <c r="AC76" s="45"/>
      <c r="AD76" s="45"/>
      <c r="AE76" s="45"/>
      <c r="AF76" s="45"/>
      <c r="AG76" s="45"/>
      <c r="AH76" s="45"/>
      <c r="AI76" s="45"/>
      <c r="AJ76" s="45"/>
      <c r="AK76" s="45"/>
      <c r="AL76" s="45"/>
      <c r="AM76" s="45"/>
      <c r="AN76" s="45"/>
      <c r="AO76" s="45"/>
      <c r="AP76" s="45"/>
      <c r="AQ76" s="45"/>
      <c r="AR76" s="45"/>
      <c r="AS76" s="45"/>
      <c r="AT76" s="45"/>
      <c r="AU76" s="45"/>
      <c r="AV76" s="45"/>
      <c r="AW76" s="45"/>
      <c r="AX76" s="45"/>
      <c r="AY76" s="45"/>
      <c r="AZ76" s="45"/>
      <c r="BA76" s="45"/>
      <c r="BB76" s="45"/>
      <c r="BC76" s="45"/>
      <c r="BD76" s="45"/>
      <c r="BE76" s="45"/>
      <c r="BF76" s="45"/>
    </row>
    <row r="77" spans="2:66" x14ac:dyDescent="0.55000000000000004">
      <c r="B77" s="139" t="s">
        <v>429</v>
      </c>
      <c r="C77" s="43" t="s">
        <v>422</v>
      </c>
      <c r="D77" s="43">
        <f>COUNTIF('PF144'!U10:U153,"TC0_H_0_TR0")</f>
        <v>0</v>
      </c>
      <c r="E77" s="43">
        <f>COUNTIF('PF144'!U10:U153,"TC0_H_1_TR0")</f>
        <v>0</v>
      </c>
      <c r="F77" s="43">
        <f>COUNTIF('PF144'!U10:U153,"TC0_H_2_TR0")</f>
        <v>0</v>
      </c>
      <c r="G77" s="43">
        <f>COUNTIF('PF144'!U10:U153,"TC0_H_3_TR0")</f>
        <v>0</v>
      </c>
      <c r="Q77" s="45"/>
      <c r="R77" s="45"/>
      <c r="S77" s="45"/>
      <c r="T77" s="45"/>
      <c r="U77" s="45"/>
      <c r="V77" s="45"/>
      <c r="W77" s="45"/>
      <c r="X77" s="45"/>
      <c r="Y77" s="45"/>
      <c r="Z77" s="45"/>
      <c r="AA77" s="45"/>
      <c r="AB77" s="45"/>
      <c r="AC77" s="45"/>
      <c r="AD77" s="45"/>
      <c r="AE77" s="45"/>
      <c r="AF77" s="45"/>
      <c r="AG77" s="45"/>
      <c r="AH77" s="45"/>
      <c r="AI77" s="45"/>
      <c r="AJ77" s="45"/>
      <c r="AK77" s="45"/>
      <c r="AL77" s="45"/>
      <c r="AM77" s="45"/>
      <c r="AN77" s="45"/>
      <c r="AO77" s="45"/>
      <c r="AP77" s="45"/>
      <c r="AQ77" s="45"/>
      <c r="AR77" s="45"/>
      <c r="AS77" s="45"/>
      <c r="AT77" s="45"/>
      <c r="AU77" s="45"/>
      <c r="AV77" s="45"/>
      <c r="AW77" s="45"/>
      <c r="AX77" s="45"/>
      <c r="AY77" s="45"/>
      <c r="AZ77" s="45"/>
      <c r="BA77" s="45"/>
      <c r="BB77" s="45"/>
      <c r="BC77" s="45"/>
      <c r="BD77" s="45"/>
      <c r="BE77" s="45"/>
      <c r="BF77" s="45"/>
    </row>
    <row r="78" spans="2:66" x14ac:dyDescent="0.55000000000000004">
      <c r="B78" s="140"/>
      <c r="C78" s="43" t="s">
        <v>423</v>
      </c>
      <c r="D78" s="43">
        <f>COUNTIF('PF144'!U10:U153,"TC0_H_0_TR1")</f>
        <v>0</v>
      </c>
      <c r="E78" s="43">
        <f>COUNTIF('PF144'!U10:U153,"TC0_H_1_TR1")</f>
        <v>0</v>
      </c>
      <c r="F78" s="43">
        <f>COUNTIF('PF144'!U10:U153,"TC0_H_2_TR1")</f>
        <v>0</v>
      </c>
      <c r="G78" s="43">
        <f>COUNTIF('PF144'!U10:U153,"TC0_H_3_TR1")</f>
        <v>0</v>
      </c>
      <c r="H78" s="67"/>
      <c r="I78" s="45"/>
      <c r="J78" s="45"/>
      <c r="K78" s="45"/>
      <c r="L78" s="45"/>
      <c r="M78" s="45"/>
      <c r="N78" s="45"/>
      <c r="O78" s="45"/>
      <c r="P78" s="45"/>
      <c r="Q78" s="45"/>
      <c r="R78" s="45"/>
      <c r="S78" s="45"/>
      <c r="T78" s="45"/>
      <c r="U78" s="45"/>
      <c r="V78" s="45"/>
      <c r="W78" s="45"/>
      <c r="X78" s="45"/>
      <c r="Y78" s="45"/>
      <c r="Z78" s="45"/>
      <c r="AA78" s="45"/>
      <c r="AB78" s="45"/>
      <c r="AC78" s="45"/>
      <c r="AD78" s="45"/>
      <c r="AE78" s="45"/>
      <c r="AF78" s="45"/>
      <c r="AG78" s="45"/>
      <c r="AH78" s="45"/>
      <c r="AI78" s="45"/>
      <c r="AJ78" s="45"/>
      <c r="AK78" s="45"/>
      <c r="AL78" s="45"/>
      <c r="AM78" s="45"/>
      <c r="AN78" s="45"/>
      <c r="AO78" s="45"/>
      <c r="AP78" s="45"/>
      <c r="AQ78" s="45"/>
      <c r="AR78" s="45"/>
      <c r="AS78" s="45"/>
      <c r="AT78" s="45"/>
      <c r="AU78" s="45"/>
      <c r="AV78" s="45"/>
      <c r="AW78" s="45"/>
      <c r="AX78" s="45"/>
      <c r="AY78" s="45"/>
      <c r="AZ78" s="45"/>
      <c r="BA78" s="45"/>
      <c r="BB78" s="45"/>
      <c r="BC78" s="45"/>
      <c r="BD78" s="45"/>
      <c r="BE78" s="45"/>
      <c r="BF78" s="45"/>
    </row>
    <row r="79" spans="2:66" ht="10" customHeight="1" x14ac:dyDescent="0.55000000000000004"/>
    <row r="80" spans="2:66" x14ac:dyDescent="0.55000000000000004">
      <c r="B80" s="141" t="s">
        <v>416</v>
      </c>
      <c r="C80" s="142"/>
      <c r="D80" s="42" t="s">
        <v>418</v>
      </c>
      <c r="E80" s="42" t="s">
        <v>419</v>
      </c>
      <c r="F80" s="42" t="s">
        <v>420</v>
      </c>
    </row>
    <row r="81" spans="2:6" x14ac:dyDescent="0.55000000000000004">
      <c r="B81" s="143" t="s">
        <v>407</v>
      </c>
      <c r="C81" s="43" t="s">
        <v>499</v>
      </c>
      <c r="D81" s="43">
        <f>COUNTIF('PF144'!U10:U153,"ADC[0]_0")</f>
        <v>0</v>
      </c>
      <c r="E81" s="43">
        <f>COUNTIF('PF144'!U10:U153,"ADC[1]_0")</f>
        <v>0</v>
      </c>
      <c r="F81" s="43">
        <f>COUNTIF('PF144'!U10:U153,"ADC[2]_0")</f>
        <v>0</v>
      </c>
    </row>
    <row r="82" spans="2:6" x14ac:dyDescent="0.55000000000000004">
      <c r="B82" s="146"/>
      <c r="C82" s="43" t="s">
        <v>500</v>
      </c>
      <c r="D82" s="43">
        <f>COUNTIF('PF144'!U10:U153,"ADC[0]_1")</f>
        <v>0</v>
      </c>
      <c r="E82" s="43">
        <f>COUNTIF('PF144'!U10:U153,"ADC[1]_1")</f>
        <v>0</v>
      </c>
      <c r="F82" s="43">
        <f>COUNTIF('PF144'!U10:U153,"ADC[2]_1")</f>
        <v>0</v>
      </c>
    </row>
    <row r="83" spans="2:6" x14ac:dyDescent="0.55000000000000004">
      <c r="B83" s="146"/>
      <c r="C83" s="43" t="s">
        <v>501</v>
      </c>
      <c r="D83" s="43">
        <f>COUNTIF('PF144'!U10:U153,"ADC[0]_2")</f>
        <v>0</v>
      </c>
      <c r="E83" s="43">
        <f>COUNTIF('PF144'!U10:U153,"ADC[1]_2")</f>
        <v>0</v>
      </c>
      <c r="F83" s="43">
        <f>COUNTIF('PF144'!U10:U153,"ADC[2]_2")</f>
        <v>0</v>
      </c>
    </row>
    <row r="84" spans="2:6" x14ac:dyDescent="0.55000000000000004">
      <c r="B84" s="146"/>
      <c r="C84" s="43" t="s">
        <v>502</v>
      </c>
      <c r="D84" s="43">
        <f>COUNTIF('PF144'!U10:U153,"ADC[0]_3")</f>
        <v>0</v>
      </c>
      <c r="E84" s="43">
        <f>COUNTIF('PF144'!U10:U153,"ADC[1]_3")</f>
        <v>0</v>
      </c>
      <c r="F84" s="43">
        <f>COUNTIF('PF144'!U10:U153,"ADC[2]_3")</f>
        <v>0</v>
      </c>
    </row>
    <row r="85" spans="2:6" x14ac:dyDescent="0.55000000000000004">
      <c r="B85" s="146"/>
      <c r="C85" s="43" t="s">
        <v>503</v>
      </c>
      <c r="D85" s="43">
        <f>COUNTIF('PF144'!U10:U153,"ADC[0]_4")</f>
        <v>0</v>
      </c>
      <c r="E85" s="43">
        <f>COUNTIF('PF144'!U10:U153,"ADC[1]_4")</f>
        <v>0</v>
      </c>
      <c r="F85" s="43">
        <f>COUNTIF('PF144'!U10:U153,"ADC[2]_4")</f>
        <v>0</v>
      </c>
    </row>
    <row r="86" spans="2:6" x14ac:dyDescent="0.55000000000000004">
      <c r="B86" s="146"/>
      <c r="C86" s="43" t="s">
        <v>504</v>
      </c>
      <c r="D86" s="43">
        <f>COUNTIF('PF144'!U10:U153,"ADC[0]_5")</f>
        <v>0</v>
      </c>
      <c r="E86" s="43">
        <f>COUNTIF('PF144'!U10:U153,"ADC[1]_5")</f>
        <v>0</v>
      </c>
      <c r="F86" s="43">
        <f>COUNTIF('PF144'!U10:U153,"ADC[2]_5")</f>
        <v>0</v>
      </c>
    </row>
    <row r="87" spans="2:6" x14ac:dyDescent="0.55000000000000004">
      <c r="B87" s="146"/>
      <c r="C87" s="43" t="s">
        <v>505</v>
      </c>
      <c r="D87" s="43">
        <f>COUNTIF('PF144'!U10:U153,"ADC[0]_6")</f>
        <v>0</v>
      </c>
      <c r="E87" s="43">
        <f>COUNTIF('PF144'!U10:U153,"ADC[1]_6")</f>
        <v>0</v>
      </c>
      <c r="F87" s="43">
        <f>COUNTIF('PF144'!U10:U153,"ADC[2]_6")</f>
        <v>0</v>
      </c>
    </row>
    <row r="88" spans="2:6" x14ac:dyDescent="0.55000000000000004">
      <c r="B88" s="146"/>
      <c r="C88" s="43" t="s">
        <v>506</v>
      </c>
      <c r="D88" s="43">
        <f>COUNTIF('PF144'!U10:U153,"ADC[0]_7")</f>
        <v>0</v>
      </c>
      <c r="E88" s="43">
        <f>COUNTIF('PF144'!U10:U153,"ADC[1]_7")</f>
        <v>0</v>
      </c>
      <c r="F88" s="43">
        <f>COUNTIF('PF144'!U10:U153,"ADC[2]_7")</f>
        <v>0</v>
      </c>
    </row>
    <row r="89" spans="2:6" x14ac:dyDescent="0.55000000000000004">
      <c r="B89" s="146"/>
      <c r="C89" s="43" t="s">
        <v>507</v>
      </c>
      <c r="D89" s="43">
        <f>COUNTIF('PF144'!U10:U153,"ADC[0]_8")</f>
        <v>0</v>
      </c>
      <c r="E89" s="43">
        <f>COUNTIF('PF144'!U10:U153,"ADC[1]_8")</f>
        <v>0</v>
      </c>
      <c r="F89" s="43">
        <f>COUNTIF('PF144'!U10:U153,"ADC[2]_8")</f>
        <v>0</v>
      </c>
    </row>
    <row r="90" spans="2:6" x14ac:dyDescent="0.55000000000000004">
      <c r="B90" s="146"/>
      <c r="C90" s="43" t="s">
        <v>508</v>
      </c>
      <c r="D90" s="43">
        <f>COUNTIF('PF144'!U10:U153,"ADC[0]_9")</f>
        <v>0</v>
      </c>
      <c r="E90" s="43">
        <f>COUNTIF('PF144'!U10:U153,"ADC[1]_9")</f>
        <v>0</v>
      </c>
      <c r="F90" s="43">
        <f>COUNTIF('PF144'!U10:U153,"ADC[2]_9")</f>
        <v>0</v>
      </c>
    </row>
    <row r="91" spans="2:6" x14ac:dyDescent="0.55000000000000004">
      <c r="B91" s="146"/>
      <c r="C91" s="43" t="s">
        <v>509</v>
      </c>
      <c r="D91" s="43">
        <f>COUNTIF('PF144'!U10:U153,"ADC[0]_10")</f>
        <v>0</v>
      </c>
      <c r="E91" s="43">
        <f>COUNTIF('PF144'!U10:U153,"ADC[1]_10")</f>
        <v>0</v>
      </c>
      <c r="F91" s="43">
        <f>COUNTIF('PF144'!U10:U153,"ADC[2]_10")</f>
        <v>0</v>
      </c>
    </row>
    <row r="92" spans="2:6" x14ac:dyDescent="0.55000000000000004">
      <c r="B92" s="146"/>
      <c r="C92" s="43" t="s">
        <v>510</v>
      </c>
      <c r="D92" s="43">
        <f>COUNTIF('PF144'!U10:U153,"ADC[0]_11")</f>
        <v>0</v>
      </c>
      <c r="E92" s="43">
        <f>COUNTIF('PF144'!U10:U153,"ADC[1]_11")</f>
        <v>0</v>
      </c>
      <c r="F92" s="43">
        <f>COUNTIF('PF144'!U10:U153,"ADC[2]_11")</f>
        <v>0</v>
      </c>
    </row>
    <row r="93" spans="2:6" x14ac:dyDescent="0.55000000000000004">
      <c r="B93" s="146"/>
      <c r="C93" s="43" t="s">
        <v>511</v>
      </c>
      <c r="D93" s="43">
        <f>COUNTIF('PF144'!U10:U153,"ADC[0]_12")</f>
        <v>0</v>
      </c>
      <c r="E93" s="43">
        <f>COUNTIF('PF144'!U10:U153,"ADC[1]_12")</f>
        <v>0</v>
      </c>
      <c r="F93" s="43">
        <f>COUNTIF('PF144'!U10:U153,"ADC[2]_12")</f>
        <v>0</v>
      </c>
    </row>
    <row r="94" spans="2:6" x14ac:dyDescent="0.55000000000000004">
      <c r="B94" s="146"/>
      <c r="C94" s="43" t="s">
        <v>512</v>
      </c>
      <c r="D94" s="43">
        <f>COUNTIF('PF144'!U10:U153,"ADC[0]_13")</f>
        <v>0</v>
      </c>
      <c r="E94" s="43">
        <f>COUNTIF('PF144'!U10:U153,"ADC[1]_13")</f>
        <v>0</v>
      </c>
      <c r="F94" s="43">
        <f>COUNTIF('PF144'!U10:U153,"ADC[2]_13")</f>
        <v>0</v>
      </c>
    </row>
    <row r="95" spans="2:6" x14ac:dyDescent="0.55000000000000004">
      <c r="B95" s="146"/>
      <c r="C95" s="43" t="s">
        <v>513</v>
      </c>
      <c r="D95" s="43">
        <f>COUNTIF('PF144'!U10:U153,"ADC[0]_14")</f>
        <v>0</v>
      </c>
      <c r="E95" s="43">
        <f>COUNTIF('PF144'!U10:U153,"ADC[1]_14")</f>
        <v>0</v>
      </c>
      <c r="F95" s="43">
        <f>COUNTIF('PF144'!U10:U153,"ADC[2]_14")</f>
        <v>0</v>
      </c>
    </row>
    <row r="96" spans="2:6" x14ac:dyDescent="0.55000000000000004">
      <c r="B96" s="146"/>
      <c r="C96" s="43" t="s">
        <v>514</v>
      </c>
      <c r="D96" s="43">
        <f>COUNTIF('PF144'!U10:U153,"ADC[0]_15")</f>
        <v>0</v>
      </c>
      <c r="E96" s="43">
        <f>COUNTIF('PF144'!U10:U153,"ADC[1]_15")</f>
        <v>0</v>
      </c>
      <c r="F96" s="43">
        <f>COUNTIF('PF144'!U10:U153,"ADC[2]_15")</f>
        <v>0</v>
      </c>
    </row>
    <row r="97" spans="2:6" x14ac:dyDescent="0.55000000000000004">
      <c r="B97" s="146"/>
      <c r="C97" s="43" t="s">
        <v>515</v>
      </c>
      <c r="D97" s="43">
        <f>COUNTIF('PF144'!U10:U153,"ADC[0]_16")</f>
        <v>0</v>
      </c>
      <c r="E97" s="43">
        <f>COUNTIF('PF144'!U10:U153,"ADC[1]_16")</f>
        <v>0</v>
      </c>
      <c r="F97" s="43">
        <f>COUNTIF('PF144'!U10:U153,"ADC[2]_16")</f>
        <v>0</v>
      </c>
    </row>
    <row r="98" spans="2:6" x14ac:dyDescent="0.55000000000000004">
      <c r="B98" s="146"/>
      <c r="C98" s="43" t="s">
        <v>516</v>
      </c>
      <c r="D98" s="43">
        <f>COUNTIF('PF144'!U10:U153,"ADC[0]_17")</f>
        <v>0</v>
      </c>
      <c r="E98" s="43">
        <f>COUNTIF('PF144'!U10:U153,"ADC[1]_17")</f>
        <v>0</v>
      </c>
      <c r="F98" s="43">
        <f>COUNTIF('PF144'!U10:U153,"ADC[2]_17")</f>
        <v>0</v>
      </c>
    </row>
    <row r="99" spans="2:6" x14ac:dyDescent="0.55000000000000004">
      <c r="B99" s="146"/>
      <c r="C99" s="43" t="s">
        <v>517</v>
      </c>
      <c r="D99" s="43">
        <f>COUNTIF('PF144'!U10:U153,"ADC[0]_18")</f>
        <v>0</v>
      </c>
      <c r="E99" s="43">
        <f>COUNTIF('PF144'!U10:U153,"ADC[1]_18")</f>
        <v>0</v>
      </c>
      <c r="F99" s="43">
        <f>COUNTIF('PF144'!U10:U153,"ADC[2]_18")</f>
        <v>0</v>
      </c>
    </row>
    <row r="100" spans="2:6" x14ac:dyDescent="0.55000000000000004">
      <c r="B100" s="146"/>
      <c r="C100" s="43" t="s">
        <v>518</v>
      </c>
      <c r="D100" s="43">
        <f>COUNTIF('PF144'!U10:U153,"ADC[0]_19")</f>
        <v>0</v>
      </c>
      <c r="E100" s="43">
        <f>COUNTIF('PF144'!U10:U153,"ADC[1]_19")</f>
        <v>0</v>
      </c>
      <c r="F100" s="43">
        <f>COUNTIF('PF144'!U10:U153,"ADC[2]_19")</f>
        <v>0</v>
      </c>
    </row>
    <row r="101" spans="2:6" x14ac:dyDescent="0.55000000000000004">
      <c r="B101" s="146"/>
      <c r="C101" s="43" t="s">
        <v>519</v>
      </c>
      <c r="D101" s="43">
        <f>COUNTIF('PF144'!U10:U153,"ADC[0]_20")</f>
        <v>0</v>
      </c>
      <c r="E101" s="43">
        <f>COUNTIF('PF144'!U10:U153,"ADC[1]_20")</f>
        <v>0</v>
      </c>
      <c r="F101" s="43">
        <f>COUNTIF('PF144'!U10:U153,"ADC[2]_20")</f>
        <v>0</v>
      </c>
    </row>
    <row r="102" spans="2:6" x14ac:dyDescent="0.55000000000000004">
      <c r="B102" s="146"/>
      <c r="C102" s="43" t="s">
        <v>520</v>
      </c>
      <c r="D102" s="43">
        <f>COUNTIF('PF144'!U10:U153,"ADC[0]_21")</f>
        <v>0</v>
      </c>
      <c r="E102" s="43">
        <f>COUNTIF('PF144'!U10:U153,"ADC[1]_21")</f>
        <v>0</v>
      </c>
      <c r="F102" s="43">
        <f>COUNTIF('PF144'!U10:U153,"ADC[2]_21")</f>
        <v>0</v>
      </c>
    </row>
    <row r="103" spans="2:6" x14ac:dyDescent="0.55000000000000004">
      <c r="B103" s="146"/>
      <c r="C103" s="43" t="s">
        <v>521</v>
      </c>
      <c r="D103" s="43">
        <f>COUNTIF('PF144'!U10:U153,"ADC[0]_22")</f>
        <v>0</v>
      </c>
      <c r="E103" s="43">
        <f>COUNTIF('PF144'!U10:U153,"ADC[1]_22")</f>
        <v>0</v>
      </c>
      <c r="F103" s="43">
        <f>COUNTIF('PF144'!U10:U153,"ADC[2]_22")</f>
        <v>0</v>
      </c>
    </row>
    <row r="104" spans="2:6" x14ac:dyDescent="0.55000000000000004">
      <c r="B104" s="146"/>
      <c r="C104" s="43" t="s">
        <v>522</v>
      </c>
      <c r="D104" s="43">
        <f>COUNTIF('PF144'!U10:U153,"ADC[0]_23")</f>
        <v>0</v>
      </c>
      <c r="E104" s="43">
        <f>COUNTIF('PF144'!U10:U153,"ADC[1]_23")</f>
        <v>0</v>
      </c>
      <c r="F104" s="43">
        <f>COUNTIF('PF144'!U10:U153,"ADC[2]_23")</f>
        <v>0</v>
      </c>
    </row>
    <row r="105" spans="2:6" x14ac:dyDescent="0.55000000000000004">
      <c r="B105" s="146"/>
      <c r="C105" s="43" t="s">
        <v>523</v>
      </c>
      <c r="D105" s="43">
        <f>COUNTIF('PF144'!U10:U153,"ADC[0]_24")</f>
        <v>0</v>
      </c>
      <c r="E105" s="43">
        <f>COUNTIF('PF144'!U10:U153,"ADC[1]_24")</f>
        <v>0</v>
      </c>
      <c r="F105" s="43">
        <f>COUNTIF('PF144'!U10:U153,"ADC[2]_24")</f>
        <v>0</v>
      </c>
    </row>
    <row r="106" spans="2:6" x14ac:dyDescent="0.55000000000000004">
      <c r="B106" s="146"/>
      <c r="C106" s="43" t="s">
        <v>524</v>
      </c>
      <c r="D106" s="43">
        <f>COUNTIF('PF144'!U10:U153,"ADC[0]_25")</f>
        <v>0</v>
      </c>
      <c r="E106" s="43">
        <f>COUNTIF('PF144'!U10:U153,"ADC[1]_25")</f>
        <v>0</v>
      </c>
      <c r="F106" s="43">
        <f>COUNTIF('PF144'!U10:U153,"ADC[2]_25")</f>
        <v>0</v>
      </c>
    </row>
    <row r="107" spans="2:6" x14ac:dyDescent="0.55000000000000004">
      <c r="B107" s="146"/>
      <c r="C107" s="43" t="s">
        <v>525</v>
      </c>
      <c r="D107" s="43">
        <f>COUNTIF('PF144'!U10:U153,"ADC[0]_26")</f>
        <v>0</v>
      </c>
      <c r="E107" s="43">
        <f>COUNTIF('PF144'!U10:U153,"ADC[1]_26")</f>
        <v>0</v>
      </c>
      <c r="F107" s="43">
        <f>COUNTIF('PF144'!U10:U153,"ADC[2]_26")</f>
        <v>0</v>
      </c>
    </row>
    <row r="108" spans="2:6" x14ac:dyDescent="0.55000000000000004">
      <c r="B108" s="146"/>
      <c r="C108" s="43" t="s">
        <v>526</v>
      </c>
      <c r="D108" s="43">
        <f>COUNTIF('PF144'!U10:U153,"ADC[0]_27")</f>
        <v>0</v>
      </c>
      <c r="E108" s="43">
        <f>COUNTIF('PF144'!U10:U153,"ADC[1]_27")</f>
        <v>0</v>
      </c>
      <c r="F108" s="43">
        <f>COUNTIF('PF144'!U10:U153,"ADC[2]_27")</f>
        <v>0</v>
      </c>
    </row>
    <row r="109" spans="2:6" x14ac:dyDescent="0.55000000000000004">
      <c r="B109" s="146"/>
      <c r="C109" s="43" t="s">
        <v>527</v>
      </c>
      <c r="D109" s="43">
        <f>COUNTIF('PF144'!U10:U153,"ADC[0]_28")</f>
        <v>0</v>
      </c>
      <c r="E109" s="43">
        <f>COUNTIF('PF144'!U10:U153,"ADC[1]_28")</f>
        <v>0</v>
      </c>
      <c r="F109" s="43">
        <f>COUNTIF('PF144'!U10:U153,"ADC[2]_28")</f>
        <v>0</v>
      </c>
    </row>
    <row r="110" spans="2:6" x14ac:dyDescent="0.55000000000000004">
      <c r="B110" s="146"/>
      <c r="C110" s="43" t="s">
        <v>528</v>
      </c>
      <c r="D110" s="43">
        <f>COUNTIF('PF144'!U10:U153,"ADC[0]_29")</f>
        <v>0</v>
      </c>
      <c r="E110" s="43">
        <f>COUNTIF('PF144'!U10:U153,"ADC[1]_29")</f>
        <v>0</v>
      </c>
      <c r="F110" s="43">
        <f>COUNTIF('PF144'!U10:U153,"ADC[2]_29")</f>
        <v>0</v>
      </c>
    </row>
    <row r="111" spans="2:6" x14ac:dyDescent="0.55000000000000004">
      <c r="B111" s="146"/>
      <c r="C111" s="43" t="s">
        <v>529</v>
      </c>
      <c r="D111" s="43">
        <f>COUNTIF('PF144'!U10:U153,"ADC[0]_30")</f>
        <v>0</v>
      </c>
      <c r="E111" s="43">
        <f>COUNTIF('PF144'!U10:U153,"ADC[1]_30")</f>
        <v>0</v>
      </c>
      <c r="F111" s="43">
        <f>COUNTIF('PF144'!U10:U153,"ADC[2]_30")</f>
        <v>0</v>
      </c>
    </row>
    <row r="112" spans="2:6" x14ac:dyDescent="0.55000000000000004">
      <c r="B112" s="144"/>
      <c r="C112" s="43" t="s">
        <v>530</v>
      </c>
      <c r="D112" s="43">
        <f>COUNTIF('PF144'!U10:U153,"ADC[0]_31")</f>
        <v>0</v>
      </c>
      <c r="E112" s="43">
        <f>COUNTIF('PF144'!U10:U153,"ADC[1]_31")</f>
        <v>0</v>
      </c>
      <c r="F112" s="43">
        <f>COUNTIF('PF144'!U10:U153,"ADC[2]_31")</f>
        <v>0</v>
      </c>
    </row>
    <row r="113" spans="2:21" ht="20" x14ac:dyDescent="0.55000000000000004">
      <c r="B113" s="68" t="s">
        <v>531</v>
      </c>
      <c r="C113" s="69" t="s">
        <v>430</v>
      </c>
      <c r="D113" s="43">
        <f>COUNTIF('PF144'!U10:U153,"ADC[0]_M")</f>
        <v>0</v>
      </c>
      <c r="E113" s="43">
        <f>COUNTIF('PF144'!U10:U153,"ADC[1]_M")</f>
        <v>0</v>
      </c>
      <c r="F113" s="43">
        <f>COUNTIF('PF144'!U10:U153,"ADC[2]_M")</f>
        <v>0</v>
      </c>
    </row>
    <row r="124" spans="2:21" ht="15" customHeight="1" x14ac:dyDescent="0.35">
      <c r="B124" s="117" t="s">
        <v>847</v>
      </c>
      <c r="C124" s="117"/>
      <c r="D124" s="117"/>
      <c r="E124" s="117"/>
      <c r="F124" s="117"/>
      <c r="G124" s="117"/>
      <c r="H124" s="117"/>
      <c r="I124" s="117"/>
      <c r="J124" s="117"/>
      <c r="K124" s="117"/>
      <c r="L124" s="117"/>
      <c r="M124" s="117"/>
      <c r="N124" s="117"/>
      <c r="O124" s="117"/>
      <c r="P124" s="117"/>
      <c r="Q124" s="117"/>
      <c r="R124" s="117"/>
      <c r="S124" s="117"/>
      <c r="T124" s="117"/>
      <c r="U124" s="117"/>
    </row>
    <row r="125" spans="2:21" ht="172" customHeight="1" x14ac:dyDescent="0.55000000000000004">
      <c r="B125" s="116" t="s">
        <v>848</v>
      </c>
      <c r="C125" s="116"/>
      <c r="D125" s="116"/>
      <c r="E125" s="116"/>
      <c r="F125" s="116"/>
      <c r="G125" s="116"/>
      <c r="H125" s="116"/>
      <c r="I125" s="116"/>
      <c r="J125" s="116"/>
      <c r="K125" s="116"/>
      <c r="L125" s="116"/>
      <c r="M125" s="116"/>
      <c r="N125" s="116"/>
      <c r="O125" s="116"/>
      <c r="P125" s="116"/>
      <c r="Q125" s="116"/>
      <c r="R125" s="116"/>
      <c r="S125" s="116"/>
      <c r="T125" s="116"/>
      <c r="U125" s="116"/>
    </row>
  </sheetData>
  <sheetProtection algorithmName="SHA-512" hashValue="TCs6LqvTcuLh1S23IdfG/VyPU/G9bhUq64nEaW09vrebcdYvAA7ITEeVH/Xtp0tKwyhpU3MHTSyERuYHfXJRTQ==" saltValue="OivaAke80QuTXegUJO8p0A==" spinCount="100000" sheet="1" objects="1" formatCells="0" formatColumns="0" formatRows="0" insertColumns="0" insertRows="0" insertHyperlinks="0" deleteColumns="0" deleteRows="0" selectLockedCells="1" sort="0" autoFilter="0" pivotTables="0"/>
  <mergeCells count="23">
    <mergeCell ref="B65:B66"/>
    <mergeCell ref="B68:C68"/>
    <mergeCell ref="B69:B70"/>
    <mergeCell ref="B63:B64"/>
    <mergeCell ref="B7:C7"/>
    <mergeCell ref="B8:B9"/>
    <mergeCell ref="B11:C11"/>
    <mergeCell ref="B12:B13"/>
    <mergeCell ref="B16:C16"/>
    <mergeCell ref="B17:B19"/>
    <mergeCell ref="B22:C22"/>
    <mergeCell ref="B23:B36"/>
    <mergeCell ref="B37:B44"/>
    <mergeCell ref="B45:B50"/>
    <mergeCell ref="B62:C62"/>
    <mergeCell ref="B71:B72"/>
    <mergeCell ref="B74:C74"/>
    <mergeCell ref="B124:U124"/>
    <mergeCell ref="B125:U125"/>
    <mergeCell ref="B77:B78"/>
    <mergeCell ref="B80:C80"/>
    <mergeCell ref="B81:B112"/>
    <mergeCell ref="B75:B76"/>
  </mergeCells>
  <phoneticPr fontId="3"/>
  <conditionalFormatting sqref="D17:K20 D8:F9 D12:F14 D75:G78 D69:O72 D63:BN66 D81:F113 D23:K50">
    <cfRule type="cellIs" dxfId="13" priority="35" operator="greaterThanOrEqual">
      <formula>2</formula>
    </cfRule>
    <cfRule type="cellIs" dxfId="12" priority="42" operator="notEqual">
      <formula>0</formula>
    </cfRule>
  </conditionalFormatting>
  <pageMargins left="0.7" right="0.7" top="0.75" bottom="0.75" header="0.3" footer="0.3"/>
  <pageSetup paperSize="9" orientation="portrait" r:id="rId1"/>
  <ignoredErrors>
    <ignoredError sqref="D8:F9 D12:F13 D17:K19 D23:K50 D53:K60 D81:F113 D63:AC64 BN63 AD64:BN64 AD63:BM63 D65:BN66 D71:O72 D77:G77 D69:O70 D76:F76 D78:F78 G78 D75:F75 G75:G76" unlockedFormula="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F1938-1F15-4002-A2D6-1DE2C1D30707}">
  <dimension ref="A1:AX60"/>
  <sheetViews>
    <sheetView zoomScale="70" zoomScaleNormal="70" workbookViewId="0">
      <selection activeCell="O3" sqref="O3"/>
    </sheetView>
  </sheetViews>
  <sheetFormatPr defaultRowHeight="10" x14ac:dyDescent="0.55000000000000004"/>
  <cols>
    <col min="1" max="2" width="8.58203125" style="40"/>
    <col min="3" max="3" width="18.58203125" style="40" customWidth="1"/>
    <col min="4" max="5" width="3.33203125" style="40" customWidth="1"/>
    <col min="6" max="41" width="2.33203125" style="40" customWidth="1"/>
    <col min="42" max="43" width="3.33203125" style="40" customWidth="1"/>
    <col min="44" max="44" width="16.58203125" style="40" customWidth="1"/>
    <col min="45" max="47" width="8.58203125" style="40" customWidth="1"/>
    <col min="48" max="269" width="8.58203125" style="40"/>
    <col min="270" max="270" width="14.33203125" style="40" customWidth="1"/>
    <col min="271" max="272" width="3.33203125" style="40" customWidth="1"/>
    <col min="273" max="297" width="2.33203125" style="40" customWidth="1"/>
    <col min="298" max="299" width="3.33203125" style="40" customWidth="1"/>
    <col min="300" max="300" width="14.33203125" style="40" customWidth="1"/>
    <col min="301" max="525" width="8.58203125" style="40"/>
    <col min="526" max="526" width="14.33203125" style="40" customWidth="1"/>
    <col min="527" max="528" width="3.33203125" style="40" customWidth="1"/>
    <col min="529" max="553" width="2.33203125" style="40" customWidth="1"/>
    <col min="554" max="555" width="3.33203125" style="40" customWidth="1"/>
    <col min="556" max="556" width="14.33203125" style="40" customWidth="1"/>
    <col min="557" max="781" width="8.58203125" style="40"/>
    <col min="782" max="782" width="14.33203125" style="40" customWidth="1"/>
    <col min="783" max="784" width="3.33203125" style="40" customWidth="1"/>
    <col min="785" max="809" width="2.33203125" style="40" customWidth="1"/>
    <col min="810" max="811" width="3.33203125" style="40" customWidth="1"/>
    <col min="812" max="812" width="14.33203125" style="40" customWidth="1"/>
    <col min="813" max="1037" width="8.58203125" style="40"/>
    <col min="1038" max="1038" width="14.33203125" style="40" customWidth="1"/>
    <col min="1039" max="1040" width="3.33203125" style="40" customWidth="1"/>
    <col min="1041" max="1065" width="2.33203125" style="40" customWidth="1"/>
    <col min="1066" max="1067" width="3.33203125" style="40" customWidth="1"/>
    <col min="1068" max="1068" width="14.33203125" style="40" customWidth="1"/>
    <col min="1069" max="1293" width="8.58203125" style="40"/>
    <col min="1294" max="1294" width="14.33203125" style="40" customWidth="1"/>
    <col min="1295" max="1296" width="3.33203125" style="40" customWidth="1"/>
    <col min="1297" max="1321" width="2.33203125" style="40" customWidth="1"/>
    <col min="1322" max="1323" width="3.33203125" style="40" customWidth="1"/>
    <col min="1324" max="1324" width="14.33203125" style="40" customWidth="1"/>
    <col min="1325" max="1549" width="8.58203125" style="40"/>
    <col min="1550" max="1550" width="14.33203125" style="40" customWidth="1"/>
    <col min="1551" max="1552" width="3.33203125" style="40" customWidth="1"/>
    <col min="1553" max="1577" width="2.33203125" style="40" customWidth="1"/>
    <col min="1578" max="1579" width="3.33203125" style="40" customWidth="1"/>
    <col min="1580" max="1580" width="14.33203125" style="40" customWidth="1"/>
    <col min="1581" max="1805" width="8.58203125" style="40"/>
    <col min="1806" max="1806" width="14.33203125" style="40" customWidth="1"/>
    <col min="1807" max="1808" width="3.33203125" style="40" customWidth="1"/>
    <col min="1809" max="1833" width="2.33203125" style="40" customWidth="1"/>
    <col min="1834" max="1835" width="3.33203125" style="40" customWidth="1"/>
    <col min="1836" max="1836" width="14.33203125" style="40" customWidth="1"/>
    <col min="1837" max="2061" width="8.58203125" style="40"/>
    <col min="2062" max="2062" width="14.33203125" style="40" customWidth="1"/>
    <col min="2063" max="2064" width="3.33203125" style="40" customWidth="1"/>
    <col min="2065" max="2089" width="2.33203125" style="40" customWidth="1"/>
    <col min="2090" max="2091" width="3.33203125" style="40" customWidth="1"/>
    <col min="2092" max="2092" width="14.33203125" style="40" customWidth="1"/>
    <col min="2093" max="2317" width="8.58203125" style="40"/>
    <col min="2318" max="2318" width="14.33203125" style="40" customWidth="1"/>
    <col min="2319" max="2320" width="3.33203125" style="40" customWidth="1"/>
    <col min="2321" max="2345" width="2.33203125" style="40" customWidth="1"/>
    <col min="2346" max="2347" width="3.33203125" style="40" customWidth="1"/>
    <col min="2348" max="2348" width="14.33203125" style="40" customWidth="1"/>
    <col min="2349" max="2573" width="8.58203125" style="40"/>
    <col min="2574" max="2574" width="14.33203125" style="40" customWidth="1"/>
    <col min="2575" max="2576" width="3.33203125" style="40" customWidth="1"/>
    <col min="2577" max="2601" width="2.33203125" style="40" customWidth="1"/>
    <col min="2602" max="2603" width="3.33203125" style="40" customWidth="1"/>
    <col min="2604" max="2604" width="14.33203125" style="40" customWidth="1"/>
    <col min="2605" max="2829" width="8.58203125" style="40"/>
    <col min="2830" max="2830" width="14.33203125" style="40" customWidth="1"/>
    <col min="2831" max="2832" width="3.33203125" style="40" customWidth="1"/>
    <col min="2833" max="2857" width="2.33203125" style="40" customWidth="1"/>
    <col min="2858" max="2859" width="3.33203125" style="40" customWidth="1"/>
    <col min="2860" max="2860" width="14.33203125" style="40" customWidth="1"/>
    <col min="2861" max="3085" width="8.58203125" style="40"/>
    <col min="3086" max="3086" width="14.33203125" style="40" customWidth="1"/>
    <col min="3087" max="3088" width="3.33203125" style="40" customWidth="1"/>
    <col min="3089" max="3113" width="2.33203125" style="40" customWidth="1"/>
    <col min="3114" max="3115" width="3.33203125" style="40" customWidth="1"/>
    <col min="3116" max="3116" width="14.33203125" style="40" customWidth="1"/>
    <col min="3117" max="3341" width="8.58203125" style="40"/>
    <col min="3342" max="3342" width="14.33203125" style="40" customWidth="1"/>
    <col min="3343" max="3344" width="3.33203125" style="40" customWidth="1"/>
    <col min="3345" max="3369" width="2.33203125" style="40" customWidth="1"/>
    <col min="3370" max="3371" width="3.33203125" style="40" customWidth="1"/>
    <col min="3372" max="3372" width="14.33203125" style="40" customWidth="1"/>
    <col min="3373" max="3597" width="8.58203125" style="40"/>
    <col min="3598" max="3598" width="14.33203125" style="40" customWidth="1"/>
    <col min="3599" max="3600" width="3.33203125" style="40" customWidth="1"/>
    <col min="3601" max="3625" width="2.33203125" style="40" customWidth="1"/>
    <col min="3626" max="3627" width="3.33203125" style="40" customWidth="1"/>
    <col min="3628" max="3628" width="14.33203125" style="40" customWidth="1"/>
    <col min="3629" max="3853" width="8.58203125" style="40"/>
    <col min="3854" max="3854" width="14.33203125" style="40" customWidth="1"/>
    <col min="3855" max="3856" width="3.33203125" style="40" customWidth="1"/>
    <col min="3857" max="3881" width="2.33203125" style="40" customWidth="1"/>
    <col min="3882" max="3883" width="3.33203125" style="40" customWidth="1"/>
    <col min="3884" max="3884" width="14.33203125" style="40" customWidth="1"/>
    <col min="3885" max="4109" width="8.58203125" style="40"/>
    <col min="4110" max="4110" width="14.33203125" style="40" customWidth="1"/>
    <col min="4111" max="4112" width="3.33203125" style="40" customWidth="1"/>
    <col min="4113" max="4137" width="2.33203125" style="40" customWidth="1"/>
    <col min="4138" max="4139" width="3.33203125" style="40" customWidth="1"/>
    <col min="4140" max="4140" width="14.33203125" style="40" customWidth="1"/>
    <col min="4141" max="4365" width="8.58203125" style="40"/>
    <col min="4366" max="4366" width="14.33203125" style="40" customWidth="1"/>
    <col min="4367" max="4368" width="3.33203125" style="40" customWidth="1"/>
    <col min="4369" max="4393" width="2.33203125" style="40" customWidth="1"/>
    <col min="4394" max="4395" width="3.33203125" style="40" customWidth="1"/>
    <col min="4396" max="4396" width="14.33203125" style="40" customWidth="1"/>
    <col min="4397" max="4621" width="8.58203125" style="40"/>
    <col min="4622" max="4622" width="14.33203125" style="40" customWidth="1"/>
    <col min="4623" max="4624" width="3.33203125" style="40" customWidth="1"/>
    <col min="4625" max="4649" width="2.33203125" style="40" customWidth="1"/>
    <col min="4650" max="4651" width="3.33203125" style="40" customWidth="1"/>
    <col min="4652" max="4652" width="14.33203125" style="40" customWidth="1"/>
    <col min="4653" max="4877" width="8.58203125" style="40"/>
    <col min="4878" max="4878" width="14.33203125" style="40" customWidth="1"/>
    <col min="4879" max="4880" width="3.33203125" style="40" customWidth="1"/>
    <col min="4881" max="4905" width="2.33203125" style="40" customWidth="1"/>
    <col min="4906" max="4907" width="3.33203125" style="40" customWidth="1"/>
    <col min="4908" max="4908" width="14.33203125" style="40" customWidth="1"/>
    <col min="4909" max="5133" width="8.58203125" style="40"/>
    <col min="5134" max="5134" width="14.33203125" style="40" customWidth="1"/>
    <col min="5135" max="5136" width="3.33203125" style="40" customWidth="1"/>
    <col min="5137" max="5161" width="2.33203125" style="40" customWidth="1"/>
    <col min="5162" max="5163" width="3.33203125" style="40" customWidth="1"/>
    <col min="5164" max="5164" width="14.33203125" style="40" customWidth="1"/>
    <col min="5165" max="5389" width="8.58203125" style="40"/>
    <col min="5390" max="5390" width="14.33203125" style="40" customWidth="1"/>
    <col min="5391" max="5392" width="3.33203125" style="40" customWidth="1"/>
    <col min="5393" max="5417" width="2.33203125" style="40" customWidth="1"/>
    <col min="5418" max="5419" width="3.33203125" style="40" customWidth="1"/>
    <col min="5420" max="5420" width="14.33203125" style="40" customWidth="1"/>
    <col min="5421" max="5645" width="8.58203125" style="40"/>
    <col min="5646" max="5646" width="14.33203125" style="40" customWidth="1"/>
    <col min="5647" max="5648" width="3.33203125" style="40" customWidth="1"/>
    <col min="5649" max="5673" width="2.33203125" style="40" customWidth="1"/>
    <col min="5674" max="5675" width="3.33203125" style="40" customWidth="1"/>
    <col min="5676" max="5676" width="14.33203125" style="40" customWidth="1"/>
    <col min="5677" max="5901" width="8.58203125" style="40"/>
    <col min="5902" max="5902" width="14.33203125" style="40" customWidth="1"/>
    <col min="5903" max="5904" width="3.33203125" style="40" customWidth="1"/>
    <col min="5905" max="5929" width="2.33203125" style="40" customWidth="1"/>
    <col min="5930" max="5931" width="3.33203125" style="40" customWidth="1"/>
    <col min="5932" max="5932" width="14.33203125" style="40" customWidth="1"/>
    <col min="5933" max="6157" width="8.58203125" style="40"/>
    <col min="6158" max="6158" width="14.33203125" style="40" customWidth="1"/>
    <col min="6159" max="6160" width="3.33203125" style="40" customWidth="1"/>
    <col min="6161" max="6185" width="2.33203125" style="40" customWidth="1"/>
    <col min="6186" max="6187" width="3.33203125" style="40" customWidth="1"/>
    <col min="6188" max="6188" width="14.33203125" style="40" customWidth="1"/>
    <col min="6189" max="6413" width="8.58203125" style="40"/>
    <col min="6414" max="6414" width="14.33203125" style="40" customWidth="1"/>
    <col min="6415" max="6416" width="3.33203125" style="40" customWidth="1"/>
    <col min="6417" max="6441" width="2.33203125" style="40" customWidth="1"/>
    <col min="6442" max="6443" width="3.33203125" style="40" customWidth="1"/>
    <col min="6444" max="6444" width="14.33203125" style="40" customWidth="1"/>
    <col min="6445" max="6669" width="8.58203125" style="40"/>
    <col min="6670" max="6670" width="14.33203125" style="40" customWidth="1"/>
    <col min="6671" max="6672" width="3.33203125" style="40" customWidth="1"/>
    <col min="6673" max="6697" width="2.33203125" style="40" customWidth="1"/>
    <col min="6698" max="6699" width="3.33203125" style="40" customWidth="1"/>
    <col min="6700" max="6700" width="14.33203125" style="40" customWidth="1"/>
    <col min="6701" max="6925" width="8.58203125" style="40"/>
    <col min="6926" max="6926" width="14.33203125" style="40" customWidth="1"/>
    <col min="6927" max="6928" width="3.33203125" style="40" customWidth="1"/>
    <col min="6929" max="6953" width="2.33203125" style="40" customWidth="1"/>
    <col min="6954" max="6955" width="3.33203125" style="40" customWidth="1"/>
    <col min="6956" max="6956" width="14.33203125" style="40" customWidth="1"/>
    <col min="6957" max="7181" width="8.58203125" style="40"/>
    <col min="7182" max="7182" width="14.33203125" style="40" customWidth="1"/>
    <col min="7183" max="7184" width="3.33203125" style="40" customWidth="1"/>
    <col min="7185" max="7209" width="2.33203125" style="40" customWidth="1"/>
    <col min="7210" max="7211" width="3.33203125" style="40" customWidth="1"/>
    <col min="7212" max="7212" width="14.33203125" style="40" customWidth="1"/>
    <col min="7213" max="7437" width="8.58203125" style="40"/>
    <col min="7438" max="7438" width="14.33203125" style="40" customWidth="1"/>
    <col min="7439" max="7440" width="3.33203125" style="40" customWidth="1"/>
    <col min="7441" max="7465" width="2.33203125" style="40" customWidth="1"/>
    <col min="7466" max="7467" width="3.33203125" style="40" customWidth="1"/>
    <col min="7468" max="7468" width="14.33203125" style="40" customWidth="1"/>
    <col min="7469" max="7693" width="8.58203125" style="40"/>
    <col min="7694" max="7694" width="14.33203125" style="40" customWidth="1"/>
    <col min="7695" max="7696" width="3.33203125" style="40" customWidth="1"/>
    <col min="7697" max="7721" width="2.33203125" style="40" customWidth="1"/>
    <col min="7722" max="7723" width="3.33203125" style="40" customWidth="1"/>
    <col min="7724" max="7724" width="14.33203125" style="40" customWidth="1"/>
    <col min="7725" max="7949" width="8.58203125" style="40"/>
    <col min="7950" max="7950" width="14.33203125" style="40" customWidth="1"/>
    <col min="7951" max="7952" width="3.33203125" style="40" customWidth="1"/>
    <col min="7953" max="7977" width="2.33203125" style="40" customWidth="1"/>
    <col min="7978" max="7979" width="3.33203125" style="40" customWidth="1"/>
    <col min="7980" max="7980" width="14.33203125" style="40" customWidth="1"/>
    <col min="7981" max="8205" width="8.58203125" style="40"/>
    <col min="8206" max="8206" width="14.33203125" style="40" customWidth="1"/>
    <col min="8207" max="8208" width="3.33203125" style="40" customWidth="1"/>
    <col min="8209" max="8233" width="2.33203125" style="40" customWidth="1"/>
    <col min="8234" max="8235" width="3.33203125" style="40" customWidth="1"/>
    <col min="8236" max="8236" width="14.33203125" style="40" customWidth="1"/>
    <col min="8237" max="8461" width="8.58203125" style="40"/>
    <col min="8462" max="8462" width="14.33203125" style="40" customWidth="1"/>
    <col min="8463" max="8464" width="3.33203125" style="40" customWidth="1"/>
    <col min="8465" max="8489" width="2.33203125" style="40" customWidth="1"/>
    <col min="8490" max="8491" width="3.33203125" style="40" customWidth="1"/>
    <col min="8492" max="8492" width="14.33203125" style="40" customWidth="1"/>
    <col min="8493" max="8717" width="8.58203125" style="40"/>
    <col min="8718" max="8718" width="14.33203125" style="40" customWidth="1"/>
    <col min="8719" max="8720" width="3.33203125" style="40" customWidth="1"/>
    <col min="8721" max="8745" width="2.33203125" style="40" customWidth="1"/>
    <col min="8746" max="8747" width="3.33203125" style="40" customWidth="1"/>
    <col min="8748" max="8748" width="14.33203125" style="40" customWidth="1"/>
    <col min="8749" max="8973" width="8.58203125" style="40"/>
    <col min="8974" max="8974" width="14.33203125" style="40" customWidth="1"/>
    <col min="8975" max="8976" width="3.33203125" style="40" customWidth="1"/>
    <col min="8977" max="9001" width="2.33203125" style="40" customWidth="1"/>
    <col min="9002" max="9003" width="3.33203125" style="40" customWidth="1"/>
    <col min="9004" max="9004" width="14.33203125" style="40" customWidth="1"/>
    <col min="9005" max="9229" width="8.58203125" style="40"/>
    <col min="9230" max="9230" width="14.33203125" style="40" customWidth="1"/>
    <col min="9231" max="9232" width="3.33203125" style="40" customWidth="1"/>
    <col min="9233" max="9257" width="2.33203125" style="40" customWidth="1"/>
    <col min="9258" max="9259" width="3.33203125" style="40" customWidth="1"/>
    <col min="9260" max="9260" width="14.33203125" style="40" customWidth="1"/>
    <col min="9261" max="9485" width="8.58203125" style="40"/>
    <col min="9486" max="9486" width="14.33203125" style="40" customWidth="1"/>
    <col min="9487" max="9488" width="3.33203125" style="40" customWidth="1"/>
    <col min="9489" max="9513" width="2.33203125" style="40" customWidth="1"/>
    <col min="9514" max="9515" width="3.33203125" style="40" customWidth="1"/>
    <col min="9516" max="9516" width="14.33203125" style="40" customWidth="1"/>
    <col min="9517" max="9741" width="8.58203125" style="40"/>
    <col min="9742" max="9742" width="14.33203125" style="40" customWidth="1"/>
    <col min="9743" max="9744" width="3.33203125" style="40" customWidth="1"/>
    <col min="9745" max="9769" width="2.33203125" style="40" customWidth="1"/>
    <col min="9770" max="9771" width="3.33203125" style="40" customWidth="1"/>
    <col min="9772" max="9772" width="14.33203125" style="40" customWidth="1"/>
    <col min="9773" max="9997" width="8.58203125" style="40"/>
    <col min="9998" max="9998" width="14.33203125" style="40" customWidth="1"/>
    <col min="9999" max="10000" width="3.33203125" style="40" customWidth="1"/>
    <col min="10001" max="10025" width="2.33203125" style="40" customWidth="1"/>
    <col min="10026" max="10027" width="3.33203125" style="40" customWidth="1"/>
    <col min="10028" max="10028" width="14.33203125" style="40" customWidth="1"/>
    <col min="10029" max="10253" width="8.58203125" style="40"/>
    <col min="10254" max="10254" width="14.33203125" style="40" customWidth="1"/>
    <col min="10255" max="10256" width="3.33203125" style="40" customWidth="1"/>
    <col min="10257" max="10281" width="2.33203125" style="40" customWidth="1"/>
    <col min="10282" max="10283" width="3.33203125" style="40" customWidth="1"/>
    <col min="10284" max="10284" width="14.33203125" style="40" customWidth="1"/>
    <col min="10285" max="10509" width="8.58203125" style="40"/>
    <col min="10510" max="10510" width="14.33203125" style="40" customWidth="1"/>
    <col min="10511" max="10512" width="3.33203125" style="40" customWidth="1"/>
    <col min="10513" max="10537" width="2.33203125" style="40" customWidth="1"/>
    <col min="10538" max="10539" width="3.33203125" style="40" customWidth="1"/>
    <col min="10540" max="10540" width="14.33203125" style="40" customWidth="1"/>
    <col min="10541" max="10765" width="8.58203125" style="40"/>
    <col min="10766" max="10766" width="14.33203125" style="40" customWidth="1"/>
    <col min="10767" max="10768" width="3.33203125" style="40" customWidth="1"/>
    <col min="10769" max="10793" width="2.33203125" style="40" customWidth="1"/>
    <col min="10794" max="10795" width="3.33203125" style="40" customWidth="1"/>
    <col min="10796" max="10796" width="14.33203125" style="40" customWidth="1"/>
    <col min="10797" max="11021" width="8.58203125" style="40"/>
    <col min="11022" max="11022" width="14.33203125" style="40" customWidth="1"/>
    <col min="11023" max="11024" width="3.33203125" style="40" customWidth="1"/>
    <col min="11025" max="11049" width="2.33203125" style="40" customWidth="1"/>
    <col min="11050" max="11051" width="3.33203125" style="40" customWidth="1"/>
    <col min="11052" max="11052" width="14.33203125" style="40" customWidth="1"/>
    <col min="11053" max="11277" width="8.58203125" style="40"/>
    <col min="11278" max="11278" width="14.33203125" style="40" customWidth="1"/>
    <col min="11279" max="11280" width="3.33203125" style="40" customWidth="1"/>
    <col min="11281" max="11305" width="2.33203125" style="40" customWidth="1"/>
    <col min="11306" max="11307" width="3.33203125" style="40" customWidth="1"/>
    <col min="11308" max="11308" width="14.33203125" style="40" customWidth="1"/>
    <col min="11309" max="11533" width="8.58203125" style="40"/>
    <col min="11534" max="11534" width="14.33203125" style="40" customWidth="1"/>
    <col min="11535" max="11536" width="3.33203125" style="40" customWidth="1"/>
    <col min="11537" max="11561" width="2.33203125" style="40" customWidth="1"/>
    <col min="11562" max="11563" width="3.33203125" style="40" customWidth="1"/>
    <col min="11564" max="11564" width="14.33203125" style="40" customWidth="1"/>
    <col min="11565" max="11789" width="8.58203125" style="40"/>
    <col min="11790" max="11790" width="14.33203125" style="40" customWidth="1"/>
    <col min="11791" max="11792" width="3.33203125" style="40" customWidth="1"/>
    <col min="11793" max="11817" width="2.33203125" style="40" customWidth="1"/>
    <col min="11818" max="11819" width="3.33203125" style="40" customWidth="1"/>
    <col min="11820" max="11820" width="14.33203125" style="40" customWidth="1"/>
    <col min="11821" max="12045" width="8.58203125" style="40"/>
    <col min="12046" max="12046" width="14.33203125" style="40" customWidth="1"/>
    <col min="12047" max="12048" width="3.33203125" style="40" customWidth="1"/>
    <col min="12049" max="12073" width="2.33203125" style="40" customWidth="1"/>
    <col min="12074" max="12075" width="3.33203125" style="40" customWidth="1"/>
    <col min="12076" max="12076" width="14.33203125" style="40" customWidth="1"/>
    <col min="12077" max="12301" width="8.58203125" style="40"/>
    <col min="12302" max="12302" width="14.33203125" style="40" customWidth="1"/>
    <col min="12303" max="12304" width="3.33203125" style="40" customWidth="1"/>
    <col min="12305" max="12329" width="2.33203125" style="40" customWidth="1"/>
    <col min="12330" max="12331" width="3.33203125" style="40" customWidth="1"/>
    <col min="12332" max="12332" width="14.33203125" style="40" customWidth="1"/>
    <col min="12333" max="12557" width="8.58203125" style="40"/>
    <col min="12558" max="12558" width="14.33203125" style="40" customWidth="1"/>
    <col min="12559" max="12560" width="3.33203125" style="40" customWidth="1"/>
    <col min="12561" max="12585" width="2.33203125" style="40" customWidth="1"/>
    <col min="12586" max="12587" width="3.33203125" style="40" customWidth="1"/>
    <col min="12588" max="12588" width="14.33203125" style="40" customWidth="1"/>
    <col min="12589" max="12813" width="8.58203125" style="40"/>
    <col min="12814" max="12814" width="14.33203125" style="40" customWidth="1"/>
    <col min="12815" max="12816" width="3.33203125" style="40" customWidth="1"/>
    <col min="12817" max="12841" width="2.33203125" style="40" customWidth="1"/>
    <col min="12842" max="12843" width="3.33203125" style="40" customWidth="1"/>
    <col min="12844" max="12844" width="14.33203125" style="40" customWidth="1"/>
    <col min="12845" max="13069" width="8.58203125" style="40"/>
    <col min="13070" max="13070" width="14.33203125" style="40" customWidth="1"/>
    <col min="13071" max="13072" width="3.33203125" style="40" customWidth="1"/>
    <col min="13073" max="13097" width="2.33203125" style="40" customWidth="1"/>
    <col min="13098" max="13099" width="3.33203125" style="40" customWidth="1"/>
    <col min="13100" max="13100" width="14.33203125" style="40" customWidth="1"/>
    <col min="13101" max="13325" width="8.58203125" style="40"/>
    <col min="13326" max="13326" width="14.33203125" style="40" customWidth="1"/>
    <col min="13327" max="13328" width="3.33203125" style="40" customWidth="1"/>
    <col min="13329" max="13353" width="2.33203125" style="40" customWidth="1"/>
    <col min="13354" max="13355" width="3.33203125" style="40" customWidth="1"/>
    <col min="13356" max="13356" width="14.33203125" style="40" customWidth="1"/>
    <col min="13357" max="13581" width="8.58203125" style="40"/>
    <col min="13582" max="13582" width="14.33203125" style="40" customWidth="1"/>
    <col min="13583" max="13584" width="3.33203125" style="40" customWidth="1"/>
    <col min="13585" max="13609" width="2.33203125" style="40" customWidth="1"/>
    <col min="13610" max="13611" width="3.33203125" style="40" customWidth="1"/>
    <col min="13612" max="13612" width="14.33203125" style="40" customWidth="1"/>
    <col min="13613" max="13837" width="8.58203125" style="40"/>
    <col min="13838" max="13838" width="14.33203125" style="40" customWidth="1"/>
    <col min="13839" max="13840" width="3.33203125" style="40" customWidth="1"/>
    <col min="13841" max="13865" width="2.33203125" style="40" customWidth="1"/>
    <col min="13866" max="13867" width="3.33203125" style="40" customWidth="1"/>
    <col min="13868" max="13868" width="14.33203125" style="40" customWidth="1"/>
    <col min="13869" max="14093" width="8.58203125" style="40"/>
    <col min="14094" max="14094" width="14.33203125" style="40" customWidth="1"/>
    <col min="14095" max="14096" width="3.33203125" style="40" customWidth="1"/>
    <col min="14097" max="14121" width="2.33203125" style="40" customWidth="1"/>
    <col min="14122" max="14123" width="3.33203125" style="40" customWidth="1"/>
    <col min="14124" max="14124" width="14.33203125" style="40" customWidth="1"/>
    <col min="14125" max="14349" width="8.58203125" style="40"/>
    <col min="14350" max="14350" width="14.33203125" style="40" customWidth="1"/>
    <col min="14351" max="14352" width="3.33203125" style="40" customWidth="1"/>
    <col min="14353" max="14377" width="2.33203125" style="40" customWidth="1"/>
    <col min="14378" max="14379" width="3.33203125" style="40" customWidth="1"/>
    <col min="14380" max="14380" width="14.33203125" style="40" customWidth="1"/>
    <col min="14381" max="14605" width="8.58203125" style="40"/>
    <col min="14606" max="14606" width="14.33203125" style="40" customWidth="1"/>
    <col min="14607" max="14608" width="3.33203125" style="40" customWidth="1"/>
    <col min="14609" max="14633" width="2.33203125" style="40" customWidth="1"/>
    <col min="14634" max="14635" width="3.33203125" style="40" customWidth="1"/>
    <col min="14636" max="14636" width="14.33203125" style="40" customWidth="1"/>
    <col min="14637" max="14861" width="8.58203125" style="40"/>
    <col min="14862" max="14862" width="14.33203125" style="40" customWidth="1"/>
    <col min="14863" max="14864" width="3.33203125" style="40" customWidth="1"/>
    <col min="14865" max="14889" width="2.33203125" style="40" customWidth="1"/>
    <col min="14890" max="14891" width="3.33203125" style="40" customWidth="1"/>
    <col min="14892" max="14892" width="14.33203125" style="40" customWidth="1"/>
    <col min="14893" max="15117" width="8.58203125" style="40"/>
    <col min="15118" max="15118" width="14.33203125" style="40" customWidth="1"/>
    <col min="15119" max="15120" width="3.33203125" style="40" customWidth="1"/>
    <col min="15121" max="15145" width="2.33203125" style="40" customWidth="1"/>
    <col min="15146" max="15147" width="3.33203125" style="40" customWidth="1"/>
    <col min="15148" max="15148" width="14.33203125" style="40" customWidth="1"/>
    <col min="15149" max="15373" width="8.58203125" style="40"/>
    <col min="15374" max="15374" width="14.33203125" style="40" customWidth="1"/>
    <col min="15375" max="15376" width="3.33203125" style="40" customWidth="1"/>
    <col min="15377" max="15401" width="2.33203125" style="40" customWidth="1"/>
    <col min="15402" max="15403" width="3.33203125" style="40" customWidth="1"/>
    <col min="15404" max="15404" width="14.33203125" style="40" customWidth="1"/>
    <col min="15405" max="15629" width="8.58203125" style="40"/>
    <col min="15630" max="15630" width="14.33203125" style="40" customWidth="1"/>
    <col min="15631" max="15632" width="3.33203125" style="40" customWidth="1"/>
    <col min="15633" max="15657" width="2.33203125" style="40" customWidth="1"/>
    <col min="15658" max="15659" width="3.33203125" style="40" customWidth="1"/>
    <col min="15660" max="15660" width="14.33203125" style="40" customWidth="1"/>
    <col min="15661" max="15885" width="8.58203125" style="40"/>
    <col min="15886" max="15886" width="14.33203125" style="40" customWidth="1"/>
    <col min="15887" max="15888" width="3.33203125" style="40" customWidth="1"/>
    <col min="15889" max="15913" width="2.33203125" style="40" customWidth="1"/>
    <col min="15914" max="15915" width="3.33203125" style="40" customWidth="1"/>
    <col min="15916" max="15916" width="14.33203125" style="40" customWidth="1"/>
    <col min="15917" max="16141" width="8.58203125" style="40"/>
    <col min="16142" max="16142" width="14.33203125" style="40" customWidth="1"/>
    <col min="16143" max="16144" width="3.33203125" style="40" customWidth="1"/>
    <col min="16145" max="16169" width="2.33203125" style="40" customWidth="1"/>
    <col min="16170" max="16171" width="3.33203125" style="40" customWidth="1"/>
    <col min="16172" max="16172" width="14.33203125" style="40" customWidth="1"/>
    <col min="16173" max="16384" width="8.58203125" style="40"/>
  </cols>
  <sheetData>
    <row r="1" spans="1:47" ht="22.5" x14ac:dyDescent="0.55000000000000004">
      <c r="A1" s="39" t="s">
        <v>374</v>
      </c>
      <c r="AS1" s="10"/>
      <c r="AT1" s="10"/>
      <c r="AU1" s="10"/>
    </row>
    <row r="2" spans="1:47" ht="22.5" x14ac:dyDescent="0.55000000000000004">
      <c r="A2" s="39"/>
      <c r="AS2" s="10"/>
      <c r="AT2" s="10"/>
      <c r="AU2" s="10"/>
    </row>
    <row r="3" spans="1:47" ht="22.5" x14ac:dyDescent="0.55000000000000004">
      <c r="A3" s="39"/>
      <c r="AS3" s="10"/>
      <c r="AT3" s="10"/>
      <c r="AU3" s="10"/>
    </row>
    <row r="4" spans="1:47" ht="22.5" x14ac:dyDescent="0.55000000000000004">
      <c r="A4" s="39"/>
      <c r="AS4" s="10"/>
      <c r="AT4" s="10"/>
      <c r="AU4" s="10"/>
    </row>
    <row r="5" spans="1:47" ht="22.5" x14ac:dyDescent="0.55000000000000004">
      <c r="A5" s="39"/>
      <c r="AS5" s="10"/>
      <c r="AT5" s="10"/>
      <c r="AU5" s="11" t="s">
        <v>814</v>
      </c>
    </row>
    <row r="7" spans="1:47" ht="105" customHeight="1" x14ac:dyDescent="0.55000000000000004">
      <c r="F7" s="71" t="str">
        <f>'PF144'!U153</f>
        <v>VDDD</v>
      </c>
      <c r="G7" s="72">
        <f>'PF144'!U152</f>
        <v>0</v>
      </c>
      <c r="H7" s="72">
        <f>'PF144'!U151</f>
        <v>0</v>
      </c>
      <c r="I7" s="72">
        <f>'PF144'!U150</f>
        <v>0</v>
      </c>
      <c r="J7" s="72">
        <f>'PF144'!U149</f>
        <v>0</v>
      </c>
      <c r="K7" s="72">
        <f>'PF144'!U148</f>
        <v>0</v>
      </c>
      <c r="L7" s="72">
        <f>'PF144'!U147</f>
        <v>0</v>
      </c>
      <c r="M7" s="72">
        <f>'PF144'!U146</f>
        <v>0</v>
      </c>
      <c r="N7" s="72">
        <f>'PF144'!U145</f>
        <v>0</v>
      </c>
      <c r="O7" s="72">
        <f>'PF144'!U144</f>
        <v>0</v>
      </c>
      <c r="P7" s="72">
        <f>'PF144'!U143</f>
        <v>0</v>
      </c>
      <c r="Q7" s="72">
        <f>'PF144'!U142</f>
        <v>0</v>
      </c>
      <c r="R7" s="72">
        <f>'PF144'!U141</f>
        <v>0</v>
      </c>
      <c r="S7" s="72">
        <f>'PF144'!U140</f>
        <v>0</v>
      </c>
      <c r="T7" s="72">
        <f>'PF144'!U139</f>
        <v>0</v>
      </c>
      <c r="U7" s="72">
        <f>'PF144'!U138</f>
        <v>0</v>
      </c>
      <c r="V7" s="72">
        <f>'PF144'!U137</f>
        <v>0</v>
      </c>
      <c r="W7" s="71" t="str">
        <f>'PF144'!U136</f>
        <v>VCCD</v>
      </c>
      <c r="X7" s="73" t="str">
        <f>'PF144'!U135</f>
        <v>VSSD</v>
      </c>
      <c r="Y7" s="73" t="str">
        <f>'PF144'!U134</f>
        <v>VSSD</v>
      </c>
      <c r="Z7" s="71" t="str">
        <f>'PF144'!U133</f>
        <v>VDDD</v>
      </c>
      <c r="AA7" s="74" t="str">
        <f>'PF144'!U132</f>
        <v>XRES_L</v>
      </c>
      <c r="AB7" s="72">
        <f>'PF144'!U131</f>
        <v>0</v>
      </c>
      <c r="AC7" s="72">
        <f>'PF144'!U130</f>
        <v>0</v>
      </c>
      <c r="AD7" s="72">
        <f>'PF144'!U129</f>
        <v>0</v>
      </c>
      <c r="AE7" s="72">
        <f>'PF144'!U128</f>
        <v>0</v>
      </c>
      <c r="AF7" s="72">
        <f>'PF144'!U127</f>
        <v>0</v>
      </c>
      <c r="AG7" s="72">
        <f>'PF144'!U126</f>
        <v>0</v>
      </c>
      <c r="AH7" s="72">
        <f>'PF144'!U125</f>
        <v>0</v>
      </c>
      <c r="AI7" s="72">
        <f>'PF144'!U124</f>
        <v>0</v>
      </c>
      <c r="AJ7" s="72">
        <f>'PF144'!U123</f>
        <v>0</v>
      </c>
      <c r="AK7" s="72">
        <f>'PF144'!U122</f>
        <v>0</v>
      </c>
      <c r="AL7" s="72">
        <f>'PF144'!U121</f>
        <v>0</v>
      </c>
      <c r="AM7" s="72">
        <f>'PF144'!U120</f>
        <v>0</v>
      </c>
      <c r="AN7" s="72">
        <f>'PF144'!U119</f>
        <v>0</v>
      </c>
      <c r="AO7" s="73" t="str">
        <f>'PF144'!U118</f>
        <v>VSSD</v>
      </c>
    </row>
    <row r="8" spans="1:47" ht="15" customHeight="1" x14ac:dyDescent="0.55000000000000004">
      <c r="D8" s="75"/>
      <c r="E8" s="76"/>
      <c r="F8" s="76">
        <v>144</v>
      </c>
      <c r="G8" s="76">
        <v>143</v>
      </c>
      <c r="H8" s="76">
        <v>142</v>
      </c>
      <c r="I8" s="76">
        <v>141</v>
      </c>
      <c r="J8" s="76">
        <v>140</v>
      </c>
      <c r="K8" s="76">
        <v>139</v>
      </c>
      <c r="L8" s="76">
        <v>138</v>
      </c>
      <c r="M8" s="76">
        <v>137</v>
      </c>
      <c r="N8" s="76">
        <v>136</v>
      </c>
      <c r="O8" s="76">
        <v>135</v>
      </c>
      <c r="P8" s="76">
        <v>134</v>
      </c>
      <c r="Q8" s="76">
        <v>133</v>
      </c>
      <c r="R8" s="76">
        <v>132</v>
      </c>
      <c r="S8" s="76">
        <v>131</v>
      </c>
      <c r="T8" s="76">
        <v>130</v>
      </c>
      <c r="U8" s="76">
        <v>129</v>
      </c>
      <c r="V8" s="76">
        <v>128</v>
      </c>
      <c r="W8" s="76">
        <v>127</v>
      </c>
      <c r="X8" s="76">
        <v>126</v>
      </c>
      <c r="Y8" s="76">
        <v>125</v>
      </c>
      <c r="Z8" s="76">
        <v>124</v>
      </c>
      <c r="AA8" s="76">
        <v>123</v>
      </c>
      <c r="AB8" s="76">
        <v>122</v>
      </c>
      <c r="AC8" s="76">
        <v>121</v>
      </c>
      <c r="AD8" s="76">
        <v>120</v>
      </c>
      <c r="AE8" s="76">
        <v>119</v>
      </c>
      <c r="AF8" s="76">
        <v>118</v>
      </c>
      <c r="AG8" s="76">
        <v>117</v>
      </c>
      <c r="AH8" s="76">
        <v>116</v>
      </c>
      <c r="AI8" s="76">
        <v>115</v>
      </c>
      <c r="AJ8" s="76">
        <v>114</v>
      </c>
      <c r="AK8" s="76">
        <v>113</v>
      </c>
      <c r="AL8" s="76">
        <v>112</v>
      </c>
      <c r="AM8" s="76">
        <v>111</v>
      </c>
      <c r="AN8" s="76">
        <v>110</v>
      </c>
      <c r="AO8" s="76">
        <v>109</v>
      </c>
      <c r="AP8" s="76"/>
      <c r="AQ8" s="77"/>
    </row>
    <row r="9" spans="1:47" ht="15" customHeight="1" x14ac:dyDescent="0.55000000000000004">
      <c r="D9" s="78"/>
      <c r="E9" s="79"/>
      <c r="F9" s="79"/>
      <c r="G9" s="79"/>
      <c r="H9" s="79"/>
      <c r="I9" s="79"/>
      <c r="J9" s="79"/>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80"/>
    </row>
    <row r="10" spans="1:47" ht="15" customHeight="1" x14ac:dyDescent="0.55000000000000004">
      <c r="B10" s="81"/>
      <c r="C10" s="82" t="str">
        <f>'PF144'!U10</f>
        <v>VSSD</v>
      </c>
      <c r="D10" s="78">
        <v>1</v>
      </c>
      <c r="E10" s="79"/>
      <c r="F10" s="151" t="s">
        <v>366</v>
      </c>
      <c r="G10" s="151"/>
      <c r="H10" s="151"/>
      <c r="I10" s="151"/>
      <c r="J10" s="151"/>
      <c r="K10" s="151"/>
      <c r="L10" s="151"/>
      <c r="M10" s="151"/>
      <c r="N10" s="151"/>
      <c r="O10" s="151"/>
      <c r="P10" s="151"/>
      <c r="Q10" s="151"/>
      <c r="R10" s="151"/>
      <c r="S10" s="151"/>
      <c r="T10" s="151"/>
      <c r="U10" s="151"/>
      <c r="V10" s="151"/>
      <c r="W10" s="151"/>
      <c r="X10" s="151"/>
      <c r="Y10" s="151"/>
      <c r="Z10" s="151"/>
      <c r="AA10" s="151"/>
      <c r="AB10" s="151"/>
      <c r="AC10" s="151"/>
      <c r="AD10" s="151"/>
      <c r="AE10" s="151"/>
      <c r="AF10" s="151"/>
      <c r="AG10" s="151"/>
      <c r="AH10" s="151"/>
      <c r="AI10" s="151"/>
      <c r="AJ10" s="151"/>
      <c r="AK10" s="151"/>
      <c r="AL10" s="151"/>
      <c r="AM10" s="151"/>
      <c r="AN10" s="151"/>
      <c r="AO10" s="151"/>
      <c r="AP10" s="79"/>
      <c r="AQ10" s="80">
        <v>108</v>
      </c>
      <c r="AR10" s="83" t="str">
        <f>'PF144'!U117</f>
        <v>VDDD</v>
      </c>
    </row>
    <row r="11" spans="1:47" ht="15" customHeight="1" x14ac:dyDescent="0.55000000000000004">
      <c r="B11" s="81"/>
      <c r="C11" s="84">
        <f>'PF144'!U11</f>
        <v>0</v>
      </c>
      <c r="D11" s="78">
        <v>2</v>
      </c>
      <c r="E11" s="79"/>
      <c r="F11" s="151"/>
      <c r="G11" s="151"/>
      <c r="H11" s="151"/>
      <c r="I11" s="151"/>
      <c r="J11" s="151"/>
      <c r="K11" s="151"/>
      <c r="L11" s="151"/>
      <c r="M11" s="151"/>
      <c r="N11" s="151"/>
      <c r="O11" s="151"/>
      <c r="P11" s="151"/>
      <c r="Q11" s="151"/>
      <c r="R11" s="151"/>
      <c r="S11" s="151"/>
      <c r="T11" s="151"/>
      <c r="U11" s="151"/>
      <c r="V11" s="151"/>
      <c r="W11" s="151"/>
      <c r="X11" s="151"/>
      <c r="Y11" s="151"/>
      <c r="Z11" s="151"/>
      <c r="AA11" s="151"/>
      <c r="AB11" s="151"/>
      <c r="AC11" s="151"/>
      <c r="AD11" s="151"/>
      <c r="AE11" s="151"/>
      <c r="AF11" s="151"/>
      <c r="AG11" s="151"/>
      <c r="AH11" s="151"/>
      <c r="AI11" s="151"/>
      <c r="AJ11" s="151"/>
      <c r="AK11" s="151"/>
      <c r="AL11" s="151"/>
      <c r="AM11" s="151"/>
      <c r="AN11" s="151"/>
      <c r="AO11" s="151"/>
      <c r="AP11" s="79"/>
      <c r="AQ11" s="80">
        <v>107</v>
      </c>
      <c r="AR11" s="85">
        <f>'PF144'!U116</f>
        <v>0</v>
      </c>
    </row>
    <row r="12" spans="1:47" ht="15" customHeight="1" x14ac:dyDescent="0.55000000000000004">
      <c r="B12" s="81"/>
      <c r="C12" s="84">
        <f>'PF144'!U12</f>
        <v>0</v>
      </c>
      <c r="D12" s="78">
        <v>3</v>
      </c>
      <c r="E12" s="79"/>
      <c r="F12" s="151"/>
      <c r="G12" s="151"/>
      <c r="H12" s="151"/>
      <c r="I12" s="151"/>
      <c r="J12" s="151"/>
      <c r="K12" s="151"/>
      <c r="L12" s="151"/>
      <c r="M12" s="151"/>
      <c r="N12" s="151"/>
      <c r="O12" s="151"/>
      <c r="P12" s="151"/>
      <c r="Q12" s="151"/>
      <c r="R12" s="151"/>
      <c r="S12" s="151"/>
      <c r="T12" s="151"/>
      <c r="U12" s="151"/>
      <c r="V12" s="151"/>
      <c r="W12" s="151"/>
      <c r="X12" s="151"/>
      <c r="Y12" s="151"/>
      <c r="Z12" s="151"/>
      <c r="AA12" s="151"/>
      <c r="AB12" s="151"/>
      <c r="AC12" s="151"/>
      <c r="AD12" s="151"/>
      <c r="AE12" s="151"/>
      <c r="AF12" s="151"/>
      <c r="AG12" s="151"/>
      <c r="AH12" s="151"/>
      <c r="AI12" s="151"/>
      <c r="AJ12" s="151"/>
      <c r="AK12" s="151"/>
      <c r="AL12" s="151"/>
      <c r="AM12" s="151"/>
      <c r="AN12" s="151"/>
      <c r="AO12" s="151"/>
      <c r="AP12" s="79"/>
      <c r="AQ12" s="80">
        <v>106</v>
      </c>
      <c r="AR12" s="85">
        <f>'PF144'!U115</f>
        <v>0</v>
      </c>
    </row>
    <row r="13" spans="1:47" ht="15" customHeight="1" x14ac:dyDescent="0.55000000000000004">
      <c r="B13" s="81"/>
      <c r="C13" s="84">
        <f>'PF144'!U13</f>
        <v>0</v>
      </c>
      <c r="D13" s="78">
        <v>4</v>
      </c>
      <c r="E13" s="79"/>
      <c r="F13" s="151"/>
      <c r="G13" s="151"/>
      <c r="H13" s="151"/>
      <c r="I13" s="151"/>
      <c r="J13" s="151"/>
      <c r="K13" s="151"/>
      <c r="L13" s="151"/>
      <c r="M13" s="151"/>
      <c r="N13" s="151"/>
      <c r="O13" s="151"/>
      <c r="P13" s="151"/>
      <c r="Q13" s="151"/>
      <c r="R13" s="151"/>
      <c r="S13" s="151"/>
      <c r="T13" s="151"/>
      <c r="U13" s="151"/>
      <c r="V13" s="151"/>
      <c r="W13" s="151"/>
      <c r="X13" s="151"/>
      <c r="Y13" s="151"/>
      <c r="Z13" s="151"/>
      <c r="AA13" s="151"/>
      <c r="AB13" s="151"/>
      <c r="AC13" s="151"/>
      <c r="AD13" s="151"/>
      <c r="AE13" s="151"/>
      <c r="AF13" s="151"/>
      <c r="AG13" s="151"/>
      <c r="AH13" s="151"/>
      <c r="AI13" s="151"/>
      <c r="AJ13" s="151"/>
      <c r="AK13" s="151"/>
      <c r="AL13" s="151"/>
      <c r="AM13" s="151"/>
      <c r="AN13" s="151"/>
      <c r="AO13" s="151"/>
      <c r="AP13" s="79"/>
      <c r="AQ13" s="80">
        <v>105</v>
      </c>
      <c r="AR13" s="85">
        <f>'PF144'!U114</f>
        <v>0</v>
      </c>
    </row>
    <row r="14" spans="1:47" ht="15" customHeight="1" x14ac:dyDescent="0.55000000000000004">
      <c r="B14" s="81"/>
      <c r="C14" s="84">
        <f>'PF144'!U14</f>
        <v>0</v>
      </c>
      <c r="D14" s="78">
        <v>5</v>
      </c>
      <c r="E14" s="79"/>
      <c r="F14" s="151"/>
      <c r="G14" s="151"/>
      <c r="H14" s="151"/>
      <c r="I14" s="151"/>
      <c r="J14" s="151"/>
      <c r="K14" s="151"/>
      <c r="L14" s="151"/>
      <c r="M14" s="151"/>
      <c r="N14" s="151"/>
      <c r="O14" s="151"/>
      <c r="P14" s="151"/>
      <c r="Q14" s="151"/>
      <c r="R14" s="151"/>
      <c r="S14" s="151"/>
      <c r="T14" s="151"/>
      <c r="U14" s="151"/>
      <c r="V14" s="151"/>
      <c r="W14" s="151"/>
      <c r="X14" s="151"/>
      <c r="Y14" s="151"/>
      <c r="Z14" s="151"/>
      <c r="AA14" s="151"/>
      <c r="AB14" s="151"/>
      <c r="AC14" s="151"/>
      <c r="AD14" s="151"/>
      <c r="AE14" s="151"/>
      <c r="AF14" s="151"/>
      <c r="AG14" s="151"/>
      <c r="AH14" s="151"/>
      <c r="AI14" s="151"/>
      <c r="AJ14" s="151"/>
      <c r="AK14" s="151"/>
      <c r="AL14" s="151"/>
      <c r="AM14" s="151"/>
      <c r="AN14" s="151"/>
      <c r="AO14" s="151"/>
      <c r="AP14" s="79"/>
      <c r="AQ14" s="80">
        <v>104</v>
      </c>
      <c r="AR14" s="85">
        <f>'PF144'!U113</f>
        <v>0</v>
      </c>
    </row>
    <row r="15" spans="1:47" ht="15" customHeight="1" x14ac:dyDescent="0.55000000000000004">
      <c r="B15" s="81"/>
      <c r="C15" s="84">
        <f>'PF144'!U15</f>
        <v>0</v>
      </c>
      <c r="D15" s="78">
        <v>6</v>
      </c>
      <c r="E15" s="79"/>
      <c r="F15" s="151"/>
      <c r="G15" s="151"/>
      <c r="H15" s="151"/>
      <c r="I15" s="151"/>
      <c r="J15" s="151"/>
      <c r="K15" s="151"/>
      <c r="L15" s="151"/>
      <c r="M15" s="151"/>
      <c r="N15" s="151"/>
      <c r="O15" s="151"/>
      <c r="P15" s="151"/>
      <c r="Q15" s="151"/>
      <c r="R15" s="151"/>
      <c r="S15" s="151"/>
      <c r="T15" s="151"/>
      <c r="U15" s="151"/>
      <c r="V15" s="151"/>
      <c r="W15" s="151"/>
      <c r="X15" s="151"/>
      <c r="Y15" s="151"/>
      <c r="Z15" s="151"/>
      <c r="AA15" s="151"/>
      <c r="AB15" s="151"/>
      <c r="AC15" s="151"/>
      <c r="AD15" s="151"/>
      <c r="AE15" s="151"/>
      <c r="AF15" s="151"/>
      <c r="AG15" s="151"/>
      <c r="AH15" s="151"/>
      <c r="AI15" s="151"/>
      <c r="AJ15" s="151"/>
      <c r="AK15" s="151"/>
      <c r="AL15" s="151"/>
      <c r="AM15" s="151"/>
      <c r="AN15" s="151"/>
      <c r="AO15" s="151"/>
      <c r="AP15" s="79"/>
      <c r="AQ15" s="80">
        <v>103</v>
      </c>
      <c r="AR15" s="85">
        <f>'PF144'!U112</f>
        <v>0</v>
      </c>
    </row>
    <row r="16" spans="1:47" ht="15" customHeight="1" x14ac:dyDescent="0.55000000000000004">
      <c r="B16" s="81"/>
      <c r="C16" s="84">
        <f>'PF144'!U16</f>
        <v>0</v>
      </c>
      <c r="D16" s="78">
        <v>7</v>
      </c>
      <c r="E16" s="79"/>
      <c r="F16" s="151"/>
      <c r="G16" s="151"/>
      <c r="H16" s="151"/>
      <c r="I16" s="151"/>
      <c r="J16" s="151"/>
      <c r="K16" s="151"/>
      <c r="L16" s="151"/>
      <c r="M16" s="151"/>
      <c r="N16" s="151"/>
      <c r="O16" s="151"/>
      <c r="P16" s="151"/>
      <c r="Q16" s="151"/>
      <c r="R16" s="151"/>
      <c r="S16" s="151"/>
      <c r="T16" s="151"/>
      <c r="U16" s="151"/>
      <c r="V16" s="151"/>
      <c r="W16" s="151"/>
      <c r="X16" s="151"/>
      <c r="Y16" s="151"/>
      <c r="Z16" s="151"/>
      <c r="AA16" s="151"/>
      <c r="AB16" s="151"/>
      <c r="AC16" s="151"/>
      <c r="AD16" s="151"/>
      <c r="AE16" s="151"/>
      <c r="AF16" s="151"/>
      <c r="AG16" s="151"/>
      <c r="AH16" s="151"/>
      <c r="AI16" s="151"/>
      <c r="AJ16" s="151"/>
      <c r="AK16" s="151"/>
      <c r="AL16" s="151"/>
      <c r="AM16" s="151"/>
      <c r="AN16" s="151"/>
      <c r="AO16" s="151"/>
      <c r="AP16" s="79"/>
      <c r="AQ16" s="80">
        <v>102</v>
      </c>
      <c r="AR16" s="85">
        <f>'PF144'!U111</f>
        <v>0</v>
      </c>
    </row>
    <row r="17" spans="2:44" ht="15" customHeight="1" x14ac:dyDescent="0.55000000000000004">
      <c r="B17" s="81"/>
      <c r="C17" s="84">
        <f>'PF144'!U17</f>
        <v>0</v>
      </c>
      <c r="D17" s="78">
        <v>8</v>
      </c>
      <c r="E17" s="79"/>
      <c r="F17" s="151"/>
      <c r="G17" s="151"/>
      <c r="H17" s="151"/>
      <c r="I17" s="151"/>
      <c r="J17" s="151"/>
      <c r="K17" s="151"/>
      <c r="L17" s="151"/>
      <c r="M17" s="151"/>
      <c r="N17" s="151"/>
      <c r="O17" s="151"/>
      <c r="P17" s="151"/>
      <c r="Q17" s="151"/>
      <c r="R17" s="151"/>
      <c r="S17" s="151"/>
      <c r="T17" s="151"/>
      <c r="U17" s="151"/>
      <c r="V17" s="151"/>
      <c r="W17" s="151"/>
      <c r="X17" s="151"/>
      <c r="Y17" s="151"/>
      <c r="Z17" s="151"/>
      <c r="AA17" s="151"/>
      <c r="AB17" s="151"/>
      <c r="AC17" s="151"/>
      <c r="AD17" s="151"/>
      <c r="AE17" s="151"/>
      <c r="AF17" s="151"/>
      <c r="AG17" s="151"/>
      <c r="AH17" s="151"/>
      <c r="AI17" s="151"/>
      <c r="AJ17" s="151"/>
      <c r="AK17" s="151"/>
      <c r="AL17" s="151"/>
      <c r="AM17" s="151"/>
      <c r="AN17" s="151"/>
      <c r="AO17" s="151"/>
      <c r="AP17" s="79"/>
      <c r="AQ17" s="80">
        <v>101</v>
      </c>
      <c r="AR17" s="85">
        <f>'PF144'!U110</f>
        <v>0</v>
      </c>
    </row>
    <row r="18" spans="2:44" ht="15" customHeight="1" x14ac:dyDescent="0.55000000000000004">
      <c r="B18" s="81"/>
      <c r="C18" s="84">
        <f>'PF144'!U18</f>
        <v>0</v>
      </c>
      <c r="D18" s="78">
        <v>9</v>
      </c>
      <c r="E18" s="79"/>
      <c r="F18" s="151"/>
      <c r="G18" s="151"/>
      <c r="H18" s="151"/>
      <c r="I18" s="151"/>
      <c r="J18" s="151"/>
      <c r="K18" s="151"/>
      <c r="L18" s="151"/>
      <c r="M18" s="151"/>
      <c r="N18" s="151"/>
      <c r="O18" s="151"/>
      <c r="P18" s="151"/>
      <c r="Q18" s="151"/>
      <c r="R18" s="151"/>
      <c r="S18" s="151"/>
      <c r="T18" s="151"/>
      <c r="U18" s="151"/>
      <c r="V18" s="151"/>
      <c r="W18" s="151"/>
      <c r="X18" s="151"/>
      <c r="Y18" s="151"/>
      <c r="Z18" s="151"/>
      <c r="AA18" s="151"/>
      <c r="AB18" s="151"/>
      <c r="AC18" s="151"/>
      <c r="AD18" s="151"/>
      <c r="AE18" s="151"/>
      <c r="AF18" s="151"/>
      <c r="AG18" s="151"/>
      <c r="AH18" s="151"/>
      <c r="AI18" s="151"/>
      <c r="AJ18" s="151"/>
      <c r="AK18" s="151"/>
      <c r="AL18" s="151"/>
      <c r="AM18" s="151"/>
      <c r="AN18" s="151"/>
      <c r="AO18" s="151"/>
      <c r="AP18" s="79"/>
      <c r="AQ18" s="80">
        <v>100</v>
      </c>
      <c r="AR18" s="85">
        <f>'PF144'!U109</f>
        <v>0</v>
      </c>
    </row>
    <row r="19" spans="2:44" ht="15" customHeight="1" x14ac:dyDescent="0.55000000000000004">
      <c r="B19" s="81"/>
      <c r="C19" s="84">
        <f>'PF144'!U19</f>
        <v>0</v>
      </c>
      <c r="D19" s="78">
        <v>10</v>
      </c>
      <c r="E19" s="79"/>
      <c r="F19" s="151"/>
      <c r="G19" s="151"/>
      <c r="H19" s="151"/>
      <c r="I19" s="151"/>
      <c r="J19" s="151"/>
      <c r="K19" s="151"/>
      <c r="L19" s="151"/>
      <c r="M19" s="151"/>
      <c r="N19" s="151"/>
      <c r="O19" s="151"/>
      <c r="P19" s="151"/>
      <c r="Q19" s="151"/>
      <c r="R19" s="151"/>
      <c r="S19" s="151"/>
      <c r="T19" s="151"/>
      <c r="U19" s="151"/>
      <c r="V19" s="151"/>
      <c r="W19" s="151"/>
      <c r="X19" s="151"/>
      <c r="Y19" s="151"/>
      <c r="Z19" s="151"/>
      <c r="AA19" s="151"/>
      <c r="AB19" s="151"/>
      <c r="AC19" s="151"/>
      <c r="AD19" s="151"/>
      <c r="AE19" s="151"/>
      <c r="AF19" s="151"/>
      <c r="AG19" s="151"/>
      <c r="AH19" s="151"/>
      <c r="AI19" s="151"/>
      <c r="AJ19" s="151"/>
      <c r="AK19" s="151"/>
      <c r="AL19" s="151"/>
      <c r="AM19" s="151"/>
      <c r="AN19" s="151"/>
      <c r="AO19" s="151"/>
      <c r="AP19" s="79"/>
      <c r="AQ19" s="80">
        <v>99</v>
      </c>
      <c r="AR19" s="85">
        <f>'PF144'!U108</f>
        <v>0</v>
      </c>
    </row>
    <row r="20" spans="2:44" ht="15" customHeight="1" x14ac:dyDescent="0.55000000000000004">
      <c r="B20" s="81"/>
      <c r="C20" s="84">
        <f>'PF144'!U20</f>
        <v>0</v>
      </c>
      <c r="D20" s="78">
        <v>11</v>
      </c>
      <c r="E20" s="79"/>
      <c r="F20" s="151"/>
      <c r="G20" s="151"/>
      <c r="H20" s="151"/>
      <c r="I20" s="151"/>
      <c r="J20" s="151"/>
      <c r="K20" s="151"/>
      <c r="L20" s="151"/>
      <c r="M20" s="151"/>
      <c r="N20" s="151"/>
      <c r="O20" s="151"/>
      <c r="P20" s="151"/>
      <c r="Q20" s="151"/>
      <c r="R20" s="151"/>
      <c r="S20" s="151"/>
      <c r="T20" s="151"/>
      <c r="U20" s="151"/>
      <c r="V20" s="151"/>
      <c r="W20" s="151"/>
      <c r="X20" s="151"/>
      <c r="Y20" s="151"/>
      <c r="Z20" s="151"/>
      <c r="AA20" s="151"/>
      <c r="AB20" s="151"/>
      <c r="AC20" s="151"/>
      <c r="AD20" s="151"/>
      <c r="AE20" s="151"/>
      <c r="AF20" s="151"/>
      <c r="AG20" s="151"/>
      <c r="AH20" s="151"/>
      <c r="AI20" s="151"/>
      <c r="AJ20" s="151"/>
      <c r="AK20" s="151"/>
      <c r="AL20" s="151"/>
      <c r="AM20" s="151"/>
      <c r="AN20" s="151"/>
      <c r="AO20" s="151"/>
      <c r="AP20" s="79"/>
      <c r="AQ20" s="80">
        <v>98</v>
      </c>
      <c r="AR20" s="85">
        <f>'PF144'!U107</f>
        <v>0</v>
      </c>
    </row>
    <row r="21" spans="2:44" ht="15" customHeight="1" x14ac:dyDescent="0.55000000000000004">
      <c r="B21" s="81"/>
      <c r="C21" s="84">
        <f>'PF144'!U21</f>
        <v>0</v>
      </c>
      <c r="D21" s="78">
        <v>12</v>
      </c>
      <c r="E21" s="79"/>
      <c r="F21" s="151"/>
      <c r="G21" s="151"/>
      <c r="H21" s="151"/>
      <c r="I21" s="151"/>
      <c r="J21" s="151"/>
      <c r="K21" s="151"/>
      <c r="L21" s="151"/>
      <c r="M21" s="151"/>
      <c r="N21" s="151"/>
      <c r="O21" s="151"/>
      <c r="P21" s="151"/>
      <c r="Q21" s="151"/>
      <c r="R21" s="151"/>
      <c r="S21" s="151"/>
      <c r="T21" s="151"/>
      <c r="U21" s="151"/>
      <c r="V21" s="151"/>
      <c r="W21" s="151"/>
      <c r="X21" s="151"/>
      <c r="Y21" s="151"/>
      <c r="Z21" s="151"/>
      <c r="AA21" s="151"/>
      <c r="AB21" s="151"/>
      <c r="AC21" s="151"/>
      <c r="AD21" s="151"/>
      <c r="AE21" s="151"/>
      <c r="AF21" s="151"/>
      <c r="AG21" s="151"/>
      <c r="AH21" s="151"/>
      <c r="AI21" s="151"/>
      <c r="AJ21" s="151"/>
      <c r="AK21" s="151"/>
      <c r="AL21" s="151"/>
      <c r="AM21" s="151"/>
      <c r="AN21" s="151"/>
      <c r="AO21" s="151"/>
      <c r="AP21" s="79"/>
      <c r="AQ21" s="80">
        <v>97</v>
      </c>
      <c r="AR21" s="85">
        <f>'PF144'!U106</f>
        <v>0</v>
      </c>
    </row>
    <row r="22" spans="2:44" ht="15" customHeight="1" x14ac:dyDescent="0.55000000000000004">
      <c r="B22" s="81"/>
      <c r="C22" s="84">
        <f>'PF144'!U22</f>
        <v>0</v>
      </c>
      <c r="D22" s="78">
        <v>13</v>
      </c>
      <c r="E22" s="79"/>
      <c r="F22" s="151"/>
      <c r="G22" s="151"/>
      <c r="H22" s="151"/>
      <c r="I22" s="151"/>
      <c r="J22" s="151"/>
      <c r="K22" s="151"/>
      <c r="L22" s="151"/>
      <c r="M22" s="151"/>
      <c r="N22" s="151"/>
      <c r="O22" s="151"/>
      <c r="P22" s="151"/>
      <c r="Q22" s="151"/>
      <c r="R22" s="151"/>
      <c r="S22" s="151"/>
      <c r="T22" s="151"/>
      <c r="U22" s="151"/>
      <c r="V22" s="151"/>
      <c r="W22" s="151"/>
      <c r="X22" s="151"/>
      <c r="Y22" s="151"/>
      <c r="Z22" s="151"/>
      <c r="AA22" s="151"/>
      <c r="AB22" s="151"/>
      <c r="AC22" s="151"/>
      <c r="AD22" s="151"/>
      <c r="AE22" s="151"/>
      <c r="AF22" s="151"/>
      <c r="AG22" s="151"/>
      <c r="AH22" s="151"/>
      <c r="AI22" s="151"/>
      <c r="AJ22" s="151"/>
      <c r="AK22" s="151"/>
      <c r="AL22" s="151"/>
      <c r="AM22" s="151"/>
      <c r="AN22" s="151"/>
      <c r="AO22" s="151"/>
      <c r="AP22" s="79"/>
      <c r="AQ22" s="80">
        <v>96</v>
      </c>
      <c r="AR22" s="85">
        <f>'PF144'!U105</f>
        <v>0</v>
      </c>
    </row>
    <row r="23" spans="2:44" ht="15" customHeight="1" x14ac:dyDescent="0.55000000000000004">
      <c r="B23" s="81"/>
      <c r="C23" s="84">
        <f>'PF144'!U23</f>
        <v>0</v>
      </c>
      <c r="D23" s="78">
        <v>14</v>
      </c>
      <c r="E23" s="79"/>
      <c r="F23" s="151"/>
      <c r="G23" s="151"/>
      <c r="H23" s="151"/>
      <c r="I23" s="151"/>
      <c r="J23" s="151"/>
      <c r="K23" s="151"/>
      <c r="L23" s="151"/>
      <c r="M23" s="151"/>
      <c r="N23" s="151"/>
      <c r="O23" s="151"/>
      <c r="P23" s="151"/>
      <c r="Q23" s="151"/>
      <c r="R23" s="151"/>
      <c r="S23" s="151"/>
      <c r="T23" s="151"/>
      <c r="U23" s="151"/>
      <c r="V23" s="151"/>
      <c r="W23" s="151"/>
      <c r="X23" s="151"/>
      <c r="Y23" s="151"/>
      <c r="Z23" s="151"/>
      <c r="AA23" s="151"/>
      <c r="AB23" s="151"/>
      <c r="AC23" s="151"/>
      <c r="AD23" s="151"/>
      <c r="AE23" s="151"/>
      <c r="AF23" s="151"/>
      <c r="AG23" s="151"/>
      <c r="AH23" s="151"/>
      <c r="AI23" s="151"/>
      <c r="AJ23" s="151"/>
      <c r="AK23" s="151"/>
      <c r="AL23" s="151"/>
      <c r="AM23" s="151"/>
      <c r="AN23" s="151"/>
      <c r="AO23" s="151"/>
      <c r="AP23" s="79"/>
      <c r="AQ23" s="80">
        <v>95</v>
      </c>
      <c r="AR23" s="85">
        <f>'PF144'!U104</f>
        <v>0</v>
      </c>
    </row>
    <row r="24" spans="2:44" ht="15" customHeight="1" x14ac:dyDescent="0.55000000000000004">
      <c r="B24" s="81"/>
      <c r="C24" s="84">
        <f>'PF144'!U24</f>
        <v>0</v>
      </c>
      <c r="D24" s="78">
        <v>15</v>
      </c>
      <c r="E24" s="79"/>
      <c r="F24" s="151"/>
      <c r="G24" s="151"/>
      <c r="H24" s="151"/>
      <c r="I24" s="151"/>
      <c r="J24" s="151"/>
      <c r="K24" s="151"/>
      <c r="L24" s="151"/>
      <c r="M24" s="151"/>
      <c r="N24" s="151"/>
      <c r="O24" s="151"/>
      <c r="P24" s="151"/>
      <c r="Q24" s="151"/>
      <c r="R24" s="151"/>
      <c r="S24" s="151"/>
      <c r="T24" s="151"/>
      <c r="U24" s="151"/>
      <c r="V24" s="151"/>
      <c r="W24" s="151"/>
      <c r="X24" s="151"/>
      <c r="Y24" s="151"/>
      <c r="Z24" s="151"/>
      <c r="AA24" s="151"/>
      <c r="AB24" s="151"/>
      <c r="AC24" s="151"/>
      <c r="AD24" s="151"/>
      <c r="AE24" s="151"/>
      <c r="AF24" s="151"/>
      <c r="AG24" s="151"/>
      <c r="AH24" s="151"/>
      <c r="AI24" s="151"/>
      <c r="AJ24" s="151"/>
      <c r="AK24" s="151"/>
      <c r="AL24" s="151"/>
      <c r="AM24" s="151"/>
      <c r="AN24" s="151"/>
      <c r="AO24" s="151"/>
      <c r="AP24" s="79"/>
      <c r="AQ24" s="80">
        <v>94</v>
      </c>
      <c r="AR24" s="85">
        <f>'PF144'!U103</f>
        <v>0</v>
      </c>
    </row>
    <row r="25" spans="2:44" ht="15" customHeight="1" x14ac:dyDescent="0.55000000000000004">
      <c r="B25" s="81"/>
      <c r="C25" s="84">
        <f>'PF144'!U25</f>
        <v>0</v>
      </c>
      <c r="D25" s="78">
        <v>16</v>
      </c>
      <c r="E25" s="79"/>
      <c r="F25" s="151"/>
      <c r="G25" s="151"/>
      <c r="H25" s="151"/>
      <c r="I25" s="151"/>
      <c r="J25" s="151"/>
      <c r="K25" s="151"/>
      <c r="L25" s="151"/>
      <c r="M25" s="151"/>
      <c r="N25" s="151"/>
      <c r="O25" s="151"/>
      <c r="P25" s="151"/>
      <c r="Q25" s="151"/>
      <c r="R25" s="151"/>
      <c r="S25" s="151"/>
      <c r="T25" s="151"/>
      <c r="U25" s="151"/>
      <c r="V25" s="151"/>
      <c r="W25" s="151"/>
      <c r="X25" s="151"/>
      <c r="Y25" s="151"/>
      <c r="Z25" s="151"/>
      <c r="AA25" s="151"/>
      <c r="AB25" s="151"/>
      <c r="AC25" s="151"/>
      <c r="AD25" s="151"/>
      <c r="AE25" s="151"/>
      <c r="AF25" s="151"/>
      <c r="AG25" s="151"/>
      <c r="AH25" s="151"/>
      <c r="AI25" s="151"/>
      <c r="AJ25" s="151"/>
      <c r="AK25" s="151"/>
      <c r="AL25" s="151"/>
      <c r="AM25" s="151"/>
      <c r="AN25" s="151"/>
      <c r="AO25" s="151"/>
      <c r="AP25" s="79"/>
      <c r="AQ25" s="80">
        <v>93</v>
      </c>
      <c r="AR25" s="85">
        <f>'PF144'!U102</f>
        <v>0</v>
      </c>
    </row>
    <row r="26" spans="2:44" ht="15" customHeight="1" x14ac:dyDescent="0.55000000000000004">
      <c r="B26" s="81"/>
      <c r="C26" s="84">
        <f>'PF144'!U26</f>
        <v>0</v>
      </c>
      <c r="D26" s="78">
        <v>17</v>
      </c>
      <c r="E26" s="79"/>
      <c r="F26" s="151"/>
      <c r="G26" s="151"/>
      <c r="H26" s="151"/>
      <c r="I26" s="151"/>
      <c r="J26" s="151"/>
      <c r="K26" s="151"/>
      <c r="L26" s="151"/>
      <c r="M26" s="151"/>
      <c r="N26" s="151"/>
      <c r="O26" s="151"/>
      <c r="P26" s="151"/>
      <c r="Q26" s="151"/>
      <c r="R26" s="151"/>
      <c r="S26" s="151"/>
      <c r="T26" s="151"/>
      <c r="U26" s="151"/>
      <c r="V26" s="151"/>
      <c r="W26" s="151"/>
      <c r="X26" s="151"/>
      <c r="Y26" s="151"/>
      <c r="Z26" s="151"/>
      <c r="AA26" s="151"/>
      <c r="AB26" s="151"/>
      <c r="AC26" s="151"/>
      <c r="AD26" s="151"/>
      <c r="AE26" s="151"/>
      <c r="AF26" s="151"/>
      <c r="AG26" s="151"/>
      <c r="AH26" s="151"/>
      <c r="AI26" s="151"/>
      <c r="AJ26" s="151"/>
      <c r="AK26" s="151"/>
      <c r="AL26" s="151"/>
      <c r="AM26" s="151"/>
      <c r="AN26" s="151"/>
      <c r="AO26" s="151"/>
      <c r="AP26" s="79"/>
      <c r="AQ26" s="80">
        <v>92</v>
      </c>
      <c r="AR26" s="85">
        <f>'PF144'!U101</f>
        <v>0</v>
      </c>
    </row>
    <row r="27" spans="2:44" ht="15" customHeight="1" x14ac:dyDescent="0.55000000000000004">
      <c r="B27" s="81"/>
      <c r="C27" s="86" t="str">
        <f>'PF144'!U27</f>
        <v>VDDD</v>
      </c>
      <c r="D27" s="78">
        <v>18</v>
      </c>
      <c r="E27" s="79"/>
      <c r="F27" s="151"/>
      <c r="G27" s="151"/>
      <c r="H27" s="151"/>
      <c r="I27" s="151"/>
      <c r="J27" s="151"/>
      <c r="K27" s="151"/>
      <c r="L27" s="151"/>
      <c r="M27" s="151"/>
      <c r="N27" s="151"/>
      <c r="O27" s="151"/>
      <c r="P27" s="151"/>
      <c r="Q27" s="151"/>
      <c r="R27" s="151"/>
      <c r="S27" s="151"/>
      <c r="T27" s="151"/>
      <c r="U27" s="151"/>
      <c r="V27" s="151"/>
      <c r="W27" s="151"/>
      <c r="X27" s="151"/>
      <c r="Y27" s="151"/>
      <c r="Z27" s="151"/>
      <c r="AA27" s="151"/>
      <c r="AB27" s="151"/>
      <c r="AC27" s="151"/>
      <c r="AD27" s="151"/>
      <c r="AE27" s="151"/>
      <c r="AF27" s="151"/>
      <c r="AG27" s="151"/>
      <c r="AH27" s="151"/>
      <c r="AI27" s="151"/>
      <c r="AJ27" s="151"/>
      <c r="AK27" s="151"/>
      <c r="AL27" s="151"/>
      <c r="AM27" s="151"/>
      <c r="AN27" s="151"/>
      <c r="AO27" s="151"/>
      <c r="AP27" s="79"/>
      <c r="AQ27" s="80">
        <v>91</v>
      </c>
      <c r="AR27" s="85">
        <f>'PF144'!U100</f>
        <v>0</v>
      </c>
    </row>
    <row r="28" spans="2:44" ht="15" customHeight="1" x14ac:dyDescent="0.55000000000000004">
      <c r="B28" s="81"/>
      <c r="C28" s="82" t="str">
        <f>'PF144'!U28</f>
        <v>VSSD</v>
      </c>
      <c r="D28" s="78">
        <v>19</v>
      </c>
      <c r="E28" s="79"/>
      <c r="F28" s="151"/>
      <c r="G28" s="151"/>
      <c r="H28" s="151"/>
      <c r="I28" s="151"/>
      <c r="J28" s="151"/>
      <c r="K28" s="151"/>
      <c r="L28" s="151"/>
      <c r="M28" s="151"/>
      <c r="N28" s="151"/>
      <c r="O28" s="151"/>
      <c r="P28" s="151"/>
      <c r="Q28" s="151"/>
      <c r="R28" s="151"/>
      <c r="S28" s="151"/>
      <c r="T28" s="151"/>
      <c r="U28" s="151"/>
      <c r="V28" s="151"/>
      <c r="W28" s="151"/>
      <c r="X28" s="151"/>
      <c r="Y28" s="151"/>
      <c r="Z28" s="151"/>
      <c r="AA28" s="151"/>
      <c r="AB28" s="151"/>
      <c r="AC28" s="151"/>
      <c r="AD28" s="151"/>
      <c r="AE28" s="151"/>
      <c r="AF28" s="151"/>
      <c r="AG28" s="151"/>
      <c r="AH28" s="151"/>
      <c r="AI28" s="151"/>
      <c r="AJ28" s="151"/>
      <c r="AK28" s="151"/>
      <c r="AL28" s="151"/>
      <c r="AM28" s="151"/>
      <c r="AN28" s="151"/>
      <c r="AO28" s="151"/>
      <c r="AP28" s="79"/>
      <c r="AQ28" s="80">
        <v>90</v>
      </c>
      <c r="AR28" s="85">
        <f>'PF144'!U99</f>
        <v>0</v>
      </c>
    </row>
    <row r="29" spans="2:44" ht="15" customHeight="1" x14ac:dyDescent="0.55000000000000004">
      <c r="B29" s="81"/>
      <c r="C29" s="84">
        <f>'PF144'!U29</f>
        <v>0</v>
      </c>
      <c r="D29" s="78">
        <v>20</v>
      </c>
      <c r="E29" s="79"/>
      <c r="F29" s="151"/>
      <c r="G29" s="151"/>
      <c r="H29" s="151"/>
      <c r="I29" s="151"/>
      <c r="J29" s="151"/>
      <c r="K29" s="151"/>
      <c r="L29" s="151"/>
      <c r="M29" s="151"/>
      <c r="N29" s="151"/>
      <c r="O29" s="151"/>
      <c r="P29" s="151"/>
      <c r="Q29" s="151"/>
      <c r="R29" s="151"/>
      <c r="S29" s="151"/>
      <c r="T29" s="151"/>
      <c r="U29" s="151"/>
      <c r="V29" s="151"/>
      <c r="W29" s="151"/>
      <c r="X29" s="151"/>
      <c r="Y29" s="151"/>
      <c r="Z29" s="151"/>
      <c r="AA29" s="151"/>
      <c r="AB29" s="151"/>
      <c r="AC29" s="151"/>
      <c r="AD29" s="151"/>
      <c r="AE29" s="151"/>
      <c r="AF29" s="151"/>
      <c r="AG29" s="151"/>
      <c r="AH29" s="151"/>
      <c r="AI29" s="151"/>
      <c r="AJ29" s="151"/>
      <c r="AK29" s="151"/>
      <c r="AL29" s="151"/>
      <c r="AM29" s="151"/>
      <c r="AN29" s="151"/>
      <c r="AO29" s="151"/>
      <c r="AP29" s="79"/>
      <c r="AQ29" s="80">
        <v>89</v>
      </c>
      <c r="AR29" s="85">
        <f>'PF144'!U98</f>
        <v>0</v>
      </c>
    </row>
    <row r="30" spans="2:44" ht="15" customHeight="1" x14ac:dyDescent="0.55000000000000004">
      <c r="B30" s="81"/>
      <c r="C30" s="84">
        <f>'PF144'!U30</f>
        <v>0</v>
      </c>
      <c r="D30" s="78">
        <v>21</v>
      </c>
      <c r="E30" s="79"/>
      <c r="F30" s="151"/>
      <c r="G30" s="151"/>
      <c r="H30" s="151"/>
      <c r="I30" s="151"/>
      <c r="J30" s="151"/>
      <c r="K30" s="151"/>
      <c r="L30" s="151"/>
      <c r="M30" s="151"/>
      <c r="N30" s="151"/>
      <c r="O30" s="151"/>
      <c r="P30" s="151"/>
      <c r="Q30" s="151"/>
      <c r="R30" s="151"/>
      <c r="S30" s="151"/>
      <c r="T30" s="151"/>
      <c r="U30" s="151"/>
      <c r="V30" s="151"/>
      <c r="W30" s="151"/>
      <c r="X30" s="151"/>
      <c r="Y30" s="151"/>
      <c r="Z30" s="151"/>
      <c r="AA30" s="151"/>
      <c r="AB30" s="151"/>
      <c r="AC30" s="151"/>
      <c r="AD30" s="151"/>
      <c r="AE30" s="151"/>
      <c r="AF30" s="151"/>
      <c r="AG30" s="151"/>
      <c r="AH30" s="151"/>
      <c r="AI30" s="151"/>
      <c r="AJ30" s="151"/>
      <c r="AK30" s="151"/>
      <c r="AL30" s="151"/>
      <c r="AM30" s="151"/>
      <c r="AN30" s="151"/>
      <c r="AO30" s="151"/>
      <c r="AP30" s="79"/>
      <c r="AQ30" s="80">
        <v>88</v>
      </c>
      <c r="AR30" s="85">
        <f>'PF144'!U97</f>
        <v>0</v>
      </c>
    </row>
    <row r="31" spans="2:44" ht="15" customHeight="1" x14ac:dyDescent="0.55000000000000004">
      <c r="B31" s="81"/>
      <c r="C31" s="84">
        <f>'PF144'!U31</f>
        <v>0</v>
      </c>
      <c r="D31" s="78">
        <v>22</v>
      </c>
      <c r="E31" s="79"/>
      <c r="F31" s="151"/>
      <c r="G31" s="151"/>
      <c r="H31" s="151"/>
      <c r="I31" s="151"/>
      <c r="J31" s="151"/>
      <c r="K31" s="151"/>
      <c r="L31" s="151"/>
      <c r="M31" s="151"/>
      <c r="N31" s="151"/>
      <c r="O31" s="151"/>
      <c r="P31" s="151"/>
      <c r="Q31" s="151"/>
      <c r="R31" s="151"/>
      <c r="S31" s="151"/>
      <c r="T31" s="151"/>
      <c r="U31" s="151"/>
      <c r="V31" s="151"/>
      <c r="W31" s="151"/>
      <c r="X31" s="151"/>
      <c r="Y31" s="151"/>
      <c r="Z31" s="151"/>
      <c r="AA31" s="151"/>
      <c r="AB31" s="151"/>
      <c r="AC31" s="151"/>
      <c r="AD31" s="151"/>
      <c r="AE31" s="151"/>
      <c r="AF31" s="151"/>
      <c r="AG31" s="151"/>
      <c r="AH31" s="151"/>
      <c r="AI31" s="151"/>
      <c r="AJ31" s="151"/>
      <c r="AK31" s="151"/>
      <c r="AL31" s="151"/>
      <c r="AM31" s="151"/>
      <c r="AN31" s="151"/>
      <c r="AO31" s="151"/>
      <c r="AP31" s="79"/>
      <c r="AQ31" s="80">
        <v>87</v>
      </c>
      <c r="AR31" s="85">
        <f>'PF144'!U96</f>
        <v>0</v>
      </c>
    </row>
    <row r="32" spans="2:44" ht="15" customHeight="1" x14ac:dyDescent="0.55000000000000004">
      <c r="B32" s="81"/>
      <c r="C32" s="84">
        <f>'PF144'!U32</f>
        <v>0</v>
      </c>
      <c r="D32" s="78">
        <v>23</v>
      </c>
      <c r="E32" s="79"/>
      <c r="F32" s="151"/>
      <c r="G32" s="151"/>
      <c r="H32" s="151"/>
      <c r="I32" s="151"/>
      <c r="J32" s="151"/>
      <c r="K32" s="151"/>
      <c r="L32" s="151"/>
      <c r="M32" s="151"/>
      <c r="N32" s="151"/>
      <c r="O32" s="151"/>
      <c r="P32" s="151"/>
      <c r="Q32" s="151"/>
      <c r="R32" s="151"/>
      <c r="S32" s="151"/>
      <c r="T32" s="151"/>
      <c r="U32" s="151"/>
      <c r="V32" s="151"/>
      <c r="W32" s="151"/>
      <c r="X32" s="151"/>
      <c r="Y32" s="151"/>
      <c r="Z32" s="151"/>
      <c r="AA32" s="151"/>
      <c r="AB32" s="151"/>
      <c r="AC32" s="151"/>
      <c r="AD32" s="151"/>
      <c r="AE32" s="151"/>
      <c r="AF32" s="151"/>
      <c r="AG32" s="151"/>
      <c r="AH32" s="151"/>
      <c r="AI32" s="151"/>
      <c r="AJ32" s="151"/>
      <c r="AK32" s="151"/>
      <c r="AL32" s="151"/>
      <c r="AM32" s="151"/>
      <c r="AN32" s="151"/>
      <c r="AO32" s="151"/>
      <c r="AP32" s="79"/>
      <c r="AQ32" s="80">
        <v>86</v>
      </c>
      <c r="AR32" s="85">
        <f>'PF144'!U95</f>
        <v>0</v>
      </c>
    </row>
    <row r="33" spans="2:44" ht="15" customHeight="1" x14ac:dyDescent="0.55000000000000004">
      <c r="B33" s="81"/>
      <c r="C33" s="84">
        <f>'PF144'!U33</f>
        <v>0</v>
      </c>
      <c r="D33" s="78">
        <v>24</v>
      </c>
      <c r="E33" s="79"/>
      <c r="F33" s="151"/>
      <c r="G33" s="151"/>
      <c r="H33" s="151"/>
      <c r="I33" s="151"/>
      <c r="J33" s="151"/>
      <c r="K33" s="151"/>
      <c r="L33" s="151"/>
      <c r="M33" s="151"/>
      <c r="N33" s="151"/>
      <c r="O33" s="151"/>
      <c r="P33" s="151"/>
      <c r="Q33" s="151"/>
      <c r="R33" s="151"/>
      <c r="S33" s="151"/>
      <c r="T33" s="151"/>
      <c r="U33" s="151"/>
      <c r="V33" s="151"/>
      <c r="W33" s="151"/>
      <c r="X33" s="151"/>
      <c r="Y33" s="151"/>
      <c r="Z33" s="151"/>
      <c r="AA33" s="151"/>
      <c r="AB33" s="151"/>
      <c r="AC33" s="151"/>
      <c r="AD33" s="151"/>
      <c r="AE33" s="151"/>
      <c r="AF33" s="151"/>
      <c r="AG33" s="151"/>
      <c r="AH33" s="151"/>
      <c r="AI33" s="151"/>
      <c r="AJ33" s="151"/>
      <c r="AK33" s="151"/>
      <c r="AL33" s="151"/>
      <c r="AM33" s="151"/>
      <c r="AN33" s="151"/>
      <c r="AO33" s="151"/>
      <c r="AP33" s="79"/>
      <c r="AQ33" s="80">
        <v>85</v>
      </c>
      <c r="AR33" s="85">
        <f>'PF144'!U94</f>
        <v>0</v>
      </c>
    </row>
    <row r="34" spans="2:44" ht="15" customHeight="1" x14ac:dyDescent="0.55000000000000004">
      <c r="B34" s="81"/>
      <c r="C34" s="84">
        <f>'PF144'!U34</f>
        <v>0</v>
      </c>
      <c r="D34" s="78">
        <v>25</v>
      </c>
      <c r="E34" s="79"/>
      <c r="F34" s="151"/>
      <c r="G34" s="151"/>
      <c r="H34" s="151"/>
      <c r="I34" s="151"/>
      <c r="J34" s="151"/>
      <c r="K34" s="151"/>
      <c r="L34" s="151"/>
      <c r="M34" s="151"/>
      <c r="N34" s="151"/>
      <c r="O34" s="151"/>
      <c r="P34" s="151"/>
      <c r="Q34" s="151"/>
      <c r="R34" s="151"/>
      <c r="S34" s="151"/>
      <c r="T34" s="151"/>
      <c r="U34" s="151"/>
      <c r="V34" s="151"/>
      <c r="W34" s="151"/>
      <c r="X34" s="151"/>
      <c r="Y34" s="151"/>
      <c r="Z34" s="151"/>
      <c r="AA34" s="151"/>
      <c r="AB34" s="151"/>
      <c r="AC34" s="151"/>
      <c r="AD34" s="151"/>
      <c r="AE34" s="151"/>
      <c r="AF34" s="151"/>
      <c r="AG34" s="151"/>
      <c r="AH34" s="151"/>
      <c r="AI34" s="151"/>
      <c r="AJ34" s="151"/>
      <c r="AK34" s="151"/>
      <c r="AL34" s="151"/>
      <c r="AM34" s="151"/>
      <c r="AN34" s="151"/>
      <c r="AO34" s="151"/>
      <c r="AP34" s="79"/>
      <c r="AQ34" s="80">
        <v>84</v>
      </c>
      <c r="AR34" s="85">
        <f>'PF144'!U93</f>
        <v>0</v>
      </c>
    </row>
    <row r="35" spans="2:44" ht="15" customHeight="1" x14ac:dyDescent="0.55000000000000004">
      <c r="B35" s="81"/>
      <c r="C35" s="84">
        <f>'PF144'!U35</f>
        <v>0</v>
      </c>
      <c r="D35" s="78">
        <v>26</v>
      </c>
      <c r="E35" s="79"/>
      <c r="F35" s="151"/>
      <c r="G35" s="151"/>
      <c r="H35" s="151"/>
      <c r="I35" s="151"/>
      <c r="J35" s="151"/>
      <c r="K35" s="151"/>
      <c r="L35" s="151"/>
      <c r="M35" s="151"/>
      <c r="N35" s="151"/>
      <c r="O35" s="151"/>
      <c r="P35" s="151"/>
      <c r="Q35" s="151"/>
      <c r="R35" s="151"/>
      <c r="S35" s="151"/>
      <c r="T35" s="151"/>
      <c r="U35" s="151"/>
      <c r="V35" s="151"/>
      <c r="W35" s="151"/>
      <c r="X35" s="151"/>
      <c r="Y35" s="151"/>
      <c r="Z35" s="151"/>
      <c r="AA35" s="151"/>
      <c r="AB35" s="151"/>
      <c r="AC35" s="151"/>
      <c r="AD35" s="151"/>
      <c r="AE35" s="151"/>
      <c r="AF35" s="151"/>
      <c r="AG35" s="151"/>
      <c r="AH35" s="151"/>
      <c r="AI35" s="151"/>
      <c r="AJ35" s="151"/>
      <c r="AK35" s="151"/>
      <c r="AL35" s="151"/>
      <c r="AM35" s="151"/>
      <c r="AN35" s="151"/>
      <c r="AO35" s="151"/>
      <c r="AP35" s="79"/>
      <c r="AQ35" s="80">
        <v>83</v>
      </c>
      <c r="AR35" s="85">
        <f>'PF144'!U92</f>
        <v>0</v>
      </c>
    </row>
    <row r="36" spans="2:44" ht="15" customHeight="1" x14ac:dyDescent="0.55000000000000004">
      <c r="B36" s="81"/>
      <c r="C36" s="84">
        <f>'PF144'!U36</f>
        <v>0</v>
      </c>
      <c r="D36" s="78">
        <v>27</v>
      </c>
      <c r="E36" s="79"/>
      <c r="F36" s="151"/>
      <c r="G36" s="151"/>
      <c r="H36" s="151"/>
      <c r="I36" s="151"/>
      <c r="J36" s="151"/>
      <c r="K36" s="151"/>
      <c r="L36" s="151"/>
      <c r="M36" s="151"/>
      <c r="N36" s="151"/>
      <c r="O36" s="151"/>
      <c r="P36" s="151"/>
      <c r="Q36" s="151"/>
      <c r="R36" s="151"/>
      <c r="S36" s="151"/>
      <c r="T36" s="151"/>
      <c r="U36" s="151"/>
      <c r="V36" s="151"/>
      <c r="W36" s="151"/>
      <c r="X36" s="151"/>
      <c r="Y36" s="151"/>
      <c r="Z36" s="151"/>
      <c r="AA36" s="151"/>
      <c r="AB36" s="151"/>
      <c r="AC36" s="151"/>
      <c r="AD36" s="151"/>
      <c r="AE36" s="151"/>
      <c r="AF36" s="151"/>
      <c r="AG36" s="151"/>
      <c r="AH36" s="151"/>
      <c r="AI36" s="151"/>
      <c r="AJ36" s="151"/>
      <c r="AK36" s="151"/>
      <c r="AL36" s="151"/>
      <c r="AM36" s="151"/>
      <c r="AN36" s="151"/>
      <c r="AO36" s="151"/>
      <c r="AP36" s="79"/>
      <c r="AQ36" s="80">
        <v>82</v>
      </c>
      <c r="AR36" s="85">
        <f>'PF144'!U91</f>
        <v>0</v>
      </c>
    </row>
    <row r="37" spans="2:44" ht="15" customHeight="1" x14ac:dyDescent="0.55000000000000004">
      <c r="B37" s="81"/>
      <c r="C37" s="84">
        <f>'PF144'!U37</f>
        <v>0</v>
      </c>
      <c r="D37" s="78">
        <v>28</v>
      </c>
      <c r="E37" s="79"/>
      <c r="F37" s="151"/>
      <c r="G37" s="151"/>
      <c r="H37" s="151"/>
      <c r="I37" s="151"/>
      <c r="J37" s="151"/>
      <c r="K37" s="151"/>
      <c r="L37" s="151"/>
      <c r="M37" s="151"/>
      <c r="N37" s="151"/>
      <c r="O37" s="151"/>
      <c r="P37" s="151"/>
      <c r="Q37" s="151"/>
      <c r="R37" s="151"/>
      <c r="S37" s="151"/>
      <c r="T37" s="151"/>
      <c r="U37" s="151"/>
      <c r="V37" s="151"/>
      <c r="W37" s="151"/>
      <c r="X37" s="151"/>
      <c r="Y37" s="151"/>
      <c r="Z37" s="151"/>
      <c r="AA37" s="151"/>
      <c r="AB37" s="151"/>
      <c r="AC37" s="151"/>
      <c r="AD37" s="151"/>
      <c r="AE37" s="151"/>
      <c r="AF37" s="151"/>
      <c r="AG37" s="151"/>
      <c r="AH37" s="151"/>
      <c r="AI37" s="151"/>
      <c r="AJ37" s="151"/>
      <c r="AK37" s="151"/>
      <c r="AL37" s="151"/>
      <c r="AM37" s="151"/>
      <c r="AN37" s="151"/>
      <c r="AO37" s="151"/>
      <c r="AP37" s="79"/>
      <c r="AQ37" s="80">
        <v>81</v>
      </c>
      <c r="AR37" s="85">
        <f>'PF144'!U90</f>
        <v>0</v>
      </c>
    </row>
    <row r="38" spans="2:44" ht="15" customHeight="1" x14ac:dyDescent="0.55000000000000004">
      <c r="B38" s="81"/>
      <c r="C38" s="84">
        <f>'PF144'!U38</f>
        <v>0</v>
      </c>
      <c r="D38" s="78">
        <v>29</v>
      </c>
      <c r="E38" s="79"/>
      <c r="F38" s="151"/>
      <c r="G38" s="151"/>
      <c r="H38" s="151"/>
      <c r="I38" s="151"/>
      <c r="J38" s="151"/>
      <c r="K38" s="151"/>
      <c r="L38" s="151"/>
      <c r="M38" s="151"/>
      <c r="N38" s="151"/>
      <c r="O38" s="151"/>
      <c r="P38" s="151"/>
      <c r="Q38" s="151"/>
      <c r="R38" s="151"/>
      <c r="S38" s="151"/>
      <c r="T38" s="151"/>
      <c r="U38" s="151"/>
      <c r="V38" s="151"/>
      <c r="W38" s="151"/>
      <c r="X38" s="151"/>
      <c r="Y38" s="151"/>
      <c r="Z38" s="151"/>
      <c r="AA38" s="151"/>
      <c r="AB38" s="151"/>
      <c r="AC38" s="151"/>
      <c r="AD38" s="151"/>
      <c r="AE38" s="151"/>
      <c r="AF38" s="151"/>
      <c r="AG38" s="151"/>
      <c r="AH38" s="151"/>
      <c r="AI38" s="151"/>
      <c r="AJ38" s="151"/>
      <c r="AK38" s="151"/>
      <c r="AL38" s="151"/>
      <c r="AM38" s="151"/>
      <c r="AN38" s="151"/>
      <c r="AO38" s="151"/>
      <c r="AP38" s="79"/>
      <c r="AQ38" s="80">
        <v>80</v>
      </c>
      <c r="AR38" s="85">
        <f>'PF144'!U89</f>
        <v>0</v>
      </c>
    </row>
    <row r="39" spans="2:44" ht="15" customHeight="1" x14ac:dyDescent="0.55000000000000004">
      <c r="B39" s="81"/>
      <c r="C39" s="84">
        <f>'PF144'!U39</f>
        <v>0</v>
      </c>
      <c r="D39" s="78">
        <v>30</v>
      </c>
      <c r="E39" s="79"/>
      <c r="F39" s="151"/>
      <c r="G39" s="151"/>
      <c r="H39" s="151"/>
      <c r="I39" s="151"/>
      <c r="J39" s="151"/>
      <c r="K39" s="151"/>
      <c r="L39" s="151"/>
      <c r="M39" s="151"/>
      <c r="N39" s="151"/>
      <c r="O39" s="151"/>
      <c r="P39" s="151"/>
      <c r="Q39" s="151"/>
      <c r="R39" s="151"/>
      <c r="S39" s="151"/>
      <c r="T39" s="151"/>
      <c r="U39" s="151"/>
      <c r="V39" s="151"/>
      <c r="W39" s="151"/>
      <c r="X39" s="151"/>
      <c r="Y39" s="151"/>
      <c r="Z39" s="151"/>
      <c r="AA39" s="151"/>
      <c r="AB39" s="151"/>
      <c r="AC39" s="151"/>
      <c r="AD39" s="151"/>
      <c r="AE39" s="151"/>
      <c r="AF39" s="151"/>
      <c r="AG39" s="151"/>
      <c r="AH39" s="151"/>
      <c r="AI39" s="151"/>
      <c r="AJ39" s="151"/>
      <c r="AK39" s="151"/>
      <c r="AL39" s="151"/>
      <c r="AM39" s="151"/>
      <c r="AN39" s="151"/>
      <c r="AO39" s="151"/>
      <c r="AP39" s="79"/>
      <c r="AQ39" s="80">
        <v>79</v>
      </c>
      <c r="AR39" s="85">
        <f>'PF144'!U88</f>
        <v>0</v>
      </c>
    </row>
    <row r="40" spans="2:44" ht="15" customHeight="1" x14ac:dyDescent="0.55000000000000004">
      <c r="B40" s="81"/>
      <c r="C40" s="84">
        <f>'PF144'!U40</f>
        <v>0</v>
      </c>
      <c r="D40" s="78">
        <v>31</v>
      </c>
      <c r="E40" s="79"/>
      <c r="F40" s="151"/>
      <c r="G40" s="151"/>
      <c r="H40" s="151"/>
      <c r="I40" s="151"/>
      <c r="J40" s="151"/>
      <c r="K40" s="151"/>
      <c r="L40" s="151"/>
      <c r="M40" s="151"/>
      <c r="N40" s="151"/>
      <c r="O40" s="151"/>
      <c r="P40" s="151"/>
      <c r="Q40" s="151"/>
      <c r="R40" s="151"/>
      <c r="S40" s="151"/>
      <c r="T40" s="151"/>
      <c r="U40" s="151"/>
      <c r="V40" s="151"/>
      <c r="W40" s="151"/>
      <c r="X40" s="151"/>
      <c r="Y40" s="151"/>
      <c r="Z40" s="151"/>
      <c r="AA40" s="151"/>
      <c r="AB40" s="151"/>
      <c r="AC40" s="151"/>
      <c r="AD40" s="151"/>
      <c r="AE40" s="151"/>
      <c r="AF40" s="151"/>
      <c r="AG40" s="151"/>
      <c r="AH40" s="151"/>
      <c r="AI40" s="151"/>
      <c r="AJ40" s="151"/>
      <c r="AK40" s="151"/>
      <c r="AL40" s="151"/>
      <c r="AM40" s="151"/>
      <c r="AN40" s="151"/>
      <c r="AO40" s="151"/>
      <c r="AP40" s="79"/>
      <c r="AQ40" s="80">
        <v>78</v>
      </c>
      <c r="AR40" s="85">
        <f>'PF144'!U87</f>
        <v>0</v>
      </c>
    </row>
    <row r="41" spans="2:44" ht="15" customHeight="1" x14ac:dyDescent="0.55000000000000004">
      <c r="B41" s="81"/>
      <c r="C41" s="84">
        <f>'PF144'!U41</f>
        <v>0</v>
      </c>
      <c r="D41" s="78">
        <v>32</v>
      </c>
      <c r="E41" s="79"/>
      <c r="F41" s="151"/>
      <c r="G41" s="151"/>
      <c r="H41" s="151"/>
      <c r="I41" s="151"/>
      <c r="J41" s="151"/>
      <c r="K41" s="151"/>
      <c r="L41" s="151"/>
      <c r="M41" s="151"/>
      <c r="N41" s="151"/>
      <c r="O41" s="151"/>
      <c r="P41" s="151"/>
      <c r="Q41" s="151"/>
      <c r="R41" s="151"/>
      <c r="S41" s="151"/>
      <c r="T41" s="151"/>
      <c r="U41" s="151"/>
      <c r="V41" s="151"/>
      <c r="W41" s="151"/>
      <c r="X41" s="151"/>
      <c r="Y41" s="151"/>
      <c r="Z41" s="151"/>
      <c r="AA41" s="151"/>
      <c r="AB41" s="151"/>
      <c r="AC41" s="151"/>
      <c r="AD41" s="151"/>
      <c r="AE41" s="151"/>
      <c r="AF41" s="151"/>
      <c r="AG41" s="151"/>
      <c r="AH41" s="151"/>
      <c r="AI41" s="151"/>
      <c r="AJ41" s="151"/>
      <c r="AK41" s="151"/>
      <c r="AL41" s="151"/>
      <c r="AM41" s="151"/>
      <c r="AN41" s="151"/>
      <c r="AO41" s="151"/>
      <c r="AP41" s="79"/>
      <c r="AQ41" s="80">
        <v>77</v>
      </c>
      <c r="AR41" s="85">
        <f>'PF144'!U86</f>
        <v>0</v>
      </c>
    </row>
    <row r="42" spans="2:44" ht="15" customHeight="1" x14ac:dyDescent="0.55000000000000004">
      <c r="B42" s="81"/>
      <c r="C42" s="84">
        <f>'PF144'!U42</f>
        <v>0</v>
      </c>
      <c r="D42" s="78">
        <v>33</v>
      </c>
      <c r="E42" s="79"/>
      <c r="F42" s="151"/>
      <c r="G42" s="151"/>
      <c r="H42" s="151"/>
      <c r="I42" s="151"/>
      <c r="J42" s="151"/>
      <c r="K42" s="151"/>
      <c r="L42" s="151"/>
      <c r="M42" s="151"/>
      <c r="N42" s="151"/>
      <c r="O42" s="151"/>
      <c r="P42" s="151"/>
      <c r="Q42" s="151"/>
      <c r="R42" s="151"/>
      <c r="S42" s="151"/>
      <c r="T42" s="151"/>
      <c r="U42" s="151"/>
      <c r="V42" s="151"/>
      <c r="W42" s="151"/>
      <c r="X42" s="151"/>
      <c r="Y42" s="151"/>
      <c r="Z42" s="151"/>
      <c r="AA42" s="151"/>
      <c r="AB42" s="151"/>
      <c r="AC42" s="151"/>
      <c r="AD42" s="151"/>
      <c r="AE42" s="151"/>
      <c r="AF42" s="151"/>
      <c r="AG42" s="151"/>
      <c r="AH42" s="151"/>
      <c r="AI42" s="151"/>
      <c r="AJ42" s="151"/>
      <c r="AK42" s="151"/>
      <c r="AL42" s="151"/>
      <c r="AM42" s="151"/>
      <c r="AN42" s="151"/>
      <c r="AO42" s="151"/>
      <c r="AP42" s="79"/>
      <c r="AQ42" s="80">
        <v>76</v>
      </c>
      <c r="AR42" s="85">
        <f>'PF144'!U85</f>
        <v>0</v>
      </c>
    </row>
    <row r="43" spans="2:44" ht="15" customHeight="1" x14ac:dyDescent="0.55000000000000004">
      <c r="B43" s="81"/>
      <c r="C43" s="84">
        <f>'PF144'!U43</f>
        <v>0</v>
      </c>
      <c r="D43" s="78">
        <v>34</v>
      </c>
      <c r="E43" s="79"/>
      <c r="F43" s="151"/>
      <c r="G43" s="151"/>
      <c r="H43" s="151"/>
      <c r="I43" s="151"/>
      <c r="J43" s="151"/>
      <c r="K43" s="151"/>
      <c r="L43" s="151"/>
      <c r="M43" s="151"/>
      <c r="N43" s="151"/>
      <c r="O43" s="151"/>
      <c r="P43" s="151"/>
      <c r="Q43" s="151"/>
      <c r="R43" s="151"/>
      <c r="S43" s="151"/>
      <c r="T43" s="151"/>
      <c r="U43" s="151"/>
      <c r="V43" s="151"/>
      <c r="W43" s="151"/>
      <c r="X43" s="151"/>
      <c r="Y43" s="151"/>
      <c r="Z43" s="151"/>
      <c r="AA43" s="151"/>
      <c r="AB43" s="151"/>
      <c r="AC43" s="151"/>
      <c r="AD43" s="151"/>
      <c r="AE43" s="151"/>
      <c r="AF43" s="151"/>
      <c r="AG43" s="151"/>
      <c r="AH43" s="151"/>
      <c r="AI43" s="151"/>
      <c r="AJ43" s="151"/>
      <c r="AK43" s="151"/>
      <c r="AL43" s="151"/>
      <c r="AM43" s="151"/>
      <c r="AN43" s="151"/>
      <c r="AO43" s="151"/>
      <c r="AP43" s="79"/>
      <c r="AQ43" s="80">
        <v>75</v>
      </c>
      <c r="AR43" s="85">
        <f>'PF144'!U84</f>
        <v>0</v>
      </c>
    </row>
    <row r="44" spans="2:44" ht="15" customHeight="1" x14ac:dyDescent="0.55000000000000004">
      <c r="B44" s="81"/>
      <c r="C44" s="86" t="str">
        <f>'PF144'!U44</f>
        <v>VDDD</v>
      </c>
      <c r="D44" s="78">
        <v>35</v>
      </c>
      <c r="E44" s="79"/>
      <c r="F44" s="151"/>
      <c r="G44" s="151"/>
      <c r="H44" s="151"/>
      <c r="I44" s="151"/>
      <c r="J44" s="151"/>
      <c r="K44" s="151"/>
      <c r="L44" s="151"/>
      <c r="M44" s="151"/>
      <c r="N44" s="151"/>
      <c r="O44" s="151"/>
      <c r="P44" s="151"/>
      <c r="Q44" s="151"/>
      <c r="R44" s="151"/>
      <c r="S44" s="151"/>
      <c r="T44" s="151"/>
      <c r="U44" s="151"/>
      <c r="V44" s="151"/>
      <c r="W44" s="151"/>
      <c r="X44" s="151"/>
      <c r="Y44" s="151"/>
      <c r="Z44" s="151"/>
      <c r="AA44" s="151"/>
      <c r="AB44" s="151"/>
      <c r="AC44" s="151"/>
      <c r="AD44" s="151"/>
      <c r="AE44" s="151"/>
      <c r="AF44" s="151"/>
      <c r="AG44" s="151"/>
      <c r="AH44" s="151"/>
      <c r="AI44" s="151"/>
      <c r="AJ44" s="151"/>
      <c r="AK44" s="151"/>
      <c r="AL44" s="151"/>
      <c r="AM44" s="151"/>
      <c r="AN44" s="151"/>
      <c r="AO44" s="151"/>
      <c r="AP44" s="79"/>
      <c r="AQ44" s="80">
        <v>74</v>
      </c>
      <c r="AR44" s="85">
        <f>'PF144'!U83</f>
        <v>0</v>
      </c>
    </row>
    <row r="45" spans="2:44" ht="15" customHeight="1" x14ac:dyDescent="0.55000000000000004">
      <c r="B45" s="81"/>
      <c r="C45" s="86" t="str">
        <f>'PF144'!U45</f>
        <v>VDDIO_1</v>
      </c>
      <c r="D45" s="78">
        <v>36</v>
      </c>
      <c r="E45" s="79"/>
      <c r="F45" s="151"/>
      <c r="G45" s="151"/>
      <c r="H45" s="151"/>
      <c r="I45" s="151"/>
      <c r="J45" s="151"/>
      <c r="K45" s="151"/>
      <c r="L45" s="151"/>
      <c r="M45" s="151"/>
      <c r="N45" s="151"/>
      <c r="O45" s="151"/>
      <c r="P45" s="151"/>
      <c r="Q45" s="151"/>
      <c r="R45" s="151"/>
      <c r="S45" s="151"/>
      <c r="T45" s="151"/>
      <c r="U45" s="151"/>
      <c r="V45" s="151"/>
      <c r="W45" s="151"/>
      <c r="X45" s="151"/>
      <c r="Y45" s="151"/>
      <c r="Z45" s="151"/>
      <c r="AA45" s="151"/>
      <c r="AB45" s="151"/>
      <c r="AC45" s="151"/>
      <c r="AD45" s="151"/>
      <c r="AE45" s="151"/>
      <c r="AF45" s="151"/>
      <c r="AG45" s="151"/>
      <c r="AH45" s="151"/>
      <c r="AI45" s="151"/>
      <c r="AJ45" s="151"/>
      <c r="AK45" s="151"/>
      <c r="AL45" s="151"/>
      <c r="AM45" s="151"/>
      <c r="AN45" s="151"/>
      <c r="AO45" s="151"/>
      <c r="AP45" s="79"/>
      <c r="AQ45" s="80">
        <v>73</v>
      </c>
      <c r="AR45" s="87" t="str">
        <f>'PF144'!U82</f>
        <v>VSSD</v>
      </c>
    </row>
    <row r="46" spans="2:44" ht="15" customHeight="1" x14ac:dyDescent="0.55000000000000004">
      <c r="D46" s="78"/>
      <c r="E46" s="79"/>
      <c r="F46" s="79"/>
      <c r="G46" s="79"/>
      <c r="H46" s="79"/>
      <c r="I46" s="79"/>
      <c r="J46" s="79"/>
      <c r="K46" s="79"/>
      <c r="L46" s="79"/>
      <c r="M46" s="79"/>
      <c r="N46" s="79"/>
      <c r="O46" s="79"/>
      <c r="P46" s="79"/>
      <c r="Q46" s="79"/>
      <c r="R46" s="79"/>
      <c r="S46" s="79"/>
      <c r="T46" s="79"/>
      <c r="U46" s="79"/>
      <c r="V46" s="79"/>
      <c r="W46" s="79"/>
      <c r="X46" s="79"/>
      <c r="Y46" s="79"/>
      <c r="Z46" s="79"/>
      <c r="AA46" s="79"/>
      <c r="AB46" s="79"/>
      <c r="AC46" s="79"/>
      <c r="AD46" s="79"/>
      <c r="AE46" s="79"/>
      <c r="AF46" s="79"/>
      <c r="AG46" s="79"/>
      <c r="AH46" s="79"/>
      <c r="AI46" s="79"/>
      <c r="AJ46" s="79"/>
      <c r="AK46" s="79"/>
      <c r="AL46" s="79"/>
      <c r="AM46" s="79"/>
      <c r="AN46" s="79"/>
      <c r="AO46" s="79"/>
      <c r="AP46" s="79"/>
      <c r="AQ46" s="80"/>
    </row>
    <row r="47" spans="2:44" ht="15" customHeight="1" x14ac:dyDescent="0.55000000000000004">
      <c r="D47" s="77"/>
      <c r="E47" s="88"/>
      <c r="F47" s="88">
        <v>37</v>
      </c>
      <c r="G47" s="88">
        <v>38</v>
      </c>
      <c r="H47" s="88">
        <v>39</v>
      </c>
      <c r="I47" s="88">
        <v>40</v>
      </c>
      <c r="J47" s="88">
        <v>41</v>
      </c>
      <c r="K47" s="88">
        <v>42</v>
      </c>
      <c r="L47" s="88">
        <v>43</v>
      </c>
      <c r="M47" s="88">
        <v>44</v>
      </c>
      <c r="N47" s="88">
        <v>45</v>
      </c>
      <c r="O47" s="88">
        <v>46</v>
      </c>
      <c r="P47" s="88">
        <v>47</v>
      </c>
      <c r="Q47" s="88">
        <v>48</v>
      </c>
      <c r="R47" s="88">
        <v>49</v>
      </c>
      <c r="S47" s="88">
        <v>50</v>
      </c>
      <c r="T47" s="88">
        <v>51</v>
      </c>
      <c r="U47" s="88">
        <v>52</v>
      </c>
      <c r="V47" s="88">
        <v>53</v>
      </c>
      <c r="W47" s="88">
        <v>54</v>
      </c>
      <c r="X47" s="88">
        <v>55</v>
      </c>
      <c r="Y47" s="88">
        <v>56</v>
      </c>
      <c r="Z47" s="88">
        <v>57</v>
      </c>
      <c r="AA47" s="88">
        <v>58</v>
      </c>
      <c r="AB47" s="88">
        <v>59</v>
      </c>
      <c r="AC47" s="88">
        <v>60</v>
      </c>
      <c r="AD47" s="88">
        <v>61</v>
      </c>
      <c r="AE47" s="88">
        <v>62</v>
      </c>
      <c r="AF47" s="88">
        <v>63</v>
      </c>
      <c r="AG47" s="88">
        <v>64</v>
      </c>
      <c r="AH47" s="88">
        <v>65</v>
      </c>
      <c r="AI47" s="88">
        <v>66</v>
      </c>
      <c r="AJ47" s="88">
        <v>67</v>
      </c>
      <c r="AK47" s="88">
        <v>68</v>
      </c>
      <c r="AL47" s="88">
        <v>69</v>
      </c>
      <c r="AM47" s="88">
        <v>70</v>
      </c>
      <c r="AN47" s="88">
        <v>71</v>
      </c>
      <c r="AO47" s="88">
        <v>72</v>
      </c>
      <c r="AP47" s="88"/>
      <c r="AQ47" s="75"/>
    </row>
    <row r="48" spans="2:44" ht="105" customHeight="1" x14ac:dyDescent="0.55000000000000004">
      <c r="F48" s="89" t="str">
        <f>'PF144'!U46</f>
        <v>VSSD</v>
      </c>
      <c r="G48" s="89" t="str">
        <f>'PF144'!U47</f>
        <v>VSSD</v>
      </c>
      <c r="H48" s="90" t="str">
        <f>'PF144'!U48</f>
        <v>VCCD</v>
      </c>
      <c r="I48" s="91">
        <f>'PF144'!U49</f>
        <v>0</v>
      </c>
      <c r="J48" s="91">
        <f>'PF144'!U50</f>
        <v>0</v>
      </c>
      <c r="K48" s="91">
        <f>'PF144'!U51</f>
        <v>0</v>
      </c>
      <c r="L48" s="91">
        <f>'PF144'!U52</f>
        <v>0</v>
      </c>
      <c r="M48" s="91">
        <f>'PF144'!U53</f>
        <v>0</v>
      </c>
      <c r="N48" s="91">
        <f>'PF144'!U54</f>
        <v>0</v>
      </c>
      <c r="O48" s="91">
        <f>'PF144'!U55</f>
        <v>0</v>
      </c>
      <c r="P48" s="91">
        <f>'PF144'!U56</f>
        <v>0</v>
      </c>
      <c r="Q48" s="91">
        <f>'PF144'!U57</f>
        <v>0</v>
      </c>
      <c r="R48" s="91">
        <f>'PF144'!U58</f>
        <v>0</v>
      </c>
      <c r="S48" s="91">
        <f>'PF144'!U59</f>
        <v>0</v>
      </c>
      <c r="T48" s="91">
        <f>'PF144'!U60</f>
        <v>0</v>
      </c>
      <c r="U48" s="91">
        <f>'PF144'!U61</f>
        <v>0</v>
      </c>
      <c r="V48" s="91">
        <f>'PF144'!U62</f>
        <v>0</v>
      </c>
      <c r="W48" s="91">
        <f>'PF144'!U63</f>
        <v>0</v>
      </c>
      <c r="X48" s="91">
        <f>'PF144'!U64</f>
        <v>0</v>
      </c>
      <c r="Y48" s="91">
        <f>'PF144'!U65</f>
        <v>0</v>
      </c>
      <c r="Z48" s="91">
        <f>'PF144'!U66</f>
        <v>0</v>
      </c>
      <c r="AA48" s="91">
        <f>'PF144'!U67</f>
        <v>0</v>
      </c>
      <c r="AB48" s="91">
        <f>'PF144'!U68</f>
        <v>0</v>
      </c>
      <c r="AC48" s="91">
        <f>'PF144'!U69</f>
        <v>0</v>
      </c>
      <c r="AD48" s="91">
        <f>'PF144'!U70</f>
        <v>0</v>
      </c>
      <c r="AE48" s="92" t="str">
        <f>'PF144'!U71</f>
        <v>VREFL</v>
      </c>
      <c r="AF48" s="89" t="str">
        <f>'PF144'!U72</f>
        <v>VSSA</v>
      </c>
      <c r="AG48" s="90" t="str">
        <f>'PF144'!U73</f>
        <v>VDDA</v>
      </c>
      <c r="AH48" s="92" t="str">
        <f>'PF144'!U74</f>
        <v>VREFH</v>
      </c>
      <c r="AI48" s="91">
        <f>'PF144'!U75</f>
        <v>0</v>
      </c>
      <c r="AJ48" s="91">
        <f>'PF144'!U76</f>
        <v>0</v>
      </c>
      <c r="AK48" s="91">
        <f>'PF144'!U77</f>
        <v>0</v>
      </c>
      <c r="AL48" s="91">
        <f>'PF144'!U78</f>
        <v>0</v>
      </c>
      <c r="AM48" s="91">
        <f>'PF144'!U79</f>
        <v>0</v>
      </c>
      <c r="AN48" s="91">
        <f>'PF144'!U80</f>
        <v>0</v>
      </c>
      <c r="AO48" s="90" t="str">
        <f>'PF144'!U81</f>
        <v>VDDIO_2</v>
      </c>
    </row>
    <row r="59" spans="3:50" ht="14.5" x14ac:dyDescent="0.55000000000000004">
      <c r="C59" s="152" t="s">
        <v>849</v>
      </c>
      <c r="D59" s="152"/>
      <c r="E59" s="152"/>
      <c r="F59" s="152"/>
      <c r="G59" s="152"/>
      <c r="H59" s="152"/>
      <c r="I59" s="152"/>
      <c r="J59" s="152"/>
      <c r="K59" s="152"/>
      <c r="L59" s="152"/>
      <c r="M59" s="152"/>
      <c r="N59" s="152"/>
      <c r="O59" s="152"/>
      <c r="P59" s="152"/>
      <c r="Q59" s="152"/>
      <c r="R59" s="152"/>
      <c r="S59" s="152"/>
      <c r="T59" s="152"/>
      <c r="U59" s="152"/>
      <c r="V59" s="152"/>
      <c r="W59" s="152"/>
      <c r="X59" s="152"/>
      <c r="Y59" s="152"/>
      <c r="Z59" s="152"/>
      <c r="AA59" s="152"/>
      <c r="AB59" s="152"/>
      <c r="AC59" s="152"/>
      <c r="AD59" s="152"/>
      <c r="AE59" s="152"/>
      <c r="AF59" s="152"/>
      <c r="AG59" s="152"/>
      <c r="AH59" s="152"/>
      <c r="AI59" s="152"/>
      <c r="AJ59" s="152"/>
      <c r="AK59" s="152"/>
      <c r="AL59" s="152"/>
      <c r="AM59" s="152"/>
      <c r="AN59" s="152"/>
      <c r="AO59" s="152"/>
      <c r="AP59" s="152"/>
      <c r="AQ59" s="152"/>
      <c r="AR59" s="152"/>
      <c r="AS59" s="155"/>
      <c r="AT59" s="155"/>
      <c r="AU59" s="155"/>
      <c r="AV59" s="155"/>
      <c r="AW59" s="155"/>
      <c r="AX59" s="155"/>
    </row>
    <row r="60" spans="3:50" ht="172" customHeight="1" x14ac:dyDescent="0.55000000000000004">
      <c r="C60" s="116" t="s">
        <v>850</v>
      </c>
      <c r="D60" s="116"/>
      <c r="E60" s="116"/>
      <c r="F60" s="116"/>
      <c r="G60" s="116"/>
      <c r="H60" s="116"/>
      <c r="I60" s="116"/>
      <c r="J60" s="116"/>
      <c r="K60" s="116"/>
      <c r="L60" s="116"/>
      <c r="M60" s="116"/>
      <c r="N60" s="116"/>
      <c r="O60" s="116"/>
      <c r="P60" s="116"/>
      <c r="Q60" s="116"/>
      <c r="R60" s="116"/>
      <c r="S60" s="116"/>
      <c r="T60" s="116"/>
      <c r="U60" s="116"/>
      <c r="V60" s="116"/>
      <c r="W60" s="116"/>
      <c r="X60" s="116"/>
      <c r="Y60" s="116"/>
      <c r="Z60" s="116"/>
      <c r="AA60" s="116"/>
      <c r="AB60" s="116"/>
      <c r="AC60" s="116"/>
      <c r="AD60" s="116"/>
      <c r="AE60" s="116"/>
      <c r="AF60" s="116"/>
      <c r="AG60" s="116"/>
      <c r="AH60" s="116"/>
      <c r="AI60" s="116"/>
      <c r="AJ60" s="116"/>
      <c r="AK60" s="116"/>
      <c r="AL60" s="116"/>
      <c r="AM60" s="116"/>
      <c r="AN60" s="116"/>
      <c r="AO60" s="116"/>
      <c r="AP60" s="116"/>
      <c r="AQ60" s="116"/>
      <c r="AR60" s="116"/>
      <c r="AS60" s="156"/>
      <c r="AT60" s="156"/>
      <c r="AU60" s="156"/>
      <c r="AV60" s="156"/>
      <c r="AW60" s="156"/>
      <c r="AX60" s="156"/>
    </row>
  </sheetData>
  <sheetProtection algorithmName="SHA-512" hashValue="qB4yAnhy+jnrdTbMTDZ5lJFAmlGqxmD4kY33ypNBSeK5hwZTfaRCcw2TfB6XvJQ1i1HSwjspjksgDhhTastPgw==" saltValue="+oitvkNNm0YuMgFBzlYtPQ==" spinCount="100000" sheet="1" objects="1" scenarios="1" formatCells="0" formatColumns="0" formatRows="0" insertColumns="0" insertRows="0" insertHyperlinks="0" deleteColumns="0" deleteRows="0" selectLockedCells="1" sort="0" autoFilter="0" pivotTables="0"/>
  <mergeCells count="3">
    <mergeCell ref="F10:AO45"/>
    <mergeCell ref="C60:AR60"/>
    <mergeCell ref="C59:AR59"/>
  </mergeCells>
  <phoneticPr fontId="3"/>
  <pageMargins left="0.7" right="0.7" top="0.75" bottom="0.75" header="0.3" footer="0.3"/>
  <pageSetup paperSize="9" orientation="portrait" r:id="rId1"/>
  <ignoredErrors>
    <ignoredError sqref="F7:AO7 AR10:AR45 F48:AO48 C10:C45" unlockedFormula="1"/>
  </ignoredError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DE7C6-2883-48F7-B175-526F98DD71AD}">
  <dimension ref="A1:AE219"/>
  <sheetViews>
    <sheetView zoomScale="85" zoomScaleNormal="85" workbookViewId="0">
      <pane xSplit="3" ySplit="9" topLeftCell="U106" activePane="bottomRight" state="frozen"/>
      <selection pane="topRight" activeCell="D1" sqref="D1"/>
      <selection pane="bottomLeft" activeCell="A6" sqref="A6"/>
      <selection pane="bottomRight" activeCell="AB115" sqref="AB115"/>
    </sheetView>
  </sheetViews>
  <sheetFormatPr defaultColWidth="8.58203125" defaultRowHeight="10" x14ac:dyDescent="0.55000000000000004"/>
  <cols>
    <col min="1" max="1" width="4.58203125" style="10" customWidth="1"/>
    <col min="2" max="2" width="7.08203125" style="10" bestFit="1" customWidth="1"/>
    <col min="3" max="3" width="3.5" style="10" bestFit="1" customWidth="1"/>
    <col min="4" max="4" width="6.33203125" style="10" bestFit="1" customWidth="1"/>
    <col min="5" max="5" width="9.4140625" style="10" bestFit="1" customWidth="1"/>
    <col min="6" max="6" width="11.1640625" style="10" bestFit="1" customWidth="1"/>
    <col min="7" max="8" width="11.58203125" style="10" bestFit="1" customWidth="1"/>
    <col min="9" max="9" width="11.5" style="10" bestFit="1" customWidth="1"/>
    <col min="10" max="11" width="10.08203125" style="10" bestFit="1" customWidth="1"/>
    <col min="12" max="12" width="10.83203125" style="10" bestFit="1" customWidth="1"/>
    <col min="13" max="13" width="7.33203125" style="10" customWidth="1"/>
    <col min="14" max="14" width="8.83203125" style="10" bestFit="1" customWidth="1"/>
    <col min="15" max="15" width="8.75" style="10" bestFit="1" customWidth="1"/>
    <col min="16" max="16" width="14.1640625" style="10" customWidth="1"/>
    <col min="17" max="17" width="10.08203125" style="10" bestFit="1" customWidth="1"/>
    <col min="18" max="18" width="14.08203125" style="10" customWidth="1"/>
    <col min="19" max="19" width="10.83203125" style="10" bestFit="1" customWidth="1"/>
    <col min="20" max="20" width="18.58203125" style="10" bestFit="1" customWidth="1"/>
    <col min="21" max="21" width="16.33203125" style="10" bestFit="1" customWidth="1"/>
    <col min="22" max="22" width="10" style="10" bestFit="1" customWidth="1"/>
    <col min="23" max="24" width="24.83203125" style="10" customWidth="1"/>
    <col min="25" max="25" width="7.83203125" style="10" bestFit="1" customWidth="1"/>
    <col min="26" max="26" width="6.83203125" style="10" bestFit="1" customWidth="1"/>
    <col min="27" max="28" width="12.58203125" style="10" customWidth="1"/>
    <col min="29" max="31" width="8.58203125" style="10" customWidth="1"/>
    <col min="32" max="16384" width="8.58203125" style="10"/>
  </cols>
  <sheetData>
    <row r="1" spans="1:31" ht="25" customHeight="1" x14ac:dyDescent="0.55000000000000004">
      <c r="A1" s="9" t="s">
        <v>370</v>
      </c>
      <c r="AC1" s="36"/>
      <c r="AD1" s="36"/>
      <c r="AE1" s="36"/>
    </row>
    <row r="2" spans="1:31" ht="25" customHeight="1" x14ac:dyDescent="0.55000000000000004">
      <c r="A2" s="9"/>
      <c r="AC2" s="36"/>
      <c r="AD2" s="36"/>
      <c r="AE2" s="36"/>
    </row>
    <row r="3" spans="1:31" ht="25" customHeight="1" x14ac:dyDescent="0.55000000000000004">
      <c r="A3" s="9"/>
      <c r="AC3" s="36"/>
      <c r="AD3" s="36"/>
      <c r="AE3" s="36"/>
    </row>
    <row r="4" spans="1:31" ht="25" customHeight="1" x14ac:dyDescent="0.55000000000000004">
      <c r="A4" s="9"/>
      <c r="AC4" s="36"/>
      <c r="AD4" s="36"/>
      <c r="AE4" s="36"/>
    </row>
    <row r="5" spans="1:31" ht="25" customHeight="1" x14ac:dyDescent="0.55000000000000004">
      <c r="A5" s="9"/>
      <c r="AB5" s="11"/>
      <c r="AC5" s="36"/>
      <c r="AD5" s="36"/>
      <c r="AE5" s="37" t="s">
        <v>814</v>
      </c>
    </row>
    <row r="6" spans="1:31" x14ac:dyDescent="0.55000000000000004">
      <c r="B6" s="10" t="s">
        <v>532</v>
      </c>
      <c r="E6" s="10" t="s">
        <v>542</v>
      </c>
      <c r="F6" s="10" t="s">
        <v>542</v>
      </c>
      <c r="G6" s="10" t="s">
        <v>533</v>
      </c>
      <c r="H6" s="10" t="s">
        <v>533</v>
      </c>
      <c r="I6" s="10" t="s">
        <v>542</v>
      </c>
      <c r="J6" s="10" t="s">
        <v>534</v>
      </c>
      <c r="K6" s="10" t="s">
        <v>535</v>
      </c>
      <c r="L6" s="10" t="s">
        <v>536</v>
      </c>
      <c r="M6" s="10" t="s">
        <v>537</v>
      </c>
      <c r="N6" s="10" t="s">
        <v>538</v>
      </c>
      <c r="O6" s="10" t="s">
        <v>539</v>
      </c>
      <c r="P6" s="10" t="s">
        <v>539</v>
      </c>
      <c r="Q6" s="10" t="s">
        <v>535</v>
      </c>
      <c r="R6" s="10" t="s">
        <v>540</v>
      </c>
      <c r="S6" s="10" t="s">
        <v>536</v>
      </c>
      <c r="T6" s="10" t="s">
        <v>541</v>
      </c>
    </row>
    <row r="7" spans="1:31" ht="10.5" x14ac:dyDescent="0.55000000000000004">
      <c r="B7" s="118" t="s">
        <v>0</v>
      </c>
      <c r="C7" s="118" t="s">
        <v>255</v>
      </c>
      <c r="D7" s="121" t="s">
        <v>383</v>
      </c>
      <c r="E7" s="12"/>
      <c r="F7" s="13"/>
      <c r="G7" s="13"/>
      <c r="H7" s="13"/>
      <c r="I7" s="119" t="s">
        <v>1</v>
      </c>
      <c r="J7" s="119"/>
      <c r="K7" s="119"/>
      <c r="L7" s="13"/>
      <c r="M7" s="13"/>
      <c r="N7" s="13"/>
      <c r="O7" s="13"/>
      <c r="P7" s="14"/>
      <c r="Q7" s="118" t="s">
        <v>343</v>
      </c>
      <c r="R7" s="118"/>
      <c r="S7" s="118"/>
      <c r="T7" s="118" t="s">
        <v>352</v>
      </c>
      <c r="U7" s="136" t="s">
        <v>265</v>
      </c>
      <c r="V7" s="137"/>
      <c r="W7" s="137"/>
      <c r="X7" s="138"/>
      <c r="Y7" s="132" t="s">
        <v>557</v>
      </c>
      <c r="Z7" s="133"/>
      <c r="AA7" s="124" t="s">
        <v>382</v>
      </c>
      <c r="AB7" s="125"/>
    </row>
    <row r="8" spans="1:31" ht="10.5" x14ac:dyDescent="0.55000000000000004">
      <c r="B8" s="118"/>
      <c r="C8" s="118"/>
      <c r="D8" s="122"/>
      <c r="E8" s="15" t="s">
        <v>350</v>
      </c>
      <c r="F8" s="15" t="s">
        <v>2</v>
      </c>
      <c r="G8" s="15" t="s">
        <v>3</v>
      </c>
      <c r="H8" s="15" t="s">
        <v>4</v>
      </c>
      <c r="I8" s="15" t="s">
        <v>5</v>
      </c>
      <c r="J8" s="15" t="s">
        <v>6</v>
      </c>
      <c r="K8" s="15" t="s">
        <v>7</v>
      </c>
      <c r="L8" s="15" t="s">
        <v>8</v>
      </c>
      <c r="M8" s="15" t="s">
        <v>9</v>
      </c>
      <c r="N8" s="15" t="s">
        <v>10</v>
      </c>
      <c r="O8" s="15" t="s">
        <v>11</v>
      </c>
      <c r="P8" s="15" t="s">
        <v>12</v>
      </c>
      <c r="Q8" s="15" t="s">
        <v>344</v>
      </c>
      <c r="R8" s="15" t="s">
        <v>345</v>
      </c>
      <c r="S8" s="15" t="s">
        <v>346</v>
      </c>
      <c r="T8" s="118"/>
      <c r="U8" s="128" t="s">
        <v>266</v>
      </c>
      <c r="V8" s="128" t="s">
        <v>828</v>
      </c>
      <c r="W8" s="130" t="s">
        <v>380</v>
      </c>
      <c r="X8" s="134" t="s">
        <v>829</v>
      </c>
      <c r="Y8" s="121" t="s">
        <v>556</v>
      </c>
      <c r="Z8" s="121" t="s">
        <v>554</v>
      </c>
      <c r="AA8" s="126" t="s">
        <v>812</v>
      </c>
      <c r="AB8" s="126" t="s">
        <v>813</v>
      </c>
    </row>
    <row r="9" spans="1:31" ht="10.5" x14ac:dyDescent="0.55000000000000004">
      <c r="B9" s="118"/>
      <c r="C9" s="118"/>
      <c r="D9" s="123"/>
      <c r="E9" s="15" t="s">
        <v>351</v>
      </c>
      <c r="F9" s="15" t="s">
        <v>13</v>
      </c>
      <c r="G9" s="15" t="s">
        <v>14</v>
      </c>
      <c r="H9" s="15" t="s">
        <v>15</v>
      </c>
      <c r="I9" s="15" t="s">
        <v>16</v>
      </c>
      <c r="J9" s="15" t="s">
        <v>17</v>
      </c>
      <c r="K9" s="15" t="s">
        <v>18</v>
      </c>
      <c r="L9" s="15" t="s">
        <v>19</v>
      </c>
      <c r="M9" s="15" t="s">
        <v>20</v>
      </c>
      <c r="N9" s="15" t="s">
        <v>21</v>
      </c>
      <c r="O9" s="15" t="s">
        <v>22</v>
      </c>
      <c r="P9" s="15" t="s">
        <v>23</v>
      </c>
      <c r="Q9" s="15" t="s">
        <v>349</v>
      </c>
      <c r="R9" s="15" t="s">
        <v>347</v>
      </c>
      <c r="S9" s="15" t="s">
        <v>348</v>
      </c>
      <c r="T9" s="118"/>
      <c r="U9" s="128"/>
      <c r="V9" s="128"/>
      <c r="W9" s="131"/>
      <c r="X9" s="135"/>
      <c r="Y9" s="129"/>
      <c r="Z9" s="129"/>
      <c r="AA9" s="127"/>
      <c r="AB9" s="127"/>
    </row>
    <row r="10" spans="1:31" x14ac:dyDescent="0.2">
      <c r="B10" s="16" t="s">
        <v>256</v>
      </c>
      <c r="C10" s="17">
        <v>1</v>
      </c>
      <c r="D10" s="18" t="s">
        <v>269</v>
      </c>
      <c r="E10" s="18" t="s">
        <v>269</v>
      </c>
      <c r="F10" s="18" t="s">
        <v>269</v>
      </c>
      <c r="G10" s="18" t="s">
        <v>269</v>
      </c>
      <c r="H10" s="18" t="s">
        <v>269</v>
      </c>
      <c r="I10" s="18" t="s">
        <v>269</v>
      </c>
      <c r="J10" s="18" t="s">
        <v>269</v>
      </c>
      <c r="K10" s="18" t="s">
        <v>269</v>
      </c>
      <c r="L10" s="18" t="s">
        <v>269</v>
      </c>
      <c r="M10" s="18" t="s">
        <v>269</v>
      </c>
      <c r="N10" s="18" t="s">
        <v>269</v>
      </c>
      <c r="O10" s="18" t="s">
        <v>269</v>
      </c>
      <c r="P10" s="18" t="s">
        <v>269</v>
      </c>
      <c r="Q10" s="18" t="s">
        <v>269</v>
      </c>
      <c r="R10" s="18" t="s">
        <v>269</v>
      </c>
      <c r="S10" s="18" t="s">
        <v>269</v>
      </c>
      <c r="T10" s="18" t="s">
        <v>269</v>
      </c>
      <c r="U10" s="16" t="s">
        <v>256</v>
      </c>
      <c r="V10" s="18" t="s">
        <v>269</v>
      </c>
      <c r="W10" s="38"/>
      <c r="X10" s="19" t="s">
        <v>545</v>
      </c>
      <c r="Y10" s="20" t="s">
        <v>555</v>
      </c>
      <c r="Z10" s="20" t="s">
        <v>555</v>
      </c>
      <c r="AA10" s="19"/>
      <c r="AB10" s="19"/>
    </row>
    <row r="11" spans="1:31" x14ac:dyDescent="0.2">
      <c r="B11" s="22" t="s">
        <v>24</v>
      </c>
      <c r="C11" s="22">
        <v>2</v>
      </c>
      <c r="D11" s="22" t="s">
        <v>24</v>
      </c>
      <c r="E11" s="22" t="s">
        <v>851</v>
      </c>
      <c r="F11" s="22" t="s">
        <v>852</v>
      </c>
      <c r="G11" s="22" t="s">
        <v>853</v>
      </c>
      <c r="H11" s="22" t="s">
        <v>854</v>
      </c>
      <c r="I11" s="18" t="s">
        <v>269</v>
      </c>
      <c r="J11" s="93" t="s">
        <v>593</v>
      </c>
      <c r="K11" s="93" t="s">
        <v>594</v>
      </c>
      <c r="L11" s="18" t="s">
        <v>269</v>
      </c>
      <c r="M11" s="22" t="s">
        <v>25</v>
      </c>
      <c r="N11" s="18" t="s">
        <v>269</v>
      </c>
      <c r="O11" s="18" t="s">
        <v>269</v>
      </c>
      <c r="P11" s="18" t="s">
        <v>269</v>
      </c>
      <c r="Q11" s="18" t="s">
        <v>269</v>
      </c>
      <c r="R11" s="18" t="s">
        <v>269</v>
      </c>
      <c r="S11" s="93" t="s">
        <v>582</v>
      </c>
      <c r="T11" s="18" t="s">
        <v>269</v>
      </c>
      <c r="U11" s="98"/>
      <c r="V11" s="18" t="s">
        <v>269</v>
      </c>
      <c r="W11" s="38" t="str">
        <f>_xlfn.IFS(AND(COUNTIF(U11,"SCB0*")=1, 'PCH100'!D60&gt;=2), "See the Notice *2", AND(COUNTIF(U11,"SCB7*")=1, 'PCH100'!K60&gt;=2), "See the Notice *2", TRUE, "")</f>
        <v/>
      </c>
      <c r="X11" s="19"/>
      <c r="Y11" s="20" t="s">
        <v>267</v>
      </c>
      <c r="Z11" s="20" t="s">
        <v>257</v>
      </c>
      <c r="AA11" s="19"/>
      <c r="AB11" s="19"/>
    </row>
    <row r="12" spans="1:31" x14ac:dyDescent="0.2">
      <c r="B12" s="30" t="s">
        <v>26</v>
      </c>
      <c r="C12" s="22">
        <v>3</v>
      </c>
      <c r="D12" s="30" t="s">
        <v>26</v>
      </c>
      <c r="E12" s="22" t="s">
        <v>855</v>
      </c>
      <c r="F12" s="22" t="s">
        <v>856</v>
      </c>
      <c r="G12" s="22" t="s">
        <v>857</v>
      </c>
      <c r="H12" s="22" t="s">
        <v>858</v>
      </c>
      <c r="I12" s="18" t="s">
        <v>269</v>
      </c>
      <c r="J12" s="93" t="s">
        <v>595</v>
      </c>
      <c r="K12" s="93" t="s">
        <v>596</v>
      </c>
      <c r="L12" s="18" t="s">
        <v>269</v>
      </c>
      <c r="M12" s="30" t="s">
        <v>27</v>
      </c>
      <c r="N12" s="18" t="s">
        <v>269</v>
      </c>
      <c r="O12" s="18" t="s">
        <v>269</v>
      </c>
      <c r="P12" s="18" t="s">
        <v>269</v>
      </c>
      <c r="Q12" s="18" t="s">
        <v>269</v>
      </c>
      <c r="R12" s="18" t="s">
        <v>269</v>
      </c>
      <c r="S12" s="93" t="s">
        <v>583</v>
      </c>
      <c r="T12" s="18" t="s">
        <v>269</v>
      </c>
      <c r="U12" s="25"/>
      <c r="V12" s="18" t="s">
        <v>269</v>
      </c>
      <c r="W12" s="38" t="str">
        <f>_xlfn.IFS(AND(COUNTIF(U12,"SCB0*")=1, 'PCH100'!D60&gt;=2), "See the Notice *2", AND(COUNTIF(U12,"SCB7*")=1, 'PCH100'!K60&gt;=2), "See the Notice *2", TRUE, "")</f>
        <v/>
      </c>
      <c r="X12" s="19"/>
      <c r="Y12" s="20" t="s">
        <v>267</v>
      </c>
      <c r="Z12" s="20" t="s">
        <v>257</v>
      </c>
      <c r="AA12" s="19"/>
      <c r="AB12" s="19"/>
    </row>
    <row r="13" spans="1:31" x14ac:dyDescent="0.2">
      <c r="B13" s="30" t="s">
        <v>28</v>
      </c>
      <c r="C13" s="22">
        <v>4</v>
      </c>
      <c r="D13" s="30" t="s">
        <v>28</v>
      </c>
      <c r="E13" s="22" t="s">
        <v>859</v>
      </c>
      <c r="F13" s="22" t="s">
        <v>860</v>
      </c>
      <c r="G13" s="22" t="s">
        <v>861</v>
      </c>
      <c r="H13" s="22" t="s">
        <v>862</v>
      </c>
      <c r="I13" s="18" t="s">
        <v>269</v>
      </c>
      <c r="J13" s="93" t="s">
        <v>597</v>
      </c>
      <c r="K13" s="18" t="s">
        <v>269</v>
      </c>
      <c r="L13" s="18" t="s">
        <v>269</v>
      </c>
      <c r="M13" s="30" t="s">
        <v>29</v>
      </c>
      <c r="N13" s="30" t="s">
        <v>30</v>
      </c>
      <c r="O13" s="18" t="s">
        <v>269</v>
      </c>
      <c r="P13" s="18" t="s">
        <v>269</v>
      </c>
      <c r="Q13" s="93" t="s">
        <v>581</v>
      </c>
      <c r="R13" s="18" t="s">
        <v>269</v>
      </c>
      <c r="S13" s="93" t="s">
        <v>584</v>
      </c>
      <c r="T13" s="18" t="s">
        <v>269</v>
      </c>
      <c r="U13" s="25"/>
      <c r="V13" s="18" t="s">
        <v>269</v>
      </c>
      <c r="W13" s="38" t="str">
        <f>_xlfn.IFS(AND(COUNTIF(U13,"SCB*")=1, 'PCH100'!D60&gt;=2), "See the Notice *2", TRUE, "")</f>
        <v/>
      </c>
      <c r="X13" s="19"/>
      <c r="Y13" s="20" t="s">
        <v>267</v>
      </c>
      <c r="Z13" s="20" t="s">
        <v>257</v>
      </c>
      <c r="AA13" s="19"/>
      <c r="AB13" s="19"/>
    </row>
    <row r="14" spans="1:31" x14ac:dyDescent="0.2">
      <c r="B14" s="30" t="s">
        <v>31</v>
      </c>
      <c r="C14" s="22">
        <v>5</v>
      </c>
      <c r="D14" s="30" t="s">
        <v>31</v>
      </c>
      <c r="E14" s="22" t="s">
        <v>863</v>
      </c>
      <c r="F14" s="22" t="s">
        <v>864</v>
      </c>
      <c r="G14" s="22" t="s">
        <v>865</v>
      </c>
      <c r="H14" s="22" t="s">
        <v>866</v>
      </c>
      <c r="I14" s="18" t="s">
        <v>269</v>
      </c>
      <c r="J14" s="93" t="s">
        <v>598</v>
      </c>
      <c r="K14" s="18" t="s">
        <v>269</v>
      </c>
      <c r="L14" s="18" t="s">
        <v>269</v>
      </c>
      <c r="M14" s="18" t="s">
        <v>269</v>
      </c>
      <c r="N14" s="30" t="s">
        <v>32</v>
      </c>
      <c r="O14" s="18" t="s">
        <v>269</v>
      </c>
      <c r="P14" s="18" t="s">
        <v>269</v>
      </c>
      <c r="Q14" s="93" t="s">
        <v>578</v>
      </c>
      <c r="R14" s="18" t="s">
        <v>269</v>
      </c>
      <c r="S14" s="93" t="s">
        <v>585</v>
      </c>
      <c r="T14" s="18" t="s">
        <v>269</v>
      </c>
      <c r="U14" s="25"/>
      <c r="V14" s="18" t="s">
        <v>269</v>
      </c>
      <c r="W14" s="38" t="str">
        <f>_xlfn.IFS(AND(COUNTIF(U14,"SCB*")=1, 'PCH100'!D60&gt;=2), "See the Notice *2", TRUE, "")</f>
        <v/>
      </c>
      <c r="X14" s="19"/>
      <c r="Y14" s="20" t="s">
        <v>267</v>
      </c>
      <c r="Z14" s="20" t="s">
        <v>257</v>
      </c>
      <c r="AA14" s="19"/>
      <c r="AB14" s="19"/>
    </row>
    <row r="15" spans="1:31" x14ac:dyDescent="0.2">
      <c r="B15" s="30" t="s">
        <v>39</v>
      </c>
      <c r="C15" s="30">
        <v>6</v>
      </c>
      <c r="D15" s="30" t="s">
        <v>39</v>
      </c>
      <c r="E15" s="22" t="s">
        <v>883</v>
      </c>
      <c r="F15" s="22" t="s">
        <v>884</v>
      </c>
      <c r="G15" s="22" t="s">
        <v>885</v>
      </c>
      <c r="H15" s="22" t="s">
        <v>886</v>
      </c>
      <c r="I15" s="18" t="s">
        <v>269</v>
      </c>
      <c r="J15" s="93" t="s">
        <v>599</v>
      </c>
      <c r="K15" s="18" t="s">
        <v>269</v>
      </c>
      <c r="L15" s="95" t="s">
        <v>617</v>
      </c>
      <c r="M15" s="30" t="s">
        <v>40</v>
      </c>
      <c r="N15" s="30" t="s">
        <v>41</v>
      </c>
      <c r="O15" s="30" t="s">
        <v>42</v>
      </c>
      <c r="P15" s="18" t="s">
        <v>269</v>
      </c>
      <c r="Q15" s="18" t="s">
        <v>269</v>
      </c>
      <c r="R15" s="30" t="s">
        <v>270</v>
      </c>
      <c r="S15" s="93" t="s">
        <v>590</v>
      </c>
      <c r="T15" s="18" t="s">
        <v>269</v>
      </c>
      <c r="U15" s="25"/>
      <c r="V15" s="18" t="s">
        <v>269</v>
      </c>
      <c r="W15" s="38" t="str">
        <f>_xlfn.IFS(AND(COUNTIF(U15,"SCB0*")=1, 'PCH100'!D60&gt;=2), "See the Notice *2", AND(COUNTIF(U15,"SCB7*")=1, 'PCH100'!K60&gt;=2), "See the Notice *2", TRUE, "")</f>
        <v/>
      </c>
      <c r="X15" s="19"/>
      <c r="Y15" s="20" t="s">
        <v>268</v>
      </c>
      <c r="Z15" s="20" t="s">
        <v>257</v>
      </c>
      <c r="AA15" s="19"/>
      <c r="AB15" s="19"/>
    </row>
    <row r="16" spans="1:31" x14ac:dyDescent="0.2">
      <c r="B16" s="30" t="s">
        <v>43</v>
      </c>
      <c r="C16" s="30">
        <v>7</v>
      </c>
      <c r="D16" s="30" t="s">
        <v>43</v>
      </c>
      <c r="E16" s="22" t="s">
        <v>887</v>
      </c>
      <c r="F16" s="22" t="s">
        <v>888</v>
      </c>
      <c r="G16" s="22" t="s">
        <v>889</v>
      </c>
      <c r="H16" s="22" t="s">
        <v>890</v>
      </c>
      <c r="I16" s="18" t="s">
        <v>269</v>
      </c>
      <c r="J16" s="93" t="s">
        <v>600</v>
      </c>
      <c r="K16" s="96" t="s">
        <v>601</v>
      </c>
      <c r="L16" s="95" t="s">
        <v>618</v>
      </c>
      <c r="M16" s="30" t="s">
        <v>44</v>
      </c>
      <c r="N16" s="30" t="s">
        <v>45</v>
      </c>
      <c r="O16" s="30" t="s">
        <v>46</v>
      </c>
      <c r="P16" s="18" t="s">
        <v>269</v>
      </c>
      <c r="Q16" s="18" t="s">
        <v>269</v>
      </c>
      <c r="R16" s="18" t="s">
        <v>269</v>
      </c>
      <c r="S16" s="93" t="s">
        <v>591</v>
      </c>
      <c r="T16" s="18" t="s">
        <v>269</v>
      </c>
      <c r="U16" s="25"/>
      <c r="V16" s="18" t="s">
        <v>269</v>
      </c>
      <c r="W16" s="38" t="str">
        <f>_xlfn.IFS(AND(COUNTIF(U16,"SCB0*")=1, 'PCH100'!D60&gt;=2), "See the Notice *2", AND(COUNTIF(U16,"SCB7*")=1, 'PCH100'!K60&gt;=2), "See the Notice *2", TRUE, "")</f>
        <v/>
      </c>
      <c r="X16" s="19"/>
      <c r="Y16" s="20" t="s">
        <v>268</v>
      </c>
      <c r="Z16" s="20" t="s">
        <v>257</v>
      </c>
      <c r="AA16" s="19"/>
      <c r="AB16" s="19"/>
    </row>
    <row r="17" spans="2:28" x14ac:dyDescent="0.2">
      <c r="B17" s="30" t="s">
        <v>47</v>
      </c>
      <c r="C17" s="30">
        <v>8</v>
      </c>
      <c r="D17" s="30" t="s">
        <v>47</v>
      </c>
      <c r="E17" s="22" t="s">
        <v>891</v>
      </c>
      <c r="F17" s="22" t="s">
        <v>892</v>
      </c>
      <c r="G17" s="22" t="s">
        <v>893</v>
      </c>
      <c r="H17" s="22" t="s">
        <v>894</v>
      </c>
      <c r="I17" s="18" t="s">
        <v>269</v>
      </c>
      <c r="J17" s="93" t="s">
        <v>602</v>
      </c>
      <c r="K17" s="96" t="s">
        <v>603</v>
      </c>
      <c r="L17" s="95" t="s">
        <v>619</v>
      </c>
      <c r="M17" s="30" t="s">
        <v>48</v>
      </c>
      <c r="N17" s="18" t="s">
        <v>269</v>
      </c>
      <c r="O17" s="30" t="s">
        <v>49</v>
      </c>
      <c r="P17" s="18" t="s">
        <v>269</v>
      </c>
      <c r="Q17" s="18" t="s">
        <v>269</v>
      </c>
      <c r="R17" s="18" t="s">
        <v>269</v>
      </c>
      <c r="S17" s="93" t="s">
        <v>592</v>
      </c>
      <c r="T17" s="18" t="s">
        <v>269</v>
      </c>
      <c r="U17" s="25"/>
      <c r="V17" s="18" t="s">
        <v>269</v>
      </c>
      <c r="W17" s="38" t="str">
        <f>_xlfn.IFS(AND(COUNTIF(U17,"SCB0*")=1, 'PCH100'!D60&gt;=2), "See the Notice *2", AND(COUNTIF(U17,"SCB7*")=1, 'PCH100'!K60&gt;=2), "See the Notice *2", TRUE, "")</f>
        <v/>
      </c>
      <c r="X17" s="19"/>
      <c r="Y17" s="20" t="s">
        <v>268</v>
      </c>
      <c r="Z17" s="20" t="s">
        <v>257</v>
      </c>
      <c r="AA17" s="19"/>
      <c r="AB17" s="19"/>
    </row>
    <row r="18" spans="2:28" x14ac:dyDescent="0.2">
      <c r="B18" s="30" t="s">
        <v>50</v>
      </c>
      <c r="C18" s="30">
        <v>9</v>
      </c>
      <c r="D18" s="30" t="s">
        <v>50</v>
      </c>
      <c r="E18" s="22" t="s">
        <v>895</v>
      </c>
      <c r="F18" s="22" t="s">
        <v>896</v>
      </c>
      <c r="G18" s="22" t="s">
        <v>897</v>
      </c>
      <c r="H18" s="22" t="s">
        <v>898</v>
      </c>
      <c r="I18" s="18" t="s">
        <v>269</v>
      </c>
      <c r="J18" s="93" t="s">
        <v>604</v>
      </c>
      <c r="K18" s="18" t="s">
        <v>269</v>
      </c>
      <c r="L18" s="95" t="s">
        <v>620</v>
      </c>
      <c r="M18" s="30" t="s">
        <v>51</v>
      </c>
      <c r="N18" s="18" t="s">
        <v>269</v>
      </c>
      <c r="O18" s="30" t="s">
        <v>52</v>
      </c>
      <c r="P18" s="18" t="s">
        <v>269</v>
      </c>
      <c r="Q18" s="18" t="s">
        <v>269</v>
      </c>
      <c r="R18" s="18" t="s">
        <v>269</v>
      </c>
      <c r="S18" s="18" t="s">
        <v>269</v>
      </c>
      <c r="T18" s="18" t="s">
        <v>269</v>
      </c>
      <c r="U18" s="25"/>
      <c r="V18" s="18" t="s">
        <v>269</v>
      </c>
      <c r="W18" s="38" t="str">
        <f>_xlfn.IFS(AND(COUNTIF(U18,"SCB*")=1, 'PCH100'!K60&gt;=2), "See the Notice *2", TRUE, "")</f>
        <v/>
      </c>
      <c r="X18" s="19"/>
      <c r="Y18" s="20" t="s">
        <v>268</v>
      </c>
      <c r="Z18" s="20" t="s">
        <v>257</v>
      </c>
      <c r="AA18" s="19"/>
      <c r="AB18" s="19"/>
    </row>
    <row r="19" spans="2:28" x14ac:dyDescent="0.2">
      <c r="B19" s="30" t="s">
        <v>59</v>
      </c>
      <c r="C19" s="30">
        <v>10</v>
      </c>
      <c r="D19" s="30" t="s">
        <v>59</v>
      </c>
      <c r="E19" s="22" t="s">
        <v>907</v>
      </c>
      <c r="F19" s="22" t="s">
        <v>908</v>
      </c>
      <c r="G19" s="22" t="s">
        <v>909</v>
      </c>
      <c r="H19" s="22" t="s">
        <v>910</v>
      </c>
      <c r="I19" s="18" t="s">
        <v>269</v>
      </c>
      <c r="J19" s="93" t="s">
        <v>605</v>
      </c>
      <c r="K19" s="18" t="s">
        <v>269</v>
      </c>
      <c r="L19" s="95" t="s">
        <v>623</v>
      </c>
      <c r="M19" s="18" t="s">
        <v>269</v>
      </c>
      <c r="N19" s="18" t="s">
        <v>269</v>
      </c>
      <c r="O19" s="18" t="s">
        <v>269</v>
      </c>
      <c r="P19" s="30" t="s">
        <v>60</v>
      </c>
      <c r="Q19" s="18" t="s">
        <v>269</v>
      </c>
      <c r="R19" s="18" t="s">
        <v>269</v>
      </c>
      <c r="S19" s="18" t="s">
        <v>269</v>
      </c>
      <c r="T19" s="18" t="s">
        <v>269</v>
      </c>
      <c r="U19" s="25"/>
      <c r="V19" s="18" t="s">
        <v>269</v>
      </c>
      <c r="W19" s="38" t="str">
        <f>_xlfn.IFS(AND(COUNTIF(U19,"SCB*")=1, 'PCH100'!J60&gt;=2), "See the Notice *2", TRUE, "")</f>
        <v/>
      </c>
      <c r="X19" s="19"/>
      <c r="Y19" s="20" t="s">
        <v>268</v>
      </c>
      <c r="Z19" s="20" t="s">
        <v>257</v>
      </c>
      <c r="AA19" s="19"/>
      <c r="AB19" s="19"/>
    </row>
    <row r="20" spans="2:28" x14ac:dyDescent="0.2">
      <c r="B20" s="30" t="s">
        <v>61</v>
      </c>
      <c r="C20" s="30">
        <v>11</v>
      </c>
      <c r="D20" s="30" t="s">
        <v>61</v>
      </c>
      <c r="E20" s="22" t="s">
        <v>911</v>
      </c>
      <c r="F20" s="22" t="s">
        <v>912</v>
      </c>
      <c r="G20" s="22" t="s">
        <v>913</v>
      </c>
      <c r="H20" s="22" t="s">
        <v>914</v>
      </c>
      <c r="I20" s="18" t="s">
        <v>269</v>
      </c>
      <c r="J20" s="93" t="s">
        <v>606</v>
      </c>
      <c r="K20" s="96" t="s">
        <v>607</v>
      </c>
      <c r="L20" s="95" t="s">
        <v>624</v>
      </c>
      <c r="M20" s="18" t="s">
        <v>269</v>
      </c>
      <c r="N20" s="18" t="s">
        <v>269</v>
      </c>
      <c r="O20" s="18" t="s">
        <v>269</v>
      </c>
      <c r="P20" s="30" t="s">
        <v>62</v>
      </c>
      <c r="Q20" s="18" t="s">
        <v>269</v>
      </c>
      <c r="R20" s="18" t="s">
        <v>269</v>
      </c>
      <c r="S20" s="18" t="s">
        <v>269</v>
      </c>
      <c r="T20" s="18" t="s">
        <v>269</v>
      </c>
      <c r="U20" s="25"/>
      <c r="V20" s="18" t="s">
        <v>269</v>
      </c>
      <c r="W20" s="38" t="str">
        <f>_xlfn.IFS(AND(COUNTIF(U20,"SCB*")=1, 'PCH100'!J60&gt;=2), "See the Notice *2", TRUE, "")</f>
        <v/>
      </c>
      <c r="X20" s="19"/>
      <c r="Y20" s="20" t="s">
        <v>268</v>
      </c>
      <c r="Z20" s="20" t="s">
        <v>257</v>
      </c>
      <c r="AA20" s="19"/>
      <c r="AB20" s="19"/>
    </row>
    <row r="21" spans="2:28" x14ac:dyDescent="0.2">
      <c r="B21" s="28" t="s">
        <v>257</v>
      </c>
      <c r="C21" s="17">
        <v>12</v>
      </c>
      <c r="D21" s="18" t="s">
        <v>269</v>
      </c>
      <c r="E21" s="18" t="s">
        <v>269</v>
      </c>
      <c r="F21" s="18" t="s">
        <v>269</v>
      </c>
      <c r="G21" s="18" t="s">
        <v>269</v>
      </c>
      <c r="H21" s="18" t="s">
        <v>269</v>
      </c>
      <c r="I21" s="18" t="s">
        <v>269</v>
      </c>
      <c r="J21" s="18" t="s">
        <v>269</v>
      </c>
      <c r="K21" s="18" t="s">
        <v>269</v>
      </c>
      <c r="L21" s="18" t="s">
        <v>269</v>
      </c>
      <c r="M21" s="18" t="s">
        <v>269</v>
      </c>
      <c r="N21" s="18" t="s">
        <v>269</v>
      </c>
      <c r="O21" s="18" t="s">
        <v>269</v>
      </c>
      <c r="P21" s="18" t="s">
        <v>269</v>
      </c>
      <c r="Q21" s="18" t="s">
        <v>269</v>
      </c>
      <c r="R21" s="18" t="s">
        <v>269</v>
      </c>
      <c r="S21" s="18" t="s">
        <v>269</v>
      </c>
      <c r="T21" s="18" t="s">
        <v>269</v>
      </c>
      <c r="U21" s="28" t="s">
        <v>257</v>
      </c>
      <c r="V21" s="18" t="s">
        <v>269</v>
      </c>
      <c r="W21" s="38"/>
      <c r="X21" s="19" t="s">
        <v>544</v>
      </c>
      <c r="Y21" s="20" t="s">
        <v>555</v>
      </c>
      <c r="Z21" s="20" t="s">
        <v>555</v>
      </c>
      <c r="AA21" s="19"/>
      <c r="AB21" s="19"/>
    </row>
    <row r="22" spans="2:28" x14ac:dyDescent="0.2">
      <c r="B22" s="16" t="s">
        <v>256</v>
      </c>
      <c r="C22" s="17">
        <v>13</v>
      </c>
      <c r="D22" s="18" t="s">
        <v>269</v>
      </c>
      <c r="E22" s="18" t="s">
        <v>269</v>
      </c>
      <c r="F22" s="18" t="s">
        <v>269</v>
      </c>
      <c r="G22" s="18" t="s">
        <v>269</v>
      </c>
      <c r="H22" s="18" t="s">
        <v>269</v>
      </c>
      <c r="I22" s="18" t="s">
        <v>269</v>
      </c>
      <c r="J22" s="18" t="s">
        <v>269</v>
      </c>
      <c r="K22" s="18" t="s">
        <v>269</v>
      </c>
      <c r="L22" s="18" t="s">
        <v>269</v>
      </c>
      <c r="M22" s="18" t="s">
        <v>269</v>
      </c>
      <c r="N22" s="18" t="s">
        <v>269</v>
      </c>
      <c r="O22" s="18" t="s">
        <v>269</v>
      </c>
      <c r="P22" s="18" t="s">
        <v>269</v>
      </c>
      <c r="Q22" s="18" t="s">
        <v>269</v>
      </c>
      <c r="R22" s="18" t="s">
        <v>269</v>
      </c>
      <c r="S22" s="18" t="s">
        <v>269</v>
      </c>
      <c r="T22" s="18" t="s">
        <v>269</v>
      </c>
      <c r="U22" s="16" t="s">
        <v>256</v>
      </c>
      <c r="V22" s="18" t="s">
        <v>269</v>
      </c>
      <c r="W22" s="38"/>
      <c r="X22" s="19" t="s">
        <v>545</v>
      </c>
      <c r="Y22" s="20" t="s">
        <v>555</v>
      </c>
      <c r="Z22" s="20" t="s">
        <v>555</v>
      </c>
      <c r="AA22" s="19"/>
      <c r="AB22" s="19"/>
    </row>
    <row r="23" spans="2:28" x14ac:dyDescent="0.2">
      <c r="B23" s="30" t="s">
        <v>80</v>
      </c>
      <c r="C23" s="30">
        <v>14</v>
      </c>
      <c r="D23" s="30" t="s">
        <v>80</v>
      </c>
      <c r="E23" s="109" t="s">
        <v>933</v>
      </c>
      <c r="F23" s="109" t="s">
        <v>884</v>
      </c>
      <c r="G23" s="109" t="s">
        <v>934</v>
      </c>
      <c r="H23" s="109" t="s">
        <v>886</v>
      </c>
      <c r="I23" s="18" t="s">
        <v>269</v>
      </c>
      <c r="J23" s="18" t="s">
        <v>269</v>
      </c>
      <c r="K23" s="18" t="s">
        <v>269</v>
      </c>
      <c r="L23" s="95" t="s">
        <v>634</v>
      </c>
      <c r="M23" s="30" t="s">
        <v>81</v>
      </c>
      <c r="N23" s="18" t="s">
        <v>269</v>
      </c>
      <c r="O23" s="18" t="s">
        <v>269</v>
      </c>
      <c r="P23" s="18" t="s">
        <v>269</v>
      </c>
      <c r="Q23" s="18" t="s">
        <v>269</v>
      </c>
      <c r="R23" s="18" t="s">
        <v>269</v>
      </c>
      <c r="S23" s="18" t="s">
        <v>269</v>
      </c>
      <c r="T23" s="18" t="s">
        <v>269</v>
      </c>
      <c r="U23" s="25"/>
      <c r="V23" s="18" t="s">
        <v>269</v>
      </c>
      <c r="W23" s="38" t="str">
        <f>_xlfn.IFS(AND(COUNTIF(U23,"SCB*")=1, 'PCH100'!I60&gt;=2), "See the Notice *2", TRUE, "")</f>
        <v/>
      </c>
      <c r="X23" s="19"/>
      <c r="Y23" s="20" t="s">
        <v>268</v>
      </c>
      <c r="Z23" s="20" t="s">
        <v>257</v>
      </c>
      <c r="AA23" s="19"/>
      <c r="AB23" s="19"/>
    </row>
    <row r="24" spans="2:28" x14ac:dyDescent="0.2">
      <c r="B24" s="30" t="s">
        <v>82</v>
      </c>
      <c r="C24" s="30">
        <v>15</v>
      </c>
      <c r="D24" s="30" t="s">
        <v>82</v>
      </c>
      <c r="E24" s="109" t="s">
        <v>875</v>
      </c>
      <c r="F24" s="109" t="s">
        <v>935</v>
      </c>
      <c r="G24" s="109" t="s">
        <v>877</v>
      </c>
      <c r="H24" s="109" t="s">
        <v>936</v>
      </c>
      <c r="I24" s="18" t="s">
        <v>269</v>
      </c>
      <c r="J24" s="18" t="s">
        <v>269</v>
      </c>
      <c r="K24" s="18" t="s">
        <v>269</v>
      </c>
      <c r="L24" s="18" t="s">
        <v>269</v>
      </c>
      <c r="M24" s="30" t="s">
        <v>83</v>
      </c>
      <c r="N24" s="18" t="s">
        <v>269</v>
      </c>
      <c r="O24" s="18" t="s">
        <v>269</v>
      </c>
      <c r="P24" s="18" t="s">
        <v>269</v>
      </c>
      <c r="Q24" s="18" t="s">
        <v>269</v>
      </c>
      <c r="R24" s="18" t="s">
        <v>269</v>
      </c>
      <c r="S24" s="18" t="s">
        <v>269</v>
      </c>
      <c r="T24" s="18" t="s">
        <v>269</v>
      </c>
      <c r="U24" s="25"/>
      <c r="V24" s="18" t="s">
        <v>269</v>
      </c>
      <c r="W24" s="38"/>
      <c r="X24" s="19"/>
      <c r="Y24" s="20" t="s">
        <v>268</v>
      </c>
      <c r="Z24" s="20" t="s">
        <v>257</v>
      </c>
      <c r="AA24" s="19"/>
      <c r="AB24" s="19"/>
    </row>
    <row r="25" spans="2:28" x14ac:dyDescent="0.2">
      <c r="B25" s="30" t="s">
        <v>84</v>
      </c>
      <c r="C25" s="30">
        <v>16</v>
      </c>
      <c r="D25" s="30" t="s">
        <v>84</v>
      </c>
      <c r="E25" s="109" t="s">
        <v>871</v>
      </c>
      <c r="F25" s="109" t="s">
        <v>880</v>
      </c>
      <c r="G25" s="109" t="s">
        <v>873</v>
      </c>
      <c r="H25" s="109" t="s">
        <v>882</v>
      </c>
      <c r="I25" s="18" t="s">
        <v>269</v>
      </c>
      <c r="J25" s="18" t="s">
        <v>269</v>
      </c>
      <c r="K25" s="18" t="s">
        <v>269</v>
      </c>
      <c r="L25" s="18" t="s">
        <v>269</v>
      </c>
      <c r="M25" s="30" t="s">
        <v>85</v>
      </c>
      <c r="N25" s="18" t="s">
        <v>269</v>
      </c>
      <c r="O25" s="18" t="s">
        <v>269</v>
      </c>
      <c r="P25" s="18" t="s">
        <v>269</v>
      </c>
      <c r="Q25" s="18" t="s">
        <v>269</v>
      </c>
      <c r="R25" s="18" t="s">
        <v>269</v>
      </c>
      <c r="S25" s="18" t="s">
        <v>269</v>
      </c>
      <c r="T25" s="18" t="s">
        <v>269</v>
      </c>
      <c r="U25" s="25"/>
      <c r="V25" s="18" t="s">
        <v>269</v>
      </c>
      <c r="W25" s="38"/>
      <c r="X25" s="19"/>
      <c r="Y25" s="20" t="s">
        <v>268</v>
      </c>
      <c r="Z25" s="20" t="s">
        <v>257</v>
      </c>
      <c r="AA25" s="19"/>
      <c r="AB25" s="19"/>
    </row>
    <row r="26" spans="2:28" x14ac:dyDescent="0.2">
      <c r="B26" s="30" t="s">
        <v>86</v>
      </c>
      <c r="C26" s="30">
        <v>17</v>
      </c>
      <c r="D26" s="30" t="s">
        <v>86</v>
      </c>
      <c r="E26" s="109" t="s">
        <v>867</v>
      </c>
      <c r="F26" s="109" t="s">
        <v>876</v>
      </c>
      <c r="G26" s="109" t="s">
        <v>869</v>
      </c>
      <c r="H26" s="109" t="s">
        <v>878</v>
      </c>
      <c r="I26" s="18" t="s">
        <v>269</v>
      </c>
      <c r="J26" s="18" t="s">
        <v>269</v>
      </c>
      <c r="K26" s="18" t="s">
        <v>269</v>
      </c>
      <c r="L26" s="18" t="s">
        <v>269</v>
      </c>
      <c r="M26" s="30" t="s">
        <v>87</v>
      </c>
      <c r="N26" s="18" t="s">
        <v>269</v>
      </c>
      <c r="O26" s="18" t="s">
        <v>269</v>
      </c>
      <c r="P26" s="18" t="s">
        <v>269</v>
      </c>
      <c r="Q26" s="18" t="s">
        <v>269</v>
      </c>
      <c r="R26" s="18" t="s">
        <v>269</v>
      </c>
      <c r="S26" s="18" t="s">
        <v>269</v>
      </c>
      <c r="T26" s="18" t="s">
        <v>269</v>
      </c>
      <c r="U26" s="25"/>
      <c r="V26" s="18" t="s">
        <v>269</v>
      </c>
      <c r="W26" s="38"/>
      <c r="X26" s="19"/>
      <c r="Y26" s="20" t="s">
        <v>268</v>
      </c>
      <c r="Z26" s="20" t="s">
        <v>257</v>
      </c>
      <c r="AA26" s="19"/>
      <c r="AB26" s="19"/>
    </row>
    <row r="27" spans="2:28" x14ac:dyDescent="0.2">
      <c r="B27" s="30" t="s">
        <v>92</v>
      </c>
      <c r="C27" s="30">
        <v>18</v>
      </c>
      <c r="D27" s="30" t="s">
        <v>92</v>
      </c>
      <c r="E27" s="109" t="s">
        <v>927</v>
      </c>
      <c r="F27" s="109" t="s">
        <v>864</v>
      </c>
      <c r="G27" s="109" t="s">
        <v>929</v>
      </c>
      <c r="H27" s="109" t="s">
        <v>866</v>
      </c>
      <c r="I27" s="18" t="s">
        <v>269</v>
      </c>
      <c r="J27" s="93" t="s">
        <v>635</v>
      </c>
      <c r="K27" s="18" t="s">
        <v>269</v>
      </c>
      <c r="L27" s="93" t="s">
        <v>636</v>
      </c>
      <c r="M27" s="30" t="s">
        <v>93</v>
      </c>
      <c r="N27" s="18" t="s">
        <v>269</v>
      </c>
      <c r="O27" s="18" t="s">
        <v>269</v>
      </c>
      <c r="P27" s="18" t="s">
        <v>269</v>
      </c>
      <c r="Q27" s="18" t="s">
        <v>269</v>
      </c>
      <c r="R27" s="18" t="s">
        <v>269</v>
      </c>
      <c r="S27" s="18" t="s">
        <v>269</v>
      </c>
      <c r="T27" s="21" t="s">
        <v>271</v>
      </c>
      <c r="U27" s="25"/>
      <c r="V27" s="18" t="s">
        <v>269</v>
      </c>
      <c r="W27" s="38" t="str">
        <f>_xlfn.IFS(AND(COUNTIF(U27,"SCB*")=1, 'PCH100'!H60&gt;=2), "See the Notice *2", TRUE, "")</f>
        <v/>
      </c>
      <c r="X27" s="19"/>
      <c r="Y27" s="20" t="s">
        <v>268</v>
      </c>
      <c r="Z27" s="20" t="s">
        <v>559</v>
      </c>
      <c r="AA27" s="19"/>
      <c r="AB27" s="19"/>
    </row>
    <row r="28" spans="2:28" x14ac:dyDescent="0.2">
      <c r="B28" s="30" t="s">
        <v>94</v>
      </c>
      <c r="C28" s="30">
        <v>19</v>
      </c>
      <c r="D28" s="30" t="s">
        <v>94</v>
      </c>
      <c r="E28" s="109" t="s">
        <v>911</v>
      </c>
      <c r="F28" s="109" t="s">
        <v>931</v>
      </c>
      <c r="G28" s="109" t="s">
        <v>913</v>
      </c>
      <c r="H28" s="109" t="s">
        <v>932</v>
      </c>
      <c r="I28" s="18" t="s">
        <v>269</v>
      </c>
      <c r="J28" s="93" t="s">
        <v>637</v>
      </c>
      <c r="K28" s="93" t="s">
        <v>638</v>
      </c>
      <c r="L28" s="93" t="s">
        <v>639</v>
      </c>
      <c r="M28" s="30" t="s">
        <v>95</v>
      </c>
      <c r="N28" s="18" t="s">
        <v>269</v>
      </c>
      <c r="O28" s="18" t="s">
        <v>269</v>
      </c>
      <c r="P28" s="18" t="s">
        <v>269</v>
      </c>
      <c r="Q28" s="18" t="s">
        <v>269</v>
      </c>
      <c r="R28" s="18" t="s">
        <v>269</v>
      </c>
      <c r="S28" s="18" t="s">
        <v>269</v>
      </c>
      <c r="T28" s="21" t="s">
        <v>272</v>
      </c>
      <c r="U28" s="25"/>
      <c r="V28" s="18" t="s">
        <v>269</v>
      </c>
      <c r="W28" s="38" t="str">
        <f>_xlfn.IFS(AND(COUNTIF(U28,"SCB*")=1, 'PCH100'!H60&gt;=2), "See the Notice *2", TRUE, "")</f>
        <v/>
      </c>
      <c r="X28" s="19"/>
      <c r="Y28" s="20" t="s">
        <v>268</v>
      </c>
      <c r="Z28" s="20" t="s">
        <v>559</v>
      </c>
      <c r="AA28" s="19"/>
      <c r="AB28" s="19"/>
    </row>
    <row r="29" spans="2:28" x14ac:dyDescent="0.2">
      <c r="B29" s="30" t="s">
        <v>96</v>
      </c>
      <c r="C29" s="30">
        <v>20</v>
      </c>
      <c r="D29" s="30" t="s">
        <v>96</v>
      </c>
      <c r="E29" s="109" t="s">
        <v>923</v>
      </c>
      <c r="F29" s="109" t="s">
        <v>916</v>
      </c>
      <c r="G29" s="109" t="s">
        <v>925</v>
      </c>
      <c r="H29" s="109" t="s">
        <v>918</v>
      </c>
      <c r="I29" s="18" t="s">
        <v>269</v>
      </c>
      <c r="J29" s="93" t="s">
        <v>640</v>
      </c>
      <c r="K29" s="93" t="s">
        <v>641</v>
      </c>
      <c r="L29" s="93" t="s">
        <v>642</v>
      </c>
      <c r="M29" s="30" t="s">
        <v>97</v>
      </c>
      <c r="N29" s="30" t="s">
        <v>98</v>
      </c>
      <c r="O29" s="18" t="s">
        <v>269</v>
      </c>
      <c r="P29" s="18" t="s">
        <v>269</v>
      </c>
      <c r="Q29" s="18" t="s">
        <v>269</v>
      </c>
      <c r="R29" s="18" t="s">
        <v>269</v>
      </c>
      <c r="S29" s="18" t="s">
        <v>269</v>
      </c>
      <c r="T29" s="21" t="s">
        <v>273</v>
      </c>
      <c r="U29" s="25"/>
      <c r="V29" s="18" t="s">
        <v>269</v>
      </c>
      <c r="W29" s="38" t="str">
        <f>_xlfn.IFS(AND(COUNTIF(U29,"SCB*")=1, 'PCH100'!H60&gt;=2), "See the Notice *2", TRUE, "")</f>
        <v/>
      </c>
      <c r="X29" s="19"/>
      <c r="Y29" s="20" t="s">
        <v>268</v>
      </c>
      <c r="Z29" s="20" t="s">
        <v>559</v>
      </c>
      <c r="AA29" s="19"/>
      <c r="AB29" s="19"/>
    </row>
    <row r="30" spans="2:28" x14ac:dyDescent="0.2">
      <c r="B30" s="30" t="s">
        <v>99</v>
      </c>
      <c r="C30" s="30">
        <v>21</v>
      </c>
      <c r="D30" s="30" t="s">
        <v>99</v>
      </c>
      <c r="E30" s="109" t="s">
        <v>907</v>
      </c>
      <c r="F30" s="109" t="s">
        <v>928</v>
      </c>
      <c r="G30" s="109" t="s">
        <v>909</v>
      </c>
      <c r="H30" s="109" t="s">
        <v>930</v>
      </c>
      <c r="I30" s="18" t="s">
        <v>269</v>
      </c>
      <c r="J30" s="93" t="s">
        <v>643</v>
      </c>
      <c r="K30" s="18" t="s">
        <v>269</v>
      </c>
      <c r="L30" s="93" t="s">
        <v>644</v>
      </c>
      <c r="M30" s="30" t="s">
        <v>100</v>
      </c>
      <c r="N30" s="30" t="s">
        <v>101</v>
      </c>
      <c r="O30" s="18" t="s">
        <v>269</v>
      </c>
      <c r="P30" s="30" t="s">
        <v>102</v>
      </c>
      <c r="Q30" s="18" t="s">
        <v>269</v>
      </c>
      <c r="R30" s="18" t="s">
        <v>269</v>
      </c>
      <c r="S30" s="18" t="s">
        <v>269</v>
      </c>
      <c r="T30" s="21" t="s">
        <v>274</v>
      </c>
      <c r="U30" s="25"/>
      <c r="V30" s="18" t="s">
        <v>269</v>
      </c>
      <c r="W30" s="38" t="str">
        <f>_xlfn.IFS(AND(COUNTIF(U30,"SCB*")=1, 'PCH100'!H60&gt;=2), "See the Notice *2", TRUE, "")</f>
        <v/>
      </c>
      <c r="X30" s="19"/>
      <c r="Y30" s="20" t="s">
        <v>268</v>
      </c>
      <c r="Z30" s="20" t="s">
        <v>559</v>
      </c>
      <c r="AA30" s="19"/>
      <c r="AB30" s="19"/>
    </row>
    <row r="31" spans="2:28" x14ac:dyDescent="0.2">
      <c r="B31" s="30" t="s">
        <v>103</v>
      </c>
      <c r="C31" s="30">
        <v>22</v>
      </c>
      <c r="D31" s="30" t="s">
        <v>103</v>
      </c>
      <c r="E31" s="109" t="s">
        <v>919</v>
      </c>
      <c r="F31" s="109" t="s">
        <v>912</v>
      </c>
      <c r="G31" s="109" t="s">
        <v>921</v>
      </c>
      <c r="H31" s="109" t="s">
        <v>914</v>
      </c>
      <c r="I31" s="18" t="s">
        <v>269</v>
      </c>
      <c r="J31" s="18" t="s">
        <v>269</v>
      </c>
      <c r="K31" s="18" t="s">
        <v>269</v>
      </c>
      <c r="L31" s="93" t="s">
        <v>645</v>
      </c>
      <c r="M31" s="30" t="s">
        <v>104</v>
      </c>
      <c r="N31" s="18" t="s">
        <v>269</v>
      </c>
      <c r="O31" s="18" t="s">
        <v>269</v>
      </c>
      <c r="P31" s="18" t="s">
        <v>269</v>
      </c>
      <c r="Q31" s="18" t="s">
        <v>269</v>
      </c>
      <c r="R31" s="18" t="s">
        <v>269</v>
      </c>
      <c r="S31" s="18" t="s">
        <v>269</v>
      </c>
      <c r="T31" s="21" t="s">
        <v>275</v>
      </c>
      <c r="U31" s="25"/>
      <c r="V31" s="18" t="s">
        <v>269</v>
      </c>
      <c r="W31" s="38" t="str">
        <f>_xlfn.IFS(AND(COUNTIF(U31,"SCB*")=1, 'PCH100'!H60&gt;=2), "See the Notice *2", TRUE, "")</f>
        <v/>
      </c>
      <c r="X31" s="19"/>
      <c r="Y31" s="20" t="s">
        <v>268</v>
      </c>
      <c r="Z31" s="20" t="s">
        <v>559</v>
      </c>
      <c r="AA31" s="19"/>
      <c r="AB31" s="19"/>
    </row>
    <row r="32" spans="2:28" x14ac:dyDescent="0.2">
      <c r="B32" s="30" t="s">
        <v>105</v>
      </c>
      <c r="C32" s="30">
        <v>23</v>
      </c>
      <c r="D32" s="30" t="s">
        <v>105</v>
      </c>
      <c r="E32" s="109" t="s">
        <v>903</v>
      </c>
      <c r="F32" s="109" t="s">
        <v>924</v>
      </c>
      <c r="G32" s="109" t="s">
        <v>905</v>
      </c>
      <c r="H32" s="109" t="s">
        <v>926</v>
      </c>
      <c r="I32" s="18" t="s">
        <v>269</v>
      </c>
      <c r="J32" s="18" t="s">
        <v>269</v>
      </c>
      <c r="K32" s="18" t="s">
        <v>269</v>
      </c>
      <c r="L32" s="93" t="s">
        <v>646</v>
      </c>
      <c r="M32" s="30" t="s">
        <v>106</v>
      </c>
      <c r="N32" s="18" t="s">
        <v>269</v>
      </c>
      <c r="O32" s="18" t="s">
        <v>269</v>
      </c>
      <c r="P32" s="18" t="s">
        <v>269</v>
      </c>
      <c r="Q32" s="18" t="s">
        <v>269</v>
      </c>
      <c r="R32" s="18" t="s">
        <v>269</v>
      </c>
      <c r="S32" s="18" t="s">
        <v>269</v>
      </c>
      <c r="T32" s="21" t="s">
        <v>276</v>
      </c>
      <c r="U32" s="25"/>
      <c r="V32" s="18" t="s">
        <v>269</v>
      </c>
      <c r="W32" s="38" t="str">
        <f>_xlfn.IFS(AND(COUNTIF(U32,"SCB*")=1, 'PCH100'!H60&gt;=2), "See the Notice *2", TRUE, "")</f>
        <v/>
      </c>
      <c r="X32" s="19"/>
      <c r="Y32" s="20" t="s">
        <v>268</v>
      </c>
      <c r="Z32" s="20" t="s">
        <v>559</v>
      </c>
      <c r="AA32" s="19"/>
      <c r="AB32" s="19"/>
    </row>
    <row r="33" spans="2:28" x14ac:dyDescent="0.2">
      <c r="B33" s="28" t="s">
        <v>257</v>
      </c>
      <c r="C33" s="17">
        <v>24</v>
      </c>
      <c r="D33" s="18" t="s">
        <v>269</v>
      </c>
      <c r="E33" s="18" t="s">
        <v>269</v>
      </c>
      <c r="F33" s="18" t="s">
        <v>269</v>
      </c>
      <c r="G33" s="18" t="s">
        <v>269</v>
      </c>
      <c r="H33" s="18" t="s">
        <v>269</v>
      </c>
      <c r="I33" s="18" t="s">
        <v>269</v>
      </c>
      <c r="J33" s="18" t="s">
        <v>269</v>
      </c>
      <c r="K33" s="18" t="s">
        <v>269</v>
      </c>
      <c r="L33" s="18" t="s">
        <v>269</v>
      </c>
      <c r="M33" s="18" t="s">
        <v>269</v>
      </c>
      <c r="N33" s="18" t="s">
        <v>269</v>
      </c>
      <c r="O33" s="18" t="s">
        <v>269</v>
      </c>
      <c r="P33" s="18" t="s">
        <v>269</v>
      </c>
      <c r="Q33" s="18" t="s">
        <v>269</v>
      </c>
      <c r="R33" s="18" t="s">
        <v>269</v>
      </c>
      <c r="S33" s="18" t="s">
        <v>269</v>
      </c>
      <c r="T33" s="18" t="s">
        <v>269</v>
      </c>
      <c r="U33" s="28" t="s">
        <v>257</v>
      </c>
      <c r="V33" s="18" t="s">
        <v>269</v>
      </c>
      <c r="W33" s="38"/>
      <c r="X33" s="19" t="s">
        <v>544</v>
      </c>
      <c r="Y33" s="20" t="s">
        <v>555</v>
      </c>
      <c r="Z33" s="20" t="s">
        <v>555</v>
      </c>
      <c r="AA33" s="19"/>
      <c r="AB33" s="19"/>
    </row>
    <row r="34" spans="2:28" x14ac:dyDescent="0.2">
      <c r="B34" s="28" t="s">
        <v>258</v>
      </c>
      <c r="C34" s="17">
        <v>25</v>
      </c>
      <c r="D34" s="18" t="s">
        <v>269</v>
      </c>
      <c r="E34" s="18" t="s">
        <v>269</v>
      </c>
      <c r="F34" s="18" t="s">
        <v>269</v>
      </c>
      <c r="G34" s="18" t="s">
        <v>269</v>
      </c>
      <c r="H34" s="18" t="s">
        <v>269</v>
      </c>
      <c r="I34" s="18" t="s">
        <v>269</v>
      </c>
      <c r="J34" s="18" t="s">
        <v>269</v>
      </c>
      <c r="K34" s="18" t="s">
        <v>269</v>
      </c>
      <c r="L34" s="18" t="s">
        <v>269</v>
      </c>
      <c r="M34" s="18" t="s">
        <v>269</v>
      </c>
      <c r="N34" s="18" t="s">
        <v>269</v>
      </c>
      <c r="O34" s="18" t="s">
        <v>269</v>
      </c>
      <c r="P34" s="18" t="s">
        <v>269</v>
      </c>
      <c r="Q34" s="18" t="s">
        <v>269</v>
      </c>
      <c r="R34" s="18" t="s">
        <v>269</v>
      </c>
      <c r="S34" s="18" t="s">
        <v>269</v>
      </c>
      <c r="T34" s="18" t="s">
        <v>269</v>
      </c>
      <c r="U34" s="28" t="s">
        <v>258</v>
      </c>
      <c r="V34" s="18" t="s">
        <v>269</v>
      </c>
      <c r="W34" s="38"/>
      <c r="X34" s="19" t="s">
        <v>546</v>
      </c>
      <c r="Y34" s="20" t="s">
        <v>555</v>
      </c>
      <c r="Z34" s="20" t="s">
        <v>555</v>
      </c>
      <c r="AA34" s="19"/>
      <c r="AB34" s="19"/>
    </row>
    <row r="35" spans="2:28" x14ac:dyDescent="0.2">
      <c r="B35" s="16" t="s">
        <v>256</v>
      </c>
      <c r="C35" s="17">
        <v>26</v>
      </c>
      <c r="D35" s="18" t="s">
        <v>269</v>
      </c>
      <c r="E35" s="18" t="s">
        <v>269</v>
      </c>
      <c r="F35" s="18" t="s">
        <v>269</v>
      </c>
      <c r="G35" s="18" t="s">
        <v>269</v>
      </c>
      <c r="H35" s="18" t="s">
        <v>269</v>
      </c>
      <c r="I35" s="18" t="s">
        <v>269</v>
      </c>
      <c r="J35" s="18" t="s">
        <v>269</v>
      </c>
      <c r="K35" s="18" t="s">
        <v>269</v>
      </c>
      <c r="L35" s="18" t="s">
        <v>269</v>
      </c>
      <c r="M35" s="18" t="s">
        <v>269</v>
      </c>
      <c r="N35" s="18" t="s">
        <v>269</v>
      </c>
      <c r="O35" s="18" t="s">
        <v>269</v>
      </c>
      <c r="P35" s="18" t="s">
        <v>269</v>
      </c>
      <c r="Q35" s="18" t="s">
        <v>269</v>
      </c>
      <c r="R35" s="18" t="s">
        <v>269</v>
      </c>
      <c r="S35" s="18" t="s">
        <v>269</v>
      </c>
      <c r="T35" s="18" t="s">
        <v>269</v>
      </c>
      <c r="U35" s="16" t="s">
        <v>256</v>
      </c>
      <c r="V35" s="18" t="s">
        <v>269</v>
      </c>
      <c r="W35" s="38"/>
      <c r="X35" s="19" t="s">
        <v>545</v>
      </c>
      <c r="Y35" s="20" t="s">
        <v>555</v>
      </c>
      <c r="Z35" s="20" t="s">
        <v>555</v>
      </c>
      <c r="AA35" s="19"/>
      <c r="AB35" s="19"/>
    </row>
    <row r="36" spans="2:28" x14ac:dyDescent="0.2">
      <c r="B36" s="16" t="s">
        <v>256</v>
      </c>
      <c r="C36" s="17">
        <v>27</v>
      </c>
      <c r="D36" s="18" t="s">
        <v>269</v>
      </c>
      <c r="E36" s="18" t="s">
        <v>269</v>
      </c>
      <c r="F36" s="18" t="s">
        <v>269</v>
      </c>
      <c r="G36" s="18" t="s">
        <v>269</v>
      </c>
      <c r="H36" s="18" t="s">
        <v>269</v>
      </c>
      <c r="I36" s="18" t="s">
        <v>269</v>
      </c>
      <c r="J36" s="18" t="s">
        <v>269</v>
      </c>
      <c r="K36" s="18" t="s">
        <v>269</v>
      </c>
      <c r="L36" s="18" t="s">
        <v>269</v>
      </c>
      <c r="M36" s="18" t="s">
        <v>269</v>
      </c>
      <c r="N36" s="18" t="s">
        <v>269</v>
      </c>
      <c r="O36" s="18" t="s">
        <v>269</v>
      </c>
      <c r="P36" s="18" t="s">
        <v>269</v>
      </c>
      <c r="Q36" s="18" t="s">
        <v>269</v>
      </c>
      <c r="R36" s="18" t="s">
        <v>269</v>
      </c>
      <c r="S36" s="18" t="s">
        <v>269</v>
      </c>
      <c r="T36" s="18" t="s">
        <v>269</v>
      </c>
      <c r="U36" s="16" t="s">
        <v>256</v>
      </c>
      <c r="V36" s="18" t="s">
        <v>269</v>
      </c>
      <c r="W36" s="38"/>
      <c r="X36" s="19" t="s">
        <v>545</v>
      </c>
      <c r="Y36" s="20" t="s">
        <v>555</v>
      </c>
      <c r="Z36" s="20" t="s">
        <v>555</v>
      </c>
      <c r="AA36" s="19"/>
      <c r="AB36" s="19"/>
    </row>
    <row r="37" spans="2:28" x14ac:dyDescent="0.2">
      <c r="B37" s="28" t="s">
        <v>259</v>
      </c>
      <c r="C37" s="17">
        <v>28</v>
      </c>
      <c r="D37" s="18" t="s">
        <v>269</v>
      </c>
      <c r="E37" s="18" t="s">
        <v>269</v>
      </c>
      <c r="F37" s="18" t="s">
        <v>269</v>
      </c>
      <c r="G37" s="18" t="s">
        <v>269</v>
      </c>
      <c r="H37" s="18" t="s">
        <v>269</v>
      </c>
      <c r="I37" s="18" t="s">
        <v>269</v>
      </c>
      <c r="J37" s="18" t="s">
        <v>269</v>
      </c>
      <c r="K37" s="18" t="s">
        <v>269</v>
      </c>
      <c r="L37" s="18" t="s">
        <v>269</v>
      </c>
      <c r="M37" s="18" t="s">
        <v>269</v>
      </c>
      <c r="N37" s="18" t="s">
        <v>269</v>
      </c>
      <c r="O37" s="18" t="s">
        <v>269</v>
      </c>
      <c r="P37" s="18" t="s">
        <v>269</v>
      </c>
      <c r="Q37" s="18" t="s">
        <v>269</v>
      </c>
      <c r="R37" s="18" t="s">
        <v>269</v>
      </c>
      <c r="S37" s="18" t="s">
        <v>269</v>
      </c>
      <c r="T37" s="18" t="s">
        <v>269</v>
      </c>
      <c r="U37" s="28" t="s">
        <v>259</v>
      </c>
      <c r="V37" s="18" t="s">
        <v>269</v>
      </c>
      <c r="W37" s="38"/>
      <c r="X37" s="19" t="s">
        <v>547</v>
      </c>
      <c r="Y37" s="20" t="s">
        <v>555</v>
      </c>
      <c r="Z37" s="20" t="s">
        <v>555</v>
      </c>
      <c r="AA37" s="19"/>
      <c r="AB37" s="19"/>
    </row>
    <row r="38" spans="2:28" x14ac:dyDescent="0.2">
      <c r="B38" s="30" t="s">
        <v>111</v>
      </c>
      <c r="C38" s="30">
        <v>29</v>
      </c>
      <c r="D38" s="30" t="s">
        <v>111</v>
      </c>
      <c r="E38" s="109" t="s">
        <v>937</v>
      </c>
      <c r="F38" s="109" t="s">
        <v>904</v>
      </c>
      <c r="G38" s="109" t="s">
        <v>938</v>
      </c>
      <c r="H38" s="109" t="s">
        <v>906</v>
      </c>
      <c r="I38" s="18" t="s">
        <v>269</v>
      </c>
      <c r="J38" s="93" t="s">
        <v>648</v>
      </c>
      <c r="K38" s="18" t="s">
        <v>269</v>
      </c>
      <c r="L38" s="93" t="s">
        <v>649</v>
      </c>
      <c r="M38" s="30" t="s">
        <v>100</v>
      </c>
      <c r="N38" s="18" t="s">
        <v>269</v>
      </c>
      <c r="O38" s="18" t="s">
        <v>269</v>
      </c>
      <c r="P38" s="18" t="s">
        <v>269</v>
      </c>
      <c r="Q38" s="18" t="s">
        <v>269</v>
      </c>
      <c r="R38" s="18" t="s">
        <v>269</v>
      </c>
      <c r="S38" s="18" t="s">
        <v>269</v>
      </c>
      <c r="T38" s="21" t="s">
        <v>279</v>
      </c>
      <c r="U38" s="25"/>
      <c r="V38" s="18" t="s">
        <v>269</v>
      </c>
      <c r="W38" s="38" t="str">
        <f>_xlfn.IFS(AND(COUNTIF(U38,"SCB*")=1, 'PCH100'!I60&gt;=2), "See the Notice *2", TRUE, "")</f>
        <v/>
      </c>
      <c r="X38" s="19"/>
      <c r="Y38" s="20" t="s">
        <v>268</v>
      </c>
      <c r="Z38" s="20" t="s">
        <v>559</v>
      </c>
      <c r="AA38" s="19"/>
      <c r="AB38" s="19"/>
    </row>
    <row r="39" spans="2:28" x14ac:dyDescent="0.2">
      <c r="B39" s="30" t="s">
        <v>112</v>
      </c>
      <c r="C39" s="30">
        <v>30</v>
      </c>
      <c r="D39" s="30" t="s">
        <v>112</v>
      </c>
      <c r="E39" s="109" t="s">
        <v>939</v>
      </c>
      <c r="F39" s="109" t="s">
        <v>940</v>
      </c>
      <c r="G39" s="109" t="s">
        <v>941</v>
      </c>
      <c r="H39" s="109" t="s">
        <v>942</v>
      </c>
      <c r="I39" s="18" t="s">
        <v>269</v>
      </c>
      <c r="J39" s="93" t="s">
        <v>650</v>
      </c>
      <c r="K39" s="93" t="s">
        <v>651</v>
      </c>
      <c r="L39" s="93" t="s">
        <v>652</v>
      </c>
      <c r="M39" s="30" t="s">
        <v>104</v>
      </c>
      <c r="N39" s="18" t="s">
        <v>269</v>
      </c>
      <c r="O39" s="18" t="s">
        <v>269</v>
      </c>
      <c r="P39" s="18" t="s">
        <v>269</v>
      </c>
      <c r="Q39" s="18" t="s">
        <v>269</v>
      </c>
      <c r="R39" s="18" t="s">
        <v>269</v>
      </c>
      <c r="S39" s="18" t="s">
        <v>269</v>
      </c>
      <c r="T39" s="21" t="s">
        <v>280</v>
      </c>
      <c r="U39" s="25"/>
      <c r="V39" s="18" t="s">
        <v>269</v>
      </c>
      <c r="W39" s="38" t="str">
        <f>_xlfn.IFS(AND(COUNTIF(U39,"SCB*")=1, 'PCH100'!I60&gt;=2), "See the Notice *2", TRUE, "")</f>
        <v/>
      </c>
      <c r="X39" s="19"/>
      <c r="Y39" s="20" t="s">
        <v>268</v>
      </c>
      <c r="Z39" s="20" t="s">
        <v>559</v>
      </c>
      <c r="AA39" s="19"/>
      <c r="AB39" s="19"/>
    </row>
    <row r="40" spans="2:28" x14ac:dyDescent="0.2">
      <c r="B40" s="30" t="s">
        <v>113</v>
      </c>
      <c r="C40" s="30">
        <v>31</v>
      </c>
      <c r="D40" s="30" t="s">
        <v>113</v>
      </c>
      <c r="E40" s="109" t="s">
        <v>943</v>
      </c>
      <c r="F40" s="109" t="s">
        <v>944</v>
      </c>
      <c r="G40" s="109" t="s">
        <v>945</v>
      </c>
      <c r="H40" s="109" t="s">
        <v>946</v>
      </c>
      <c r="I40" s="18" t="s">
        <v>269</v>
      </c>
      <c r="J40" s="93" t="s">
        <v>653</v>
      </c>
      <c r="K40" s="93" t="s">
        <v>654</v>
      </c>
      <c r="L40" s="93" t="s">
        <v>655</v>
      </c>
      <c r="M40" s="30" t="s">
        <v>106</v>
      </c>
      <c r="N40" s="18" t="s">
        <v>269</v>
      </c>
      <c r="O40" s="18" t="s">
        <v>269</v>
      </c>
      <c r="P40" s="18" t="s">
        <v>269</v>
      </c>
      <c r="Q40" s="18" t="s">
        <v>269</v>
      </c>
      <c r="R40" s="18" t="s">
        <v>269</v>
      </c>
      <c r="S40" s="18" t="s">
        <v>269</v>
      </c>
      <c r="T40" s="21" t="s">
        <v>281</v>
      </c>
      <c r="U40" s="25"/>
      <c r="V40" s="18" t="s">
        <v>269</v>
      </c>
      <c r="W40" s="38" t="str">
        <f>_xlfn.IFS(AND(COUNTIF(U40,"SCB*")=1, 'PCH100'!I60&gt;=2), "See the Notice *2", TRUE, "")</f>
        <v/>
      </c>
      <c r="X40" s="19"/>
      <c r="Y40" s="20" t="s">
        <v>268</v>
      </c>
      <c r="Z40" s="20" t="s">
        <v>559</v>
      </c>
      <c r="AA40" s="19"/>
      <c r="AB40" s="19"/>
    </row>
    <row r="41" spans="2:28" x14ac:dyDescent="0.2">
      <c r="B41" s="30" t="s">
        <v>114</v>
      </c>
      <c r="C41" s="30">
        <v>32</v>
      </c>
      <c r="D41" s="30" t="s">
        <v>114</v>
      </c>
      <c r="E41" s="109" t="s">
        <v>947</v>
      </c>
      <c r="F41" s="109" t="s">
        <v>948</v>
      </c>
      <c r="G41" s="109" t="s">
        <v>949</v>
      </c>
      <c r="H41" s="109" t="s">
        <v>950</v>
      </c>
      <c r="I41" s="18" t="s">
        <v>269</v>
      </c>
      <c r="J41" s="93" t="s">
        <v>656</v>
      </c>
      <c r="K41" s="18" t="s">
        <v>269</v>
      </c>
      <c r="L41" s="93" t="s">
        <v>657</v>
      </c>
      <c r="M41" s="18" t="s">
        <v>269</v>
      </c>
      <c r="N41" s="18" t="s">
        <v>269</v>
      </c>
      <c r="O41" s="18" t="s">
        <v>269</v>
      </c>
      <c r="P41" s="18" t="s">
        <v>269</v>
      </c>
      <c r="Q41" s="18" t="s">
        <v>269</v>
      </c>
      <c r="R41" s="18" t="s">
        <v>269</v>
      </c>
      <c r="S41" s="18" t="s">
        <v>269</v>
      </c>
      <c r="T41" s="21" t="s">
        <v>282</v>
      </c>
      <c r="U41" s="25"/>
      <c r="V41" s="18" t="s">
        <v>269</v>
      </c>
      <c r="W41" s="38" t="str">
        <f>_xlfn.IFS(AND(COUNTIF(U41,"SCB*")=1, 'PCH100'!I60&gt;=2), "See the Notice *2", TRUE, "")</f>
        <v/>
      </c>
      <c r="X41" s="19"/>
      <c r="Y41" s="20" t="s">
        <v>268</v>
      </c>
      <c r="Z41" s="20" t="s">
        <v>559</v>
      </c>
      <c r="AA41" s="19"/>
      <c r="AB41" s="19"/>
    </row>
    <row r="42" spans="2:28" x14ac:dyDescent="0.2">
      <c r="B42" s="30" t="s">
        <v>115</v>
      </c>
      <c r="C42" s="30">
        <v>33</v>
      </c>
      <c r="D42" s="30" t="s">
        <v>115</v>
      </c>
      <c r="E42" s="109" t="s">
        <v>951</v>
      </c>
      <c r="F42" s="109" t="s">
        <v>952</v>
      </c>
      <c r="G42" s="109" t="s">
        <v>953</v>
      </c>
      <c r="H42" s="109" t="s">
        <v>954</v>
      </c>
      <c r="I42" s="18" t="s">
        <v>269</v>
      </c>
      <c r="J42" s="18" t="s">
        <v>269</v>
      </c>
      <c r="K42" s="18" t="s">
        <v>269</v>
      </c>
      <c r="L42" s="93" t="s">
        <v>658</v>
      </c>
      <c r="M42" s="18" t="s">
        <v>269</v>
      </c>
      <c r="N42" s="18" t="s">
        <v>269</v>
      </c>
      <c r="O42" s="18" t="s">
        <v>269</v>
      </c>
      <c r="P42" s="18" t="s">
        <v>269</v>
      </c>
      <c r="Q42" s="18" t="s">
        <v>269</v>
      </c>
      <c r="R42" s="18" t="s">
        <v>269</v>
      </c>
      <c r="S42" s="18" t="s">
        <v>269</v>
      </c>
      <c r="T42" s="21" t="s">
        <v>283</v>
      </c>
      <c r="U42" s="25"/>
      <c r="V42" s="18" t="s">
        <v>269</v>
      </c>
      <c r="W42" s="38" t="str">
        <f>_xlfn.IFS(AND(COUNTIF(U42,"SCB*")=1, 'PCH100'!I60&gt;=2), "See the Notice *2", TRUE, "")</f>
        <v/>
      </c>
      <c r="X42" s="19"/>
      <c r="Y42" s="20" t="s">
        <v>268</v>
      </c>
      <c r="Z42" s="20" t="s">
        <v>559</v>
      </c>
      <c r="AA42" s="19"/>
      <c r="AB42" s="19"/>
    </row>
    <row r="43" spans="2:28" x14ac:dyDescent="0.2">
      <c r="B43" s="30" t="s">
        <v>116</v>
      </c>
      <c r="C43" s="30">
        <v>34</v>
      </c>
      <c r="D43" s="30" t="s">
        <v>116</v>
      </c>
      <c r="E43" s="109" t="s">
        <v>855</v>
      </c>
      <c r="F43" s="109" t="s">
        <v>955</v>
      </c>
      <c r="G43" s="109" t="s">
        <v>857</v>
      </c>
      <c r="H43" s="109" t="s">
        <v>956</v>
      </c>
      <c r="I43" s="18" t="s">
        <v>269</v>
      </c>
      <c r="J43" s="18" t="s">
        <v>269</v>
      </c>
      <c r="K43" s="18" t="s">
        <v>269</v>
      </c>
      <c r="L43" s="93" t="s">
        <v>659</v>
      </c>
      <c r="M43" s="18" t="s">
        <v>269</v>
      </c>
      <c r="N43" s="18" t="s">
        <v>269</v>
      </c>
      <c r="O43" s="18" t="s">
        <v>269</v>
      </c>
      <c r="P43" s="18" t="s">
        <v>269</v>
      </c>
      <c r="Q43" s="18" t="s">
        <v>269</v>
      </c>
      <c r="R43" s="18" t="s">
        <v>269</v>
      </c>
      <c r="S43" s="18" t="s">
        <v>269</v>
      </c>
      <c r="T43" s="21" t="s">
        <v>284</v>
      </c>
      <c r="U43" s="25"/>
      <c r="V43" s="18" t="s">
        <v>269</v>
      </c>
      <c r="W43" s="38" t="str">
        <f>_xlfn.IFS(AND(COUNTIF(U43,"SCB*")=1, 'PCH100'!I60&gt;=2), "See the Notice *2", TRUE, "")</f>
        <v/>
      </c>
      <c r="X43" s="19"/>
      <c r="Y43" s="20" t="s">
        <v>268</v>
      </c>
      <c r="Z43" s="20" t="s">
        <v>559</v>
      </c>
      <c r="AA43" s="19"/>
      <c r="AB43" s="19"/>
    </row>
    <row r="44" spans="2:28" x14ac:dyDescent="0.2">
      <c r="B44" s="30" t="s">
        <v>121</v>
      </c>
      <c r="C44" s="30">
        <v>35</v>
      </c>
      <c r="D44" s="30" t="s">
        <v>121</v>
      </c>
      <c r="E44" s="109" t="s">
        <v>961</v>
      </c>
      <c r="F44" s="109" t="s">
        <v>856</v>
      </c>
      <c r="G44" s="109" t="s">
        <v>962</v>
      </c>
      <c r="H44" s="109" t="s">
        <v>858</v>
      </c>
      <c r="I44" s="18" t="s">
        <v>269</v>
      </c>
      <c r="J44" s="18" t="s">
        <v>269</v>
      </c>
      <c r="K44" s="18" t="s">
        <v>269</v>
      </c>
      <c r="L44" s="18" t="s">
        <v>269</v>
      </c>
      <c r="M44" s="30" t="s">
        <v>87</v>
      </c>
      <c r="N44" s="30" t="s">
        <v>41</v>
      </c>
      <c r="O44" s="18" t="s">
        <v>269</v>
      </c>
      <c r="P44" s="18" t="s">
        <v>269</v>
      </c>
      <c r="Q44" s="18" t="s">
        <v>269</v>
      </c>
      <c r="R44" s="18" t="s">
        <v>269</v>
      </c>
      <c r="S44" s="18" t="s">
        <v>269</v>
      </c>
      <c r="T44" s="18" t="s">
        <v>269</v>
      </c>
      <c r="U44" s="25"/>
      <c r="V44" s="18" t="s">
        <v>269</v>
      </c>
      <c r="W44" s="38"/>
      <c r="X44" s="19"/>
      <c r="Y44" s="20" t="s">
        <v>268</v>
      </c>
      <c r="Z44" s="20" t="s">
        <v>559</v>
      </c>
      <c r="AA44" s="19"/>
      <c r="AB44" s="19"/>
    </row>
    <row r="45" spans="2:28" x14ac:dyDescent="0.2">
      <c r="B45" s="30" t="s">
        <v>122</v>
      </c>
      <c r="C45" s="30">
        <v>36</v>
      </c>
      <c r="D45" s="30" t="s">
        <v>122</v>
      </c>
      <c r="E45" s="109" t="s">
        <v>963</v>
      </c>
      <c r="F45" s="109" t="s">
        <v>964</v>
      </c>
      <c r="G45" s="109" t="s">
        <v>965</v>
      </c>
      <c r="H45" s="109" t="s">
        <v>966</v>
      </c>
      <c r="I45" s="18" t="s">
        <v>269</v>
      </c>
      <c r="J45" s="18" t="s">
        <v>269</v>
      </c>
      <c r="K45" s="18" t="s">
        <v>269</v>
      </c>
      <c r="L45" s="18" t="s">
        <v>269</v>
      </c>
      <c r="M45" s="30" t="s">
        <v>89</v>
      </c>
      <c r="N45" s="30" t="s">
        <v>45</v>
      </c>
      <c r="O45" s="30" t="s">
        <v>123</v>
      </c>
      <c r="P45" s="18" t="s">
        <v>269</v>
      </c>
      <c r="Q45" s="18" t="s">
        <v>269</v>
      </c>
      <c r="R45" s="18" t="s">
        <v>269</v>
      </c>
      <c r="S45" s="18" t="s">
        <v>269</v>
      </c>
      <c r="T45" s="21" t="s">
        <v>287</v>
      </c>
      <c r="U45" s="25"/>
      <c r="V45" s="18" t="s">
        <v>269</v>
      </c>
      <c r="W45" s="38"/>
      <c r="X45" s="19"/>
      <c r="Y45" s="20" t="s">
        <v>268</v>
      </c>
      <c r="Z45" s="20" t="s">
        <v>559</v>
      </c>
      <c r="AA45" s="19"/>
      <c r="AB45" s="19"/>
    </row>
    <row r="46" spans="2:28" x14ac:dyDescent="0.2">
      <c r="B46" s="30" t="s">
        <v>124</v>
      </c>
      <c r="C46" s="30">
        <v>37</v>
      </c>
      <c r="D46" s="30" t="s">
        <v>124</v>
      </c>
      <c r="E46" s="109" t="s">
        <v>967</v>
      </c>
      <c r="F46" s="109" t="s">
        <v>968</v>
      </c>
      <c r="G46" s="109" t="s">
        <v>969</v>
      </c>
      <c r="H46" s="109" t="s">
        <v>970</v>
      </c>
      <c r="I46" s="18" t="s">
        <v>269</v>
      </c>
      <c r="J46" s="18" t="s">
        <v>269</v>
      </c>
      <c r="K46" s="18" t="s">
        <v>269</v>
      </c>
      <c r="L46" s="18" t="s">
        <v>269</v>
      </c>
      <c r="M46" s="30" t="s">
        <v>91</v>
      </c>
      <c r="N46" s="18" t="s">
        <v>269</v>
      </c>
      <c r="O46" s="30" t="s">
        <v>125</v>
      </c>
      <c r="P46" s="18" t="s">
        <v>269</v>
      </c>
      <c r="Q46" s="18" t="s">
        <v>269</v>
      </c>
      <c r="R46" s="18" t="s">
        <v>269</v>
      </c>
      <c r="S46" s="18" t="s">
        <v>269</v>
      </c>
      <c r="T46" s="21" t="s">
        <v>288</v>
      </c>
      <c r="U46" s="25"/>
      <c r="V46" s="18" t="s">
        <v>269</v>
      </c>
      <c r="W46" s="38"/>
      <c r="X46" s="19"/>
      <c r="Y46" s="20" t="s">
        <v>268</v>
      </c>
      <c r="Z46" s="20" t="s">
        <v>559</v>
      </c>
      <c r="AA46" s="19"/>
      <c r="AB46" s="19"/>
    </row>
    <row r="47" spans="2:28" x14ac:dyDescent="0.2">
      <c r="B47" s="30" t="s">
        <v>564</v>
      </c>
      <c r="C47" s="30">
        <v>38</v>
      </c>
      <c r="D47" s="30" t="s">
        <v>562</v>
      </c>
      <c r="E47" s="18" t="s">
        <v>269</v>
      </c>
      <c r="F47" s="18" t="s">
        <v>269</v>
      </c>
      <c r="G47" s="18" t="s">
        <v>269</v>
      </c>
      <c r="H47" s="18" t="s">
        <v>269</v>
      </c>
      <c r="I47" s="18" t="s">
        <v>269</v>
      </c>
      <c r="J47" s="18" t="s">
        <v>269</v>
      </c>
      <c r="K47" s="18" t="s">
        <v>269</v>
      </c>
      <c r="L47" s="18" t="s">
        <v>269</v>
      </c>
      <c r="M47" s="18" t="s">
        <v>269</v>
      </c>
      <c r="N47" s="18" t="s">
        <v>269</v>
      </c>
      <c r="O47" s="18" t="s">
        <v>269</v>
      </c>
      <c r="P47" s="18" t="s">
        <v>269</v>
      </c>
      <c r="Q47" s="18" t="s">
        <v>269</v>
      </c>
      <c r="R47" s="18" t="s">
        <v>269</v>
      </c>
      <c r="S47" s="18" t="s">
        <v>269</v>
      </c>
      <c r="T47" s="21" t="s">
        <v>299</v>
      </c>
      <c r="U47" s="21"/>
      <c r="V47" s="18" t="s">
        <v>269</v>
      </c>
      <c r="W47" s="38"/>
      <c r="X47" s="19"/>
      <c r="Y47" s="20" t="s">
        <v>268</v>
      </c>
      <c r="Z47" s="20" t="s">
        <v>560</v>
      </c>
      <c r="AA47" s="19"/>
      <c r="AB47" s="19"/>
    </row>
    <row r="48" spans="2:28" x14ac:dyDescent="0.2">
      <c r="B48" s="30" t="s">
        <v>565</v>
      </c>
      <c r="C48" s="30">
        <v>39</v>
      </c>
      <c r="D48" s="30" t="s">
        <v>776</v>
      </c>
      <c r="E48" s="18" t="s">
        <v>269</v>
      </c>
      <c r="F48" s="18" t="s">
        <v>269</v>
      </c>
      <c r="G48" s="18" t="s">
        <v>269</v>
      </c>
      <c r="H48" s="18" t="s">
        <v>269</v>
      </c>
      <c r="I48" s="18" t="s">
        <v>269</v>
      </c>
      <c r="J48" s="18" t="s">
        <v>269</v>
      </c>
      <c r="K48" s="18" t="s">
        <v>269</v>
      </c>
      <c r="L48" s="18" t="s">
        <v>269</v>
      </c>
      <c r="M48" s="18" t="s">
        <v>269</v>
      </c>
      <c r="N48" s="18" t="s">
        <v>269</v>
      </c>
      <c r="O48" s="18" t="s">
        <v>269</v>
      </c>
      <c r="P48" s="18" t="s">
        <v>269</v>
      </c>
      <c r="Q48" s="18" t="s">
        <v>269</v>
      </c>
      <c r="R48" s="18" t="s">
        <v>269</v>
      </c>
      <c r="S48" s="18" t="s">
        <v>269</v>
      </c>
      <c r="T48" s="21" t="s">
        <v>300</v>
      </c>
      <c r="U48" s="21"/>
      <c r="V48" s="18" t="s">
        <v>269</v>
      </c>
      <c r="W48" s="38"/>
      <c r="X48" s="19"/>
      <c r="Y48" s="20" t="s">
        <v>268</v>
      </c>
      <c r="Z48" s="20" t="s">
        <v>560</v>
      </c>
      <c r="AA48" s="19"/>
      <c r="AB48" s="19"/>
    </row>
    <row r="49" spans="2:28" x14ac:dyDescent="0.2">
      <c r="B49" s="30" t="s">
        <v>566</v>
      </c>
      <c r="C49" s="30">
        <v>40</v>
      </c>
      <c r="D49" s="30" t="s">
        <v>777</v>
      </c>
      <c r="E49" s="18" t="s">
        <v>269</v>
      </c>
      <c r="F49" s="18" t="s">
        <v>269</v>
      </c>
      <c r="G49" s="18" t="s">
        <v>269</v>
      </c>
      <c r="H49" s="18" t="s">
        <v>269</v>
      </c>
      <c r="I49" s="18" t="s">
        <v>269</v>
      </c>
      <c r="J49" s="18" t="s">
        <v>269</v>
      </c>
      <c r="K49" s="18" t="s">
        <v>269</v>
      </c>
      <c r="L49" s="18" t="s">
        <v>269</v>
      </c>
      <c r="M49" s="18" t="s">
        <v>269</v>
      </c>
      <c r="N49" s="18" t="s">
        <v>269</v>
      </c>
      <c r="O49" s="18" t="s">
        <v>269</v>
      </c>
      <c r="P49" s="18" t="s">
        <v>269</v>
      </c>
      <c r="Q49" s="18" t="s">
        <v>269</v>
      </c>
      <c r="R49" s="18" t="s">
        <v>269</v>
      </c>
      <c r="S49" s="18" t="s">
        <v>269</v>
      </c>
      <c r="T49" s="21" t="s">
        <v>301</v>
      </c>
      <c r="U49" s="21"/>
      <c r="V49" s="18" t="s">
        <v>269</v>
      </c>
      <c r="W49" s="38"/>
      <c r="X49" s="19"/>
      <c r="Y49" s="20" t="s">
        <v>268</v>
      </c>
      <c r="Z49" s="20" t="s">
        <v>560</v>
      </c>
      <c r="AA49" s="19"/>
      <c r="AB49" s="19"/>
    </row>
    <row r="50" spans="2:28" x14ac:dyDescent="0.2">
      <c r="B50" s="31" t="s">
        <v>260</v>
      </c>
      <c r="C50" s="17">
        <v>41</v>
      </c>
      <c r="D50" s="18" t="s">
        <v>269</v>
      </c>
      <c r="E50" s="18" t="s">
        <v>269</v>
      </c>
      <c r="F50" s="18" t="s">
        <v>269</v>
      </c>
      <c r="G50" s="18" t="s">
        <v>269</v>
      </c>
      <c r="H50" s="18" t="s">
        <v>269</v>
      </c>
      <c r="I50" s="18" t="s">
        <v>269</v>
      </c>
      <c r="J50" s="18" t="s">
        <v>269</v>
      </c>
      <c r="K50" s="18" t="s">
        <v>269</v>
      </c>
      <c r="L50" s="18" t="s">
        <v>269</v>
      </c>
      <c r="M50" s="18" t="s">
        <v>269</v>
      </c>
      <c r="N50" s="18" t="s">
        <v>269</v>
      </c>
      <c r="O50" s="18" t="s">
        <v>269</v>
      </c>
      <c r="P50" s="18" t="s">
        <v>269</v>
      </c>
      <c r="Q50" s="18" t="s">
        <v>269</v>
      </c>
      <c r="R50" s="18" t="s">
        <v>269</v>
      </c>
      <c r="S50" s="18" t="s">
        <v>269</v>
      </c>
      <c r="T50" s="18" t="s">
        <v>269</v>
      </c>
      <c r="U50" s="31" t="s">
        <v>260</v>
      </c>
      <c r="V50" s="18" t="s">
        <v>269</v>
      </c>
      <c r="W50" s="38"/>
      <c r="X50" s="19" t="s">
        <v>548</v>
      </c>
      <c r="Y50" s="20" t="s">
        <v>555</v>
      </c>
      <c r="Z50" s="20" t="s">
        <v>555</v>
      </c>
      <c r="AA50" s="19"/>
      <c r="AB50" s="19"/>
    </row>
    <row r="51" spans="2:28" x14ac:dyDescent="0.2">
      <c r="B51" s="16" t="s">
        <v>261</v>
      </c>
      <c r="C51" s="17">
        <v>42</v>
      </c>
      <c r="D51" s="18" t="s">
        <v>269</v>
      </c>
      <c r="E51" s="18" t="s">
        <v>269</v>
      </c>
      <c r="F51" s="18" t="s">
        <v>269</v>
      </c>
      <c r="G51" s="18" t="s">
        <v>269</v>
      </c>
      <c r="H51" s="18" t="s">
        <v>269</v>
      </c>
      <c r="I51" s="18" t="s">
        <v>269</v>
      </c>
      <c r="J51" s="18" t="s">
        <v>269</v>
      </c>
      <c r="K51" s="18" t="s">
        <v>269</v>
      </c>
      <c r="L51" s="18" t="s">
        <v>269</v>
      </c>
      <c r="M51" s="18" t="s">
        <v>269</v>
      </c>
      <c r="N51" s="18" t="s">
        <v>269</v>
      </c>
      <c r="O51" s="18" t="s">
        <v>269</v>
      </c>
      <c r="P51" s="18" t="s">
        <v>269</v>
      </c>
      <c r="Q51" s="18" t="s">
        <v>269</v>
      </c>
      <c r="R51" s="18" t="s">
        <v>269</v>
      </c>
      <c r="S51" s="18" t="s">
        <v>269</v>
      </c>
      <c r="T51" s="18" t="s">
        <v>269</v>
      </c>
      <c r="U51" s="16" t="s">
        <v>261</v>
      </c>
      <c r="V51" s="18" t="s">
        <v>269</v>
      </c>
      <c r="W51" s="38"/>
      <c r="X51" s="19" t="s">
        <v>550</v>
      </c>
      <c r="Y51" s="20" t="s">
        <v>555</v>
      </c>
      <c r="Z51" s="20" t="s">
        <v>555</v>
      </c>
      <c r="AA51" s="19"/>
      <c r="AB51" s="19"/>
    </row>
    <row r="52" spans="2:28" x14ac:dyDescent="0.2">
      <c r="B52" s="28" t="s">
        <v>262</v>
      </c>
      <c r="C52" s="17">
        <v>43</v>
      </c>
      <c r="D52" s="18" t="s">
        <v>269</v>
      </c>
      <c r="E52" s="18" t="s">
        <v>269</v>
      </c>
      <c r="F52" s="18" t="s">
        <v>269</v>
      </c>
      <c r="G52" s="18" t="s">
        <v>269</v>
      </c>
      <c r="H52" s="18" t="s">
        <v>269</v>
      </c>
      <c r="I52" s="18" t="s">
        <v>269</v>
      </c>
      <c r="J52" s="18" t="s">
        <v>269</v>
      </c>
      <c r="K52" s="18" t="s">
        <v>269</v>
      </c>
      <c r="L52" s="18" t="s">
        <v>269</v>
      </c>
      <c r="M52" s="18" t="s">
        <v>269</v>
      </c>
      <c r="N52" s="18" t="s">
        <v>269</v>
      </c>
      <c r="O52" s="18" t="s">
        <v>269</v>
      </c>
      <c r="P52" s="18" t="s">
        <v>269</v>
      </c>
      <c r="Q52" s="18" t="s">
        <v>269</v>
      </c>
      <c r="R52" s="18" t="s">
        <v>269</v>
      </c>
      <c r="S52" s="18" t="s">
        <v>269</v>
      </c>
      <c r="T52" s="18" t="s">
        <v>269</v>
      </c>
      <c r="U52" s="28" t="s">
        <v>262</v>
      </c>
      <c r="V52" s="18" t="s">
        <v>269</v>
      </c>
      <c r="W52" s="38"/>
      <c r="X52" s="19" t="s">
        <v>551</v>
      </c>
      <c r="Y52" s="20" t="s">
        <v>555</v>
      </c>
      <c r="Z52" s="20" t="s">
        <v>555</v>
      </c>
      <c r="AA52" s="19"/>
      <c r="AB52" s="19"/>
    </row>
    <row r="53" spans="2:28" x14ac:dyDescent="0.2">
      <c r="B53" s="31" t="s">
        <v>263</v>
      </c>
      <c r="C53" s="17">
        <v>44</v>
      </c>
      <c r="D53" s="18" t="s">
        <v>269</v>
      </c>
      <c r="E53" s="18" t="s">
        <v>269</v>
      </c>
      <c r="F53" s="18" t="s">
        <v>269</v>
      </c>
      <c r="G53" s="18" t="s">
        <v>269</v>
      </c>
      <c r="H53" s="18" t="s">
        <v>269</v>
      </c>
      <c r="I53" s="18" t="s">
        <v>269</v>
      </c>
      <c r="J53" s="18" t="s">
        <v>269</v>
      </c>
      <c r="K53" s="18" t="s">
        <v>269</v>
      </c>
      <c r="L53" s="18" t="s">
        <v>269</v>
      </c>
      <c r="M53" s="18" t="s">
        <v>269</v>
      </c>
      <c r="N53" s="18" t="s">
        <v>269</v>
      </c>
      <c r="O53" s="18" t="s">
        <v>269</v>
      </c>
      <c r="P53" s="18" t="s">
        <v>269</v>
      </c>
      <c r="Q53" s="18" t="s">
        <v>269</v>
      </c>
      <c r="R53" s="18" t="s">
        <v>269</v>
      </c>
      <c r="S53" s="18" t="s">
        <v>269</v>
      </c>
      <c r="T53" s="18" t="s">
        <v>269</v>
      </c>
      <c r="U53" s="31" t="s">
        <v>263</v>
      </c>
      <c r="V53" s="18" t="s">
        <v>269</v>
      </c>
      <c r="W53" s="38"/>
      <c r="X53" s="19" t="s">
        <v>549</v>
      </c>
      <c r="Y53" s="20" t="s">
        <v>555</v>
      </c>
      <c r="Z53" s="20" t="s">
        <v>555</v>
      </c>
      <c r="AA53" s="19"/>
      <c r="AB53" s="19"/>
    </row>
    <row r="54" spans="2:28" x14ac:dyDescent="0.2">
      <c r="B54" s="30" t="s">
        <v>142</v>
      </c>
      <c r="C54" s="30">
        <v>45</v>
      </c>
      <c r="D54" s="30" t="s">
        <v>142</v>
      </c>
      <c r="E54" s="109" t="s">
        <v>1025</v>
      </c>
      <c r="F54" s="109" t="s">
        <v>1026</v>
      </c>
      <c r="G54" s="109" t="s">
        <v>1027</v>
      </c>
      <c r="H54" s="109" t="s">
        <v>1028</v>
      </c>
      <c r="I54" s="18" t="s">
        <v>269</v>
      </c>
      <c r="J54" s="18" t="s">
        <v>269</v>
      </c>
      <c r="K54" s="18" t="s">
        <v>269</v>
      </c>
      <c r="L54" s="18" t="s">
        <v>269</v>
      </c>
      <c r="M54" s="18" t="s">
        <v>269</v>
      </c>
      <c r="N54" s="30" t="s">
        <v>98</v>
      </c>
      <c r="O54" s="30" t="s">
        <v>143</v>
      </c>
      <c r="P54" s="18" t="s">
        <v>269</v>
      </c>
      <c r="Q54" s="18" t="s">
        <v>269</v>
      </c>
      <c r="R54" s="18" t="s">
        <v>269</v>
      </c>
      <c r="S54" s="18" t="s">
        <v>269</v>
      </c>
      <c r="T54" s="21" t="s">
        <v>302</v>
      </c>
      <c r="U54" s="25"/>
      <c r="V54" s="33"/>
      <c r="W54" s="38"/>
      <c r="X54" s="19"/>
      <c r="Y54" s="20" t="s">
        <v>268</v>
      </c>
      <c r="Z54" s="20" t="s">
        <v>560</v>
      </c>
      <c r="AA54" s="19"/>
      <c r="AB54" s="19"/>
    </row>
    <row r="55" spans="2:28" x14ac:dyDescent="0.2">
      <c r="B55" s="30" t="s">
        <v>144</v>
      </c>
      <c r="C55" s="30">
        <v>46</v>
      </c>
      <c r="D55" s="30" t="s">
        <v>144</v>
      </c>
      <c r="E55" s="109" t="s">
        <v>1029</v>
      </c>
      <c r="F55" s="109" t="s">
        <v>1030</v>
      </c>
      <c r="G55" s="109" t="s">
        <v>1031</v>
      </c>
      <c r="H55" s="109" t="s">
        <v>1032</v>
      </c>
      <c r="I55" s="18" t="s">
        <v>269</v>
      </c>
      <c r="J55" s="18" t="s">
        <v>269</v>
      </c>
      <c r="K55" s="18" t="s">
        <v>269</v>
      </c>
      <c r="L55" s="18" t="s">
        <v>269</v>
      </c>
      <c r="M55" s="30" t="s">
        <v>145</v>
      </c>
      <c r="N55" s="30" t="s">
        <v>101</v>
      </c>
      <c r="O55" s="30" t="s">
        <v>146</v>
      </c>
      <c r="P55" s="18" t="s">
        <v>269</v>
      </c>
      <c r="Q55" s="18" t="s">
        <v>269</v>
      </c>
      <c r="R55" s="18" t="s">
        <v>269</v>
      </c>
      <c r="S55" s="18" t="s">
        <v>269</v>
      </c>
      <c r="T55" s="21" t="s">
        <v>303</v>
      </c>
      <c r="U55" s="25"/>
      <c r="V55" s="33"/>
      <c r="W55" s="38"/>
      <c r="X55" s="19"/>
      <c r="Y55" s="20" t="s">
        <v>268</v>
      </c>
      <c r="Z55" s="20" t="s">
        <v>560</v>
      </c>
      <c r="AA55" s="19"/>
      <c r="AB55" s="19"/>
    </row>
    <row r="56" spans="2:28" x14ac:dyDescent="0.2">
      <c r="B56" s="30" t="s">
        <v>147</v>
      </c>
      <c r="C56" s="30">
        <v>47</v>
      </c>
      <c r="D56" s="30" t="s">
        <v>147</v>
      </c>
      <c r="E56" s="109" t="s">
        <v>1033</v>
      </c>
      <c r="F56" s="109" t="s">
        <v>1034</v>
      </c>
      <c r="G56" s="109" t="s">
        <v>1035</v>
      </c>
      <c r="H56" s="110" t="s">
        <v>1036</v>
      </c>
      <c r="I56" s="30" t="s">
        <v>148</v>
      </c>
      <c r="J56" s="18" t="s">
        <v>269</v>
      </c>
      <c r="K56" s="18" t="s">
        <v>269</v>
      </c>
      <c r="L56" s="18" t="s">
        <v>269</v>
      </c>
      <c r="M56" s="30" t="s">
        <v>149</v>
      </c>
      <c r="N56" s="18" t="s">
        <v>269</v>
      </c>
      <c r="O56" s="18" t="s">
        <v>269</v>
      </c>
      <c r="P56" s="18" t="s">
        <v>269</v>
      </c>
      <c r="Q56" s="18" t="s">
        <v>269</v>
      </c>
      <c r="R56" s="18" t="s">
        <v>269</v>
      </c>
      <c r="S56" s="18" t="s">
        <v>269</v>
      </c>
      <c r="T56" s="21" t="s">
        <v>304</v>
      </c>
      <c r="U56" s="25"/>
      <c r="V56" s="33"/>
      <c r="W56" s="38"/>
      <c r="X56" s="19"/>
      <c r="Y56" s="20" t="s">
        <v>268</v>
      </c>
      <c r="Z56" s="20" t="s">
        <v>560</v>
      </c>
      <c r="AA56" s="19"/>
      <c r="AB56" s="19"/>
    </row>
    <row r="57" spans="2:28" x14ac:dyDescent="0.2">
      <c r="B57" s="30" t="s">
        <v>150</v>
      </c>
      <c r="C57" s="30">
        <v>48</v>
      </c>
      <c r="D57" s="30" t="s">
        <v>150</v>
      </c>
      <c r="E57" s="109" t="s">
        <v>1037</v>
      </c>
      <c r="F57" s="109" t="s">
        <v>1038</v>
      </c>
      <c r="G57" s="109" t="s">
        <v>1039</v>
      </c>
      <c r="H57" s="110" t="s">
        <v>1040</v>
      </c>
      <c r="I57" s="30" t="s">
        <v>151</v>
      </c>
      <c r="J57" s="18" t="s">
        <v>269</v>
      </c>
      <c r="K57" s="18" t="s">
        <v>269</v>
      </c>
      <c r="L57" s="18" t="s">
        <v>269</v>
      </c>
      <c r="M57" s="30" t="s">
        <v>152</v>
      </c>
      <c r="N57" s="18" t="s">
        <v>269</v>
      </c>
      <c r="O57" s="18" t="s">
        <v>269</v>
      </c>
      <c r="P57" s="18" t="s">
        <v>269</v>
      </c>
      <c r="Q57" s="18" t="s">
        <v>269</v>
      </c>
      <c r="R57" s="18" t="s">
        <v>269</v>
      </c>
      <c r="S57" s="18" t="s">
        <v>269</v>
      </c>
      <c r="T57" s="21" t="s">
        <v>305</v>
      </c>
      <c r="U57" s="25"/>
      <c r="V57" s="33"/>
      <c r="W57" s="38"/>
      <c r="X57" s="19"/>
      <c r="Y57" s="20" t="s">
        <v>268</v>
      </c>
      <c r="Z57" s="20" t="s">
        <v>560</v>
      </c>
      <c r="AA57" s="19"/>
      <c r="AB57" s="19"/>
    </row>
    <row r="58" spans="2:28" x14ac:dyDescent="0.2">
      <c r="B58" s="30" t="s">
        <v>153</v>
      </c>
      <c r="C58" s="30">
        <v>49</v>
      </c>
      <c r="D58" s="30" t="s">
        <v>153</v>
      </c>
      <c r="E58" s="109" t="s">
        <v>1041</v>
      </c>
      <c r="F58" s="109" t="s">
        <v>1042</v>
      </c>
      <c r="G58" s="109" t="s">
        <v>1043</v>
      </c>
      <c r="H58" s="110" t="s">
        <v>1044</v>
      </c>
      <c r="I58" s="30" t="s">
        <v>154</v>
      </c>
      <c r="J58" s="18" t="s">
        <v>269</v>
      </c>
      <c r="K58" s="18" t="s">
        <v>269</v>
      </c>
      <c r="L58" s="18" t="s">
        <v>269</v>
      </c>
      <c r="M58" s="18" t="s">
        <v>269</v>
      </c>
      <c r="N58" s="18" t="s">
        <v>269</v>
      </c>
      <c r="O58" s="18" t="s">
        <v>269</v>
      </c>
      <c r="P58" s="18" t="s">
        <v>269</v>
      </c>
      <c r="Q58" s="18" t="s">
        <v>269</v>
      </c>
      <c r="R58" s="18" t="s">
        <v>269</v>
      </c>
      <c r="S58" s="18" t="s">
        <v>269</v>
      </c>
      <c r="T58" s="21" t="s">
        <v>306</v>
      </c>
      <c r="U58" s="25"/>
      <c r="V58" s="33"/>
      <c r="W58" s="38"/>
      <c r="X58" s="19"/>
      <c r="Y58" s="20" t="s">
        <v>268</v>
      </c>
      <c r="Z58" s="20" t="s">
        <v>560</v>
      </c>
      <c r="AA58" s="19"/>
      <c r="AB58" s="19"/>
    </row>
    <row r="59" spans="2:28" x14ac:dyDescent="0.2">
      <c r="B59" s="28" t="s">
        <v>363</v>
      </c>
      <c r="C59" s="17">
        <v>50</v>
      </c>
      <c r="D59" s="18" t="s">
        <v>269</v>
      </c>
      <c r="E59" s="18" t="s">
        <v>269</v>
      </c>
      <c r="F59" s="18" t="s">
        <v>269</v>
      </c>
      <c r="G59" s="18" t="s">
        <v>269</v>
      </c>
      <c r="H59" s="18" t="s">
        <v>269</v>
      </c>
      <c r="I59" s="18" t="s">
        <v>269</v>
      </c>
      <c r="J59" s="18" t="s">
        <v>269</v>
      </c>
      <c r="K59" s="18" t="s">
        <v>269</v>
      </c>
      <c r="L59" s="18" t="s">
        <v>269</v>
      </c>
      <c r="M59" s="18" t="s">
        <v>269</v>
      </c>
      <c r="N59" s="18" t="s">
        <v>269</v>
      </c>
      <c r="O59" s="18" t="s">
        <v>269</v>
      </c>
      <c r="P59" s="18" t="s">
        <v>269</v>
      </c>
      <c r="Q59" s="18" t="s">
        <v>269</v>
      </c>
      <c r="R59" s="18" t="s">
        <v>269</v>
      </c>
      <c r="S59" s="18" t="s">
        <v>269</v>
      </c>
      <c r="T59" s="18" t="s">
        <v>269</v>
      </c>
      <c r="U59" s="28" t="s">
        <v>363</v>
      </c>
      <c r="V59" s="18" t="s">
        <v>269</v>
      </c>
      <c r="W59" s="38"/>
      <c r="X59" s="19" t="s">
        <v>546</v>
      </c>
      <c r="Y59" s="20" t="s">
        <v>555</v>
      </c>
      <c r="Z59" s="20" t="s">
        <v>555</v>
      </c>
      <c r="AA59" s="19"/>
      <c r="AB59" s="19"/>
    </row>
    <row r="60" spans="2:28" x14ac:dyDescent="0.2">
      <c r="B60" s="16" t="s">
        <v>256</v>
      </c>
      <c r="C60" s="17">
        <v>51</v>
      </c>
      <c r="D60" s="18" t="s">
        <v>269</v>
      </c>
      <c r="E60" s="18" t="s">
        <v>269</v>
      </c>
      <c r="F60" s="18" t="s">
        <v>269</v>
      </c>
      <c r="G60" s="18" t="s">
        <v>269</v>
      </c>
      <c r="H60" s="18" t="s">
        <v>269</v>
      </c>
      <c r="I60" s="18" t="s">
        <v>269</v>
      </c>
      <c r="J60" s="18" t="s">
        <v>269</v>
      </c>
      <c r="K60" s="18" t="s">
        <v>269</v>
      </c>
      <c r="L60" s="18" t="s">
        <v>269</v>
      </c>
      <c r="M60" s="18" t="s">
        <v>269</v>
      </c>
      <c r="N60" s="18" t="s">
        <v>269</v>
      </c>
      <c r="O60" s="18" t="s">
        <v>269</v>
      </c>
      <c r="P60" s="18" t="s">
        <v>269</v>
      </c>
      <c r="Q60" s="18" t="s">
        <v>269</v>
      </c>
      <c r="R60" s="18" t="s">
        <v>269</v>
      </c>
      <c r="S60" s="18" t="s">
        <v>269</v>
      </c>
      <c r="T60" s="18" t="s">
        <v>269</v>
      </c>
      <c r="U60" s="16" t="s">
        <v>256</v>
      </c>
      <c r="V60" s="18" t="s">
        <v>269</v>
      </c>
      <c r="W60" s="38"/>
      <c r="X60" s="19" t="s">
        <v>545</v>
      </c>
      <c r="Y60" s="20" t="s">
        <v>555</v>
      </c>
      <c r="Z60" s="20" t="s">
        <v>555</v>
      </c>
      <c r="AA60" s="19"/>
      <c r="AB60" s="19"/>
    </row>
    <row r="61" spans="2:28" x14ac:dyDescent="0.2">
      <c r="B61" s="30" t="s">
        <v>159</v>
      </c>
      <c r="C61" s="30">
        <v>52</v>
      </c>
      <c r="D61" s="30" t="s">
        <v>159</v>
      </c>
      <c r="E61" s="109" t="s">
        <v>1057</v>
      </c>
      <c r="F61" s="109" t="s">
        <v>1058</v>
      </c>
      <c r="G61" s="109" t="s">
        <v>1059</v>
      </c>
      <c r="H61" s="110" t="s">
        <v>1060</v>
      </c>
      <c r="I61" s="30" t="s">
        <v>160</v>
      </c>
      <c r="J61" s="93" t="s">
        <v>672</v>
      </c>
      <c r="K61" s="18" t="s">
        <v>269</v>
      </c>
      <c r="L61" s="93" t="s">
        <v>673</v>
      </c>
      <c r="M61" s="18" t="s">
        <v>269</v>
      </c>
      <c r="N61" s="18" t="s">
        <v>269</v>
      </c>
      <c r="O61" s="18" t="s">
        <v>269</v>
      </c>
      <c r="P61" s="18" t="s">
        <v>269</v>
      </c>
      <c r="Q61" s="18" t="s">
        <v>269</v>
      </c>
      <c r="R61" s="18" t="s">
        <v>269</v>
      </c>
      <c r="S61" s="18" t="s">
        <v>269</v>
      </c>
      <c r="T61" s="21" t="s">
        <v>310</v>
      </c>
      <c r="U61" s="25"/>
      <c r="V61" s="33"/>
      <c r="W61" s="38" t="str">
        <f>_xlfn.IFS(AND(COUNTIF(U61,"SCB*")=1, 'PCH100'!G60&gt;=2), "See the Notice *2", TRUE, "")</f>
        <v/>
      </c>
      <c r="X61" s="19"/>
      <c r="Y61" s="20" t="s">
        <v>268</v>
      </c>
      <c r="Z61" s="20" t="s">
        <v>560</v>
      </c>
      <c r="AA61" s="19"/>
      <c r="AB61" s="19"/>
    </row>
    <row r="62" spans="2:28" x14ac:dyDescent="0.2">
      <c r="B62" s="30" t="s">
        <v>161</v>
      </c>
      <c r="C62" s="30">
        <v>53</v>
      </c>
      <c r="D62" s="30" t="s">
        <v>161</v>
      </c>
      <c r="E62" s="109" t="s">
        <v>1061</v>
      </c>
      <c r="F62" s="109" t="s">
        <v>1062</v>
      </c>
      <c r="G62" s="109" t="s">
        <v>1063</v>
      </c>
      <c r="H62" s="110" t="s">
        <v>1064</v>
      </c>
      <c r="I62" s="30" t="s">
        <v>162</v>
      </c>
      <c r="J62" s="93" t="s">
        <v>674</v>
      </c>
      <c r="K62" s="93" t="s">
        <v>675</v>
      </c>
      <c r="L62" s="93" t="s">
        <v>676</v>
      </c>
      <c r="M62" s="18" t="s">
        <v>269</v>
      </c>
      <c r="N62" s="18" t="s">
        <v>269</v>
      </c>
      <c r="O62" s="18" t="s">
        <v>269</v>
      </c>
      <c r="P62" s="18" t="s">
        <v>269</v>
      </c>
      <c r="Q62" s="18" t="s">
        <v>269</v>
      </c>
      <c r="R62" s="18" t="s">
        <v>269</v>
      </c>
      <c r="S62" s="18" t="s">
        <v>269</v>
      </c>
      <c r="T62" s="21" t="s">
        <v>311</v>
      </c>
      <c r="U62" s="25"/>
      <c r="V62" s="33"/>
      <c r="W62" s="38" t="str">
        <f>_xlfn.IFS(AND(COUNTIF(U62,"SCB*")=1, 'PCH100'!G60&gt;=2), "See the Notice *2", TRUE, "")</f>
        <v/>
      </c>
      <c r="X62" s="19"/>
      <c r="Y62" s="20" t="s">
        <v>268</v>
      </c>
      <c r="Z62" s="20" t="s">
        <v>560</v>
      </c>
      <c r="AA62" s="19"/>
      <c r="AB62" s="19"/>
    </row>
    <row r="63" spans="2:28" x14ac:dyDescent="0.2">
      <c r="B63" s="30" t="s">
        <v>163</v>
      </c>
      <c r="C63" s="30">
        <v>54</v>
      </c>
      <c r="D63" s="30" t="s">
        <v>163</v>
      </c>
      <c r="E63" s="109" t="s">
        <v>1065</v>
      </c>
      <c r="F63" s="109" t="s">
        <v>1066</v>
      </c>
      <c r="G63" s="109" t="s">
        <v>1067</v>
      </c>
      <c r="H63" s="110" t="s">
        <v>1068</v>
      </c>
      <c r="I63" s="30" t="s">
        <v>164</v>
      </c>
      <c r="J63" s="93" t="s">
        <v>677</v>
      </c>
      <c r="K63" s="93" t="s">
        <v>678</v>
      </c>
      <c r="L63" s="93" t="s">
        <v>679</v>
      </c>
      <c r="M63" s="18" t="s">
        <v>269</v>
      </c>
      <c r="N63" s="18" t="s">
        <v>269</v>
      </c>
      <c r="O63" s="18" t="s">
        <v>269</v>
      </c>
      <c r="P63" s="18" t="s">
        <v>269</v>
      </c>
      <c r="Q63" s="18" t="s">
        <v>269</v>
      </c>
      <c r="R63" s="18" t="s">
        <v>269</v>
      </c>
      <c r="S63" s="18" t="s">
        <v>269</v>
      </c>
      <c r="T63" s="21" t="s">
        <v>312</v>
      </c>
      <c r="U63" s="25"/>
      <c r="V63" s="33"/>
      <c r="W63" s="38" t="str">
        <f>_xlfn.IFS(AND(COUNTIF(U63,"SCB*")=1, 'PCH100'!G60&gt;=2), "See the Notice *2", TRUE, "")</f>
        <v/>
      </c>
      <c r="X63" s="19"/>
      <c r="Y63" s="20" t="s">
        <v>268</v>
      </c>
      <c r="Z63" s="20" t="s">
        <v>560</v>
      </c>
      <c r="AA63" s="19"/>
      <c r="AB63" s="19"/>
    </row>
    <row r="64" spans="2:28" x14ac:dyDescent="0.2">
      <c r="B64" s="30" t="s">
        <v>165</v>
      </c>
      <c r="C64" s="30">
        <v>55</v>
      </c>
      <c r="D64" s="30" t="s">
        <v>165</v>
      </c>
      <c r="E64" s="109" t="s">
        <v>1069</v>
      </c>
      <c r="F64" s="109" t="s">
        <v>1070</v>
      </c>
      <c r="G64" s="109" t="s">
        <v>1071</v>
      </c>
      <c r="H64" s="110" t="s">
        <v>1072</v>
      </c>
      <c r="I64" s="30" t="s">
        <v>166</v>
      </c>
      <c r="J64" s="93" t="s">
        <v>680</v>
      </c>
      <c r="K64" s="18" t="s">
        <v>269</v>
      </c>
      <c r="L64" s="93" t="s">
        <v>681</v>
      </c>
      <c r="M64" s="18" t="s">
        <v>269</v>
      </c>
      <c r="N64" s="18" t="s">
        <v>269</v>
      </c>
      <c r="O64" s="18" t="s">
        <v>269</v>
      </c>
      <c r="P64" s="18" t="s">
        <v>269</v>
      </c>
      <c r="Q64" s="18" t="s">
        <v>269</v>
      </c>
      <c r="R64" s="18" t="s">
        <v>269</v>
      </c>
      <c r="S64" s="18" t="s">
        <v>269</v>
      </c>
      <c r="T64" s="21" t="s">
        <v>313</v>
      </c>
      <c r="U64" s="25"/>
      <c r="V64" s="33"/>
      <c r="W64" s="38" t="str">
        <f>_xlfn.IFS(AND(COUNTIF(U64,"SCB*")=1, 'PCH100'!G60&gt;=2), "See the Notice *2", TRUE, "")</f>
        <v/>
      </c>
      <c r="X64" s="19"/>
      <c r="Y64" s="20" t="s">
        <v>268</v>
      </c>
      <c r="Z64" s="20" t="s">
        <v>560</v>
      </c>
      <c r="AA64" s="19"/>
      <c r="AB64" s="19"/>
    </row>
    <row r="65" spans="2:28" x14ac:dyDescent="0.2">
      <c r="B65" s="30" t="s">
        <v>167</v>
      </c>
      <c r="C65" s="30">
        <v>56</v>
      </c>
      <c r="D65" s="30" t="s">
        <v>167</v>
      </c>
      <c r="E65" s="109" t="s">
        <v>1182</v>
      </c>
      <c r="F65" s="109" t="s">
        <v>1074</v>
      </c>
      <c r="G65" s="109" t="s">
        <v>1075</v>
      </c>
      <c r="H65" s="109" t="s">
        <v>1076</v>
      </c>
      <c r="I65" s="18" t="s">
        <v>269</v>
      </c>
      <c r="J65" s="18" t="s">
        <v>269</v>
      </c>
      <c r="K65" s="18" t="s">
        <v>269</v>
      </c>
      <c r="L65" s="93" t="s">
        <v>682</v>
      </c>
      <c r="M65" s="18" t="s">
        <v>269</v>
      </c>
      <c r="N65" s="18" t="s">
        <v>269</v>
      </c>
      <c r="O65" s="18" t="s">
        <v>269</v>
      </c>
      <c r="P65" s="18" t="s">
        <v>269</v>
      </c>
      <c r="Q65" s="18" t="s">
        <v>269</v>
      </c>
      <c r="R65" s="18" t="s">
        <v>269</v>
      </c>
      <c r="S65" s="18" t="s">
        <v>269</v>
      </c>
      <c r="T65" s="21" t="s">
        <v>314</v>
      </c>
      <c r="U65" s="25"/>
      <c r="V65" s="33"/>
      <c r="W65" s="38" t="str">
        <f>_xlfn.IFS(AND(COUNTIF(U65,"SCB*")=1, 'PCH100'!G60&gt;=2), "See the Notice *2", TRUE, "")</f>
        <v/>
      </c>
      <c r="X65" s="19"/>
      <c r="Y65" s="20" t="s">
        <v>268</v>
      </c>
      <c r="Z65" s="20" t="s">
        <v>560</v>
      </c>
      <c r="AA65" s="19"/>
      <c r="AB65" s="19"/>
    </row>
    <row r="66" spans="2:28" x14ac:dyDescent="0.2">
      <c r="B66" s="30" t="s">
        <v>168</v>
      </c>
      <c r="C66" s="30">
        <v>57</v>
      </c>
      <c r="D66" s="30" t="s">
        <v>168</v>
      </c>
      <c r="E66" s="109" t="s">
        <v>1183</v>
      </c>
      <c r="F66" s="109" t="s">
        <v>1078</v>
      </c>
      <c r="G66" s="109" t="s">
        <v>1079</v>
      </c>
      <c r="H66" s="109" t="s">
        <v>1080</v>
      </c>
      <c r="I66" s="18" t="s">
        <v>269</v>
      </c>
      <c r="J66" s="18" t="s">
        <v>269</v>
      </c>
      <c r="K66" s="18" t="s">
        <v>269</v>
      </c>
      <c r="L66" s="93" t="s">
        <v>683</v>
      </c>
      <c r="M66" s="18" t="s">
        <v>269</v>
      </c>
      <c r="N66" s="18" t="s">
        <v>269</v>
      </c>
      <c r="O66" s="18" t="s">
        <v>269</v>
      </c>
      <c r="P66" s="18" t="s">
        <v>269</v>
      </c>
      <c r="Q66" s="18" t="s">
        <v>269</v>
      </c>
      <c r="R66" s="18" t="s">
        <v>269</v>
      </c>
      <c r="S66" s="18" t="s">
        <v>269</v>
      </c>
      <c r="T66" s="21" t="s">
        <v>315</v>
      </c>
      <c r="U66" s="25"/>
      <c r="V66" s="33"/>
      <c r="W66" s="38" t="str">
        <f>_xlfn.IFS(AND(COUNTIF(U66,"SCB*")=1, 'PCH100'!G60&gt;=2), "See the Notice *2", TRUE, "")</f>
        <v/>
      </c>
      <c r="X66" s="19"/>
      <c r="Y66" s="20" t="s">
        <v>268</v>
      </c>
      <c r="Z66" s="20" t="s">
        <v>560</v>
      </c>
      <c r="AA66" s="19"/>
      <c r="AB66" s="19"/>
    </row>
    <row r="67" spans="2:28" x14ac:dyDescent="0.2">
      <c r="B67" s="30" t="s">
        <v>169</v>
      </c>
      <c r="C67" s="30">
        <v>58</v>
      </c>
      <c r="D67" s="30" t="s">
        <v>169</v>
      </c>
      <c r="E67" s="109" t="s">
        <v>1184</v>
      </c>
      <c r="F67" s="109" t="s">
        <v>1082</v>
      </c>
      <c r="G67" s="109" t="s">
        <v>1083</v>
      </c>
      <c r="H67" s="109" t="s">
        <v>1084</v>
      </c>
      <c r="I67" s="18" t="s">
        <v>269</v>
      </c>
      <c r="J67" s="18" t="s">
        <v>269</v>
      </c>
      <c r="K67" s="18" t="s">
        <v>269</v>
      </c>
      <c r="L67" s="93" t="s">
        <v>684</v>
      </c>
      <c r="M67" s="18" t="s">
        <v>269</v>
      </c>
      <c r="N67" s="18" t="s">
        <v>269</v>
      </c>
      <c r="O67" s="30" t="s">
        <v>170</v>
      </c>
      <c r="P67" s="18" t="s">
        <v>269</v>
      </c>
      <c r="Q67" s="18" t="s">
        <v>269</v>
      </c>
      <c r="R67" s="18" t="s">
        <v>269</v>
      </c>
      <c r="S67" s="18" t="s">
        <v>269</v>
      </c>
      <c r="T67" s="21" t="s">
        <v>316</v>
      </c>
      <c r="U67" s="25"/>
      <c r="V67" s="33"/>
      <c r="W67" s="38" t="str">
        <f>_xlfn.IFS(AND(COUNTIF(U67,"SCB*")=1, 'PCH100'!G60&gt;=2), "See the Notice *2", TRUE, "")</f>
        <v/>
      </c>
      <c r="X67" s="19"/>
      <c r="Y67" s="20" t="s">
        <v>268</v>
      </c>
      <c r="Z67" s="20" t="s">
        <v>560</v>
      </c>
      <c r="AA67" s="19"/>
      <c r="AB67" s="19"/>
    </row>
    <row r="68" spans="2:28" x14ac:dyDescent="0.2">
      <c r="B68" s="30" t="s">
        <v>171</v>
      </c>
      <c r="C68" s="30">
        <v>59</v>
      </c>
      <c r="D68" s="30" t="s">
        <v>171</v>
      </c>
      <c r="E68" s="109" t="s">
        <v>1185</v>
      </c>
      <c r="F68" s="109" t="s">
        <v>1086</v>
      </c>
      <c r="G68" s="109" t="s">
        <v>1087</v>
      </c>
      <c r="H68" s="109" t="s">
        <v>1088</v>
      </c>
      <c r="I68" s="18" t="s">
        <v>269</v>
      </c>
      <c r="J68" s="18" t="s">
        <v>269</v>
      </c>
      <c r="K68" s="18" t="s">
        <v>269</v>
      </c>
      <c r="L68" s="18" t="s">
        <v>269</v>
      </c>
      <c r="M68" s="18" t="s">
        <v>269</v>
      </c>
      <c r="N68" s="18" t="s">
        <v>269</v>
      </c>
      <c r="O68" s="30" t="s">
        <v>172</v>
      </c>
      <c r="P68" s="18" t="s">
        <v>269</v>
      </c>
      <c r="Q68" s="18" t="s">
        <v>269</v>
      </c>
      <c r="R68" s="18" t="s">
        <v>269</v>
      </c>
      <c r="S68" s="18" t="s">
        <v>269</v>
      </c>
      <c r="T68" s="21" t="s">
        <v>317</v>
      </c>
      <c r="U68" s="25"/>
      <c r="V68" s="33"/>
      <c r="W68" s="38"/>
      <c r="X68" s="19"/>
      <c r="Y68" s="20" t="s">
        <v>268</v>
      </c>
      <c r="Z68" s="20" t="s">
        <v>560</v>
      </c>
      <c r="AA68" s="19"/>
      <c r="AB68" s="19"/>
    </row>
    <row r="69" spans="2:28" x14ac:dyDescent="0.2">
      <c r="B69" s="30" t="s">
        <v>173</v>
      </c>
      <c r="C69" s="30">
        <v>60</v>
      </c>
      <c r="D69" s="30" t="s">
        <v>173</v>
      </c>
      <c r="E69" s="109" t="s">
        <v>1089</v>
      </c>
      <c r="F69" s="109" t="s">
        <v>1090</v>
      </c>
      <c r="G69" s="109" t="s">
        <v>1091</v>
      </c>
      <c r="H69" s="109" t="s">
        <v>1092</v>
      </c>
      <c r="I69" s="18" t="s">
        <v>269</v>
      </c>
      <c r="J69" s="93" t="s">
        <v>685</v>
      </c>
      <c r="K69" s="18" t="s">
        <v>269</v>
      </c>
      <c r="L69" s="93" t="s">
        <v>686</v>
      </c>
      <c r="M69" s="18" t="s">
        <v>269</v>
      </c>
      <c r="N69" s="30" t="s">
        <v>174</v>
      </c>
      <c r="O69" s="18" t="s">
        <v>269</v>
      </c>
      <c r="P69" s="18" t="s">
        <v>269</v>
      </c>
      <c r="Q69" s="18" t="s">
        <v>269</v>
      </c>
      <c r="R69" s="18" t="s">
        <v>269</v>
      </c>
      <c r="S69" s="18" t="s">
        <v>269</v>
      </c>
      <c r="T69" s="21" t="s">
        <v>318</v>
      </c>
      <c r="U69" s="25"/>
      <c r="V69" s="33"/>
      <c r="W69" s="38" t="str">
        <f>_xlfn.IFS(AND(COUNTIF(U69,"SCB*")=1, 'PCH100'!F60&gt;=2), "See the Notice *2", TRUE, "")</f>
        <v/>
      </c>
      <c r="X69" s="19"/>
      <c r="Y69" s="20" t="s">
        <v>268</v>
      </c>
      <c r="Z69" s="20" t="s">
        <v>560</v>
      </c>
      <c r="AA69" s="19"/>
      <c r="AB69" s="19"/>
    </row>
    <row r="70" spans="2:28" x14ac:dyDescent="0.2">
      <c r="B70" s="30" t="s">
        <v>175</v>
      </c>
      <c r="C70" s="30">
        <v>61</v>
      </c>
      <c r="D70" s="30" t="s">
        <v>175</v>
      </c>
      <c r="E70" s="109" t="s">
        <v>1093</v>
      </c>
      <c r="F70" s="109" t="s">
        <v>1094</v>
      </c>
      <c r="G70" s="109" t="s">
        <v>1095</v>
      </c>
      <c r="H70" s="109" t="s">
        <v>1096</v>
      </c>
      <c r="I70" s="18" t="s">
        <v>269</v>
      </c>
      <c r="J70" s="93" t="s">
        <v>687</v>
      </c>
      <c r="K70" s="93" t="s">
        <v>688</v>
      </c>
      <c r="L70" s="93" t="s">
        <v>689</v>
      </c>
      <c r="M70" s="18" t="s">
        <v>269</v>
      </c>
      <c r="N70" s="30" t="s">
        <v>176</v>
      </c>
      <c r="O70" s="18" t="s">
        <v>269</v>
      </c>
      <c r="P70" s="18" t="s">
        <v>269</v>
      </c>
      <c r="Q70" s="18" t="s">
        <v>269</v>
      </c>
      <c r="R70" s="18" t="s">
        <v>269</v>
      </c>
      <c r="S70" s="18" t="s">
        <v>269</v>
      </c>
      <c r="T70" s="21" t="s">
        <v>319</v>
      </c>
      <c r="U70" s="25"/>
      <c r="V70" s="33"/>
      <c r="W70" s="38" t="str">
        <f>_xlfn.IFS(AND(COUNTIF(U70,"SCB*")=1, 'PCH100'!F60&gt;=2), "See the Notice *2", TRUE, "")</f>
        <v/>
      </c>
      <c r="X70" s="19"/>
      <c r="Y70" s="20" t="s">
        <v>268</v>
      </c>
      <c r="Z70" s="20" t="s">
        <v>560</v>
      </c>
      <c r="AA70" s="19"/>
      <c r="AB70" s="19"/>
    </row>
    <row r="71" spans="2:28" x14ac:dyDescent="0.2">
      <c r="B71" s="30" t="s">
        <v>177</v>
      </c>
      <c r="C71" s="30">
        <v>62</v>
      </c>
      <c r="D71" s="30" t="s">
        <v>177</v>
      </c>
      <c r="E71" s="109" t="s">
        <v>1097</v>
      </c>
      <c r="F71" s="109" t="s">
        <v>1098</v>
      </c>
      <c r="G71" s="109" t="s">
        <v>1099</v>
      </c>
      <c r="H71" s="109" t="s">
        <v>1100</v>
      </c>
      <c r="I71" s="18" t="s">
        <v>269</v>
      </c>
      <c r="J71" s="93" t="s">
        <v>690</v>
      </c>
      <c r="K71" s="93" t="s">
        <v>691</v>
      </c>
      <c r="L71" s="93" t="s">
        <v>692</v>
      </c>
      <c r="M71" s="30" t="s">
        <v>149</v>
      </c>
      <c r="N71" s="18" t="s">
        <v>269</v>
      </c>
      <c r="O71" s="18" t="s">
        <v>269</v>
      </c>
      <c r="P71" s="18" t="s">
        <v>269</v>
      </c>
      <c r="Q71" s="18" t="s">
        <v>269</v>
      </c>
      <c r="R71" s="18" t="s">
        <v>269</v>
      </c>
      <c r="S71" s="18" t="s">
        <v>269</v>
      </c>
      <c r="T71" s="21" t="s">
        <v>320</v>
      </c>
      <c r="U71" s="25"/>
      <c r="V71" s="33"/>
      <c r="W71" s="38" t="str">
        <f>_xlfn.IFS(AND(COUNTIF(U71,"SCB*")=1, 'PCH100'!F60&gt;=2), "See the Notice *2", TRUE, "")</f>
        <v/>
      </c>
      <c r="X71" s="19"/>
      <c r="Y71" s="20" t="s">
        <v>268</v>
      </c>
      <c r="Z71" s="20" t="s">
        <v>560</v>
      </c>
      <c r="AA71" s="19"/>
      <c r="AB71" s="19"/>
    </row>
    <row r="72" spans="2:28" x14ac:dyDescent="0.2">
      <c r="B72" s="30" t="s">
        <v>178</v>
      </c>
      <c r="C72" s="30">
        <v>63</v>
      </c>
      <c r="D72" s="30" t="s">
        <v>178</v>
      </c>
      <c r="E72" s="109" t="s">
        <v>1128</v>
      </c>
      <c r="F72" s="109" t="s">
        <v>1101</v>
      </c>
      <c r="G72" s="109" t="s">
        <v>1102</v>
      </c>
      <c r="H72" s="109" t="s">
        <v>1103</v>
      </c>
      <c r="I72" s="18" t="s">
        <v>269</v>
      </c>
      <c r="J72" s="93" t="s">
        <v>693</v>
      </c>
      <c r="K72" s="18" t="s">
        <v>269</v>
      </c>
      <c r="L72" s="93" t="s">
        <v>694</v>
      </c>
      <c r="M72" s="30" t="s">
        <v>152</v>
      </c>
      <c r="N72" s="18" t="s">
        <v>269</v>
      </c>
      <c r="O72" s="18" t="s">
        <v>269</v>
      </c>
      <c r="P72" s="18" t="s">
        <v>269</v>
      </c>
      <c r="Q72" s="18" t="s">
        <v>269</v>
      </c>
      <c r="R72" s="18" t="s">
        <v>269</v>
      </c>
      <c r="S72" s="18" t="s">
        <v>269</v>
      </c>
      <c r="T72" s="21" t="s">
        <v>321</v>
      </c>
      <c r="U72" s="25"/>
      <c r="V72" s="33"/>
      <c r="W72" s="38" t="str">
        <f>_xlfn.IFS(AND(COUNTIF(U72,"SCB*")=1, 'PCH100'!F60&gt;=2), "See the Notice *2", TRUE, "")</f>
        <v/>
      </c>
      <c r="X72" s="19"/>
      <c r="Y72" s="20" t="s">
        <v>268</v>
      </c>
      <c r="Z72" s="20" t="s">
        <v>560</v>
      </c>
      <c r="AA72" s="19"/>
      <c r="AB72" s="19"/>
    </row>
    <row r="73" spans="2:28" x14ac:dyDescent="0.2">
      <c r="B73" s="30" t="s">
        <v>193</v>
      </c>
      <c r="C73" s="30">
        <v>64</v>
      </c>
      <c r="D73" s="30" t="s">
        <v>193</v>
      </c>
      <c r="E73" s="109" t="s">
        <v>1141</v>
      </c>
      <c r="F73" s="109" t="s">
        <v>1149</v>
      </c>
      <c r="G73" s="109" t="s">
        <v>1143</v>
      </c>
      <c r="H73" s="109" t="s">
        <v>1150</v>
      </c>
      <c r="I73" s="18" t="s">
        <v>269</v>
      </c>
      <c r="J73" s="18" t="s">
        <v>269</v>
      </c>
      <c r="K73" s="18" t="s">
        <v>269</v>
      </c>
      <c r="L73" s="18" t="s">
        <v>269</v>
      </c>
      <c r="M73" s="18" t="s">
        <v>269</v>
      </c>
      <c r="N73" s="30" t="s">
        <v>194</v>
      </c>
      <c r="O73" s="18" t="s">
        <v>269</v>
      </c>
      <c r="P73" s="18" t="s">
        <v>269</v>
      </c>
      <c r="Q73" s="18" t="s">
        <v>269</v>
      </c>
      <c r="R73" s="18" t="s">
        <v>269</v>
      </c>
      <c r="S73" s="18" t="s">
        <v>269</v>
      </c>
      <c r="T73" s="18" t="s">
        <v>269</v>
      </c>
      <c r="U73" s="25"/>
      <c r="V73" s="33"/>
      <c r="W73" s="38"/>
      <c r="X73" s="19"/>
      <c r="Y73" s="20" t="s">
        <v>268</v>
      </c>
      <c r="Z73" s="19" t="s">
        <v>561</v>
      </c>
      <c r="AA73" s="19"/>
      <c r="AB73" s="19"/>
    </row>
    <row r="74" spans="2:28" x14ac:dyDescent="0.2">
      <c r="B74" s="30" t="s">
        <v>195</v>
      </c>
      <c r="C74" s="30">
        <v>65</v>
      </c>
      <c r="D74" s="30" t="s">
        <v>195</v>
      </c>
      <c r="E74" s="109" t="s">
        <v>1137</v>
      </c>
      <c r="F74" s="109" t="s">
        <v>1146</v>
      </c>
      <c r="G74" s="109" t="s">
        <v>1139</v>
      </c>
      <c r="H74" s="110" t="s">
        <v>1148</v>
      </c>
      <c r="I74" s="32" t="s">
        <v>1155</v>
      </c>
      <c r="J74" s="93" t="s">
        <v>697</v>
      </c>
      <c r="K74" s="18" t="s">
        <v>269</v>
      </c>
      <c r="L74" s="93" t="s">
        <v>698</v>
      </c>
      <c r="M74" s="18" t="s">
        <v>269</v>
      </c>
      <c r="N74" s="30" t="s">
        <v>196</v>
      </c>
      <c r="O74" s="18" t="s">
        <v>269</v>
      </c>
      <c r="P74" s="18" t="s">
        <v>269</v>
      </c>
      <c r="Q74" s="18" t="s">
        <v>269</v>
      </c>
      <c r="R74" s="18" t="s">
        <v>269</v>
      </c>
      <c r="S74" s="18" t="s">
        <v>269</v>
      </c>
      <c r="T74" s="18" t="s">
        <v>269</v>
      </c>
      <c r="U74" s="25"/>
      <c r="V74" s="33"/>
      <c r="W74" s="38" t="str">
        <f>_xlfn.IFS(AND(COUNTIF(U74,"SCB*")=1, 'PCH100'!G60&gt;=2), "See the Notice *2", TRUE, "")</f>
        <v/>
      </c>
      <c r="X74" s="19"/>
      <c r="Y74" s="20" t="s">
        <v>268</v>
      </c>
      <c r="Z74" s="19" t="s">
        <v>561</v>
      </c>
      <c r="AA74" s="19"/>
      <c r="AB74" s="19"/>
    </row>
    <row r="75" spans="2:28" x14ac:dyDescent="0.2">
      <c r="B75" s="30" t="s">
        <v>197</v>
      </c>
      <c r="C75" s="30">
        <v>66</v>
      </c>
      <c r="D75" s="30" t="s">
        <v>197</v>
      </c>
      <c r="E75" s="109" t="s">
        <v>1136</v>
      </c>
      <c r="F75" s="109" t="s">
        <v>1142</v>
      </c>
      <c r="G75" s="109" t="s">
        <v>1126</v>
      </c>
      <c r="H75" s="110" t="s">
        <v>1144</v>
      </c>
      <c r="I75" s="32" t="s">
        <v>1156</v>
      </c>
      <c r="J75" s="93" t="s">
        <v>699</v>
      </c>
      <c r="K75" s="93" t="s">
        <v>700</v>
      </c>
      <c r="L75" s="93" t="s">
        <v>701</v>
      </c>
      <c r="M75" s="18" t="s">
        <v>269</v>
      </c>
      <c r="N75" s="18" t="s">
        <v>269</v>
      </c>
      <c r="O75" s="18" t="s">
        <v>269</v>
      </c>
      <c r="P75" s="18" t="s">
        <v>269</v>
      </c>
      <c r="Q75" s="18" t="s">
        <v>269</v>
      </c>
      <c r="R75" s="18" t="s">
        <v>269</v>
      </c>
      <c r="S75" s="18" t="s">
        <v>269</v>
      </c>
      <c r="T75" s="18" t="s">
        <v>269</v>
      </c>
      <c r="U75" s="25"/>
      <c r="V75" s="33"/>
      <c r="W75" s="38" t="str">
        <f>_xlfn.IFS(AND(COUNTIF(U75,"SCB*")=1, 'PCH100'!G60&gt;=2), "See the Notice *2", TRUE, "")</f>
        <v/>
      </c>
      <c r="X75" s="19"/>
      <c r="Y75" s="20" t="s">
        <v>268</v>
      </c>
      <c r="Z75" s="19" t="s">
        <v>561</v>
      </c>
      <c r="AA75" s="19"/>
      <c r="AB75" s="19"/>
    </row>
    <row r="76" spans="2:28" x14ac:dyDescent="0.2">
      <c r="B76" s="30" t="s">
        <v>205</v>
      </c>
      <c r="C76" s="30">
        <v>67</v>
      </c>
      <c r="D76" s="30" t="s">
        <v>205</v>
      </c>
      <c r="E76" s="111" t="s">
        <v>951</v>
      </c>
      <c r="F76" s="111" t="s">
        <v>948</v>
      </c>
      <c r="G76" s="111" t="s">
        <v>953</v>
      </c>
      <c r="H76" s="112" t="s">
        <v>950</v>
      </c>
      <c r="I76" s="113" t="s">
        <v>1151</v>
      </c>
      <c r="J76" s="93" t="s">
        <v>709</v>
      </c>
      <c r="K76" s="18" t="s">
        <v>269</v>
      </c>
      <c r="L76" s="93" t="s">
        <v>710</v>
      </c>
      <c r="M76" s="18" t="s">
        <v>269</v>
      </c>
      <c r="N76" s="18" t="s">
        <v>269</v>
      </c>
      <c r="O76" s="18" t="s">
        <v>269</v>
      </c>
      <c r="P76" s="30" t="s">
        <v>206</v>
      </c>
      <c r="Q76" s="18" t="s">
        <v>269</v>
      </c>
      <c r="R76" s="18" t="s">
        <v>269</v>
      </c>
      <c r="S76" s="18" t="s">
        <v>269</v>
      </c>
      <c r="T76" s="21" t="s">
        <v>330</v>
      </c>
      <c r="U76" s="25"/>
      <c r="V76" s="18" t="s">
        <v>269</v>
      </c>
      <c r="W76" s="38" t="str">
        <f>_xlfn.IFS(AND(COUNTIF(U76,"SCB*")=1, 'PCH100'!E60&gt;=2), "See the Notice *2", TRUE, "")</f>
        <v/>
      </c>
      <c r="X76" s="19"/>
      <c r="Y76" s="20" t="s">
        <v>268</v>
      </c>
      <c r="Z76" s="19" t="s">
        <v>561</v>
      </c>
      <c r="AA76" s="19"/>
      <c r="AB76" s="19"/>
    </row>
    <row r="77" spans="2:28" x14ac:dyDescent="0.2">
      <c r="B77" s="30" t="s">
        <v>207</v>
      </c>
      <c r="C77" s="30">
        <v>68</v>
      </c>
      <c r="D77" s="30" t="s">
        <v>207</v>
      </c>
      <c r="E77" s="112" t="s">
        <v>957</v>
      </c>
      <c r="F77" s="112" t="s">
        <v>955</v>
      </c>
      <c r="G77" s="112" t="s">
        <v>958</v>
      </c>
      <c r="H77" s="112" t="s">
        <v>956</v>
      </c>
      <c r="I77" s="113" t="s">
        <v>1152</v>
      </c>
      <c r="J77" s="93" t="s">
        <v>711</v>
      </c>
      <c r="K77" s="93" t="s">
        <v>712</v>
      </c>
      <c r="L77" s="93" t="s">
        <v>713</v>
      </c>
      <c r="M77" s="18" t="s">
        <v>269</v>
      </c>
      <c r="N77" s="18" t="s">
        <v>269</v>
      </c>
      <c r="O77" s="18" t="s">
        <v>269</v>
      </c>
      <c r="P77" s="30" t="s">
        <v>208</v>
      </c>
      <c r="Q77" s="18" t="s">
        <v>269</v>
      </c>
      <c r="R77" s="18" t="s">
        <v>269</v>
      </c>
      <c r="S77" s="18" t="s">
        <v>269</v>
      </c>
      <c r="T77" s="21" t="s">
        <v>331</v>
      </c>
      <c r="U77" s="25"/>
      <c r="V77" s="18" t="s">
        <v>269</v>
      </c>
      <c r="W77" s="38" t="str">
        <f>_xlfn.IFS(AND(COUNTIF(U77,"SCB*")=1, 'PCH100'!E60&gt;=2), "See the Notice *2", TRUE, "")</f>
        <v/>
      </c>
      <c r="X77" s="19"/>
      <c r="Y77" s="20" t="s">
        <v>268</v>
      </c>
      <c r="Z77" s="19" t="s">
        <v>561</v>
      </c>
      <c r="AA77" s="19"/>
      <c r="AB77" s="19"/>
    </row>
    <row r="78" spans="2:28" x14ac:dyDescent="0.2">
      <c r="B78" s="30" t="s">
        <v>209</v>
      </c>
      <c r="C78" s="30">
        <v>69</v>
      </c>
      <c r="D78" s="30" t="s">
        <v>209</v>
      </c>
      <c r="E78" s="112" t="s">
        <v>1132</v>
      </c>
      <c r="F78" s="112" t="s">
        <v>959</v>
      </c>
      <c r="G78" s="112" t="s">
        <v>1114</v>
      </c>
      <c r="H78" s="112" t="s">
        <v>960</v>
      </c>
      <c r="I78" s="113" t="s">
        <v>1153</v>
      </c>
      <c r="J78" s="93" t="s">
        <v>714</v>
      </c>
      <c r="K78" s="93" t="s">
        <v>715</v>
      </c>
      <c r="L78" s="93" t="s">
        <v>716</v>
      </c>
      <c r="M78" s="18" t="s">
        <v>269</v>
      </c>
      <c r="N78" s="18" t="s">
        <v>269</v>
      </c>
      <c r="O78" s="18" t="s">
        <v>269</v>
      </c>
      <c r="P78" s="18" t="s">
        <v>269</v>
      </c>
      <c r="Q78" s="18" t="s">
        <v>269</v>
      </c>
      <c r="R78" s="18" t="s">
        <v>269</v>
      </c>
      <c r="S78" s="18" t="s">
        <v>269</v>
      </c>
      <c r="T78" s="21" t="s">
        <v>332</v>
      </c>
      <c r="U78" s="25"/>
      <c r="V78" s="18" t="s">
        <v>269</v>
      </c>
      <c r="W78" s="38" t="str">
        <f>_xlfn.IFS(AND(COUNTIF(U78,"SCB*")=1, 'PCH100'!E60&gt;=2), "See the Notice *2", TRUE, "")</f>
        <v/>
      </c>
      <c r="X78" s="19"/>
      <c r="Y78" s="20" t="s">
        <v>268</v>
      </c>
      <c r="Z78" s="19" t="s">
        <v>561</v>
      </c>
      <c r="AA78" s="19"/>
      <c r="AB78" s="19"/>
    </row>
    <row r="79" spans="2:28" x14ac:dyDescent="0.2">
      <c r="B79" s="30" t="s">
        <v>210</v>
      </c>
      <c r="C79" s="30">
        <v>70</v>
      </c>
      <c r="D79" s="30" t="s">
        <v>210</v>
      </c>
      <c r="E79" s="112" t="s">
        <v>1131</v>
      </c>
      <c r="F79" s="112" t="s">
        <v>1116</v>
      </c>
      <c r="G79" s="112" t="s">
        <v>1111</v>
      </c>
      <c r="H79" s="112" t="s">
        <v>1118</v>
      </c>
      <c r="I79" s="113" t="s">
        <v>1154</v>
      </c>
      <c r="J79" s="93" t="s">
        <v>717</v>
      </c>
      <c r="K79" s="18" t="s">
        <v>269</v>
      </c>
      <c r="L79" s="93" t="s">
        <v>718</v>
      </c>
      <c r="M79" s="18" t="s">
        <v>269</v>
      </c>
      <c r="N79" s="18" t="s">
        <v>269</v>
      </c>
      <c r="O79" s="18" t="s">
        <v>269</v>
      </c>
      <c r="P79" s="32" t="s">
        <v>1167</v>
      </c>
      <c r="Q79" s="18" t="s">
        <v>269</v>
      </c>
      <c r="R79" s="18" t="s">
        <v>269</v>
      </c>
      <c r="S79" s="18" t="s">
        <v>269</v>
      </c>
      <c r="T79" s="21" t="s">
        <v>333</v>
      </c>
      <c r="U79" s="25"/>
      <c r="V79" s="18" t="s">
        <v>269</v>
      </c>
      <c r="W79" s="38" t="str">
        <f>_xlfn.IFS(AND(COUNTIF(U79,"SCB*")=1, 'PCH100'!E60&gt;=2), "See the Notice *2", TRUE, "")</f>
        <v/>
      </c>
      <c r="X79" s="19"/>
      <c r="Y79" s="20" t="s">
        <v>268</v>
      </c>
      <c r="Z79" s="19" t="s">
        <v>561</v>
      </c>
      <c r="AA79" s="19"/>
      <c r="AB79" s="19"/>
    </row>
    <row r="80" spans="2:28" x14ac:dyDescent="0.2">
      <c r="B80" s="30" t="s">
        <v>211</v>
      </c>
      <c r="C80" s="30">
        <v>71</v>
      </c>
      <c r="D80" s="30" t="s">
        <v>211</v>
      </c>
      <c r="E80" s="112" t="s">
        <v>1130</v>
      </c>
      <c r="F80" s="112" t="s">
        <v>1113</v>
      </c>
      <c r="G80" s="112" t="s">
        <v>1108</v>
      </c>
      <c r="H80" s="112" t="s">
        <v>1115</v>
      </c>
      <c r="I80" s="32" t="s">
        <v>1155</v>
      </c>
      <c r="J80" s="18" t="s">
        <v>269</v>
      </c>
      <c r="K80" s="18" t="s">
        <v>269</v>
      </c>
      <c r="L80" s="93" t="s">
        <v>719</v>
      </c>
      <c r="M80" s="18" t="s">
        <v>269</v>
      </c>
      <c r="N80" s="18" t="s">
        <v>269</v>
      </c>
      <c r="O80" s="18" t="s">
        <v>269</v>
      </c>
      <c r="P80" s="32" t="s">
        <v>1168</v>
      </c>
      <c r="Q80" s="18" t="s">
        <v>269</v>
      </c>
      <c r="R80" s="18" t="s">
        <v>269</v>
      </c>
      <c r="S80" s="18" t="s">
        <v>269</v>
      </c>
      <c r="T80" s="21" t="s">
        <v>334</v>
      </c>
      <c r="U80" s="25"/>
      <c r="V80" s="18" t="s">
        <v>269</v>
      </c>
      <c r="W80" s="38" t="str">
        <f>_xlfn.IFS(AND(COUNTIF(U80,"SCB*")=1, 'PCH100'!E60&gt;=2), "See the Notice *2", TRUE, "")</f>
        <v/>
      </c>
      <c r="X80" s="19"/>
      <c r="Y80" s="20" t="s">
        <v>268</v>
      </c>
      <c r="Z80" s="19" t="s">
        <v>561</v>
      </c>
      <c r="AA80" s="19"/>
      <c r="AB80" s="19"/>
    </row>
    <row r="81" spans="2:28" x14ac:dyDescent="0.2">
      <c r="B81" s="30" t="s">
        <v>212</v>
      </c>
      <c r="C81" s="30">
        <v>72</v>
      </c>
      <c r="D81" s="30" t="s">
        <v>212</v>
      </c>
      <c r="E81" s="112" t="s">
        <v>1129</v>
      </c>
      <c r="F81" s="112" t="s">
        <v>1110</v>
      </c>
      <c r="G81" s="112" t="s">
        <v>1105</v>
      </c>
      <c r="H81" s="112" t="s">
        <v>1112</v>
      </c>
      <c r="I81" s="32" t="s">
        <v>1156</v>
      </c>
      <c r="J81" s="18" t="s">
        <v>269</v>
      </c>
      <c r="K81" s="18" t="s">
        <v>269</v>
      </c>
      <c r="L81" s="93" t="s">
        <v>720</v>
      </c>
      <c r="M81" s="18" t="s">
        <v>269</v>
      </c>
      <c r="N81" s="18" t="s">
        <v>269</v>
      </c>
      <c r="O81" s="18" t="s">
        <v>269</v>
      </c>
      <c r="P81" s="32" t="s">
        <v>1169</v>
      </c>
      <c r="Q81" s="18" t="s">
        <v>269</v>
      </c>
      <c r="R81" s="18" t="s">
        <v>269</v>
      </c>
      <c r="S81" s="18" t="s">
        <v>269</v>
      </c>
      <c r="T81" s="21" t="s">
        <v>335</v>
      </c>
      <c r="U81" s="25"/>
      <c r="V81" s="18" t="s">
        <v>269</v>
      </c>
      <c r="W81" s="38" t="str">
        <f>_xlfn.IFS(AND(COUNTIF(U81,"SCB*")=1, 'PCH100'!E60&gt;=2), "See the Notice *2", TRUE, "")</f>
        <v/>
      </c>
      <c r="X81" s="19"/>
      <c r="Y81" s="20" t="s">
        <v>268</v>
      </c>
      <c r="Z81" s="19" t="s">
        <v>561</v>
      </c>
      <c r="AA81" s="19"/>
      <c r="AB81" s="19"/>
    </row>
    <row r="82" spans="2:28" x14ac:dyDescent="0.2">
      <c r="B82" s="30" t="s">
        <v>213</v>
      </c>
      <c r="C82" s="30">
        <v>73</v>
      </c>
      <c r="D82" s="30" t="s">
        <v>213</v>
      </c>
      <c r="E82" s="112" t="s">
        <v>1128</v>
      </c>
      <c r="F82" s="112" t="s">
        <v>1107</v>
      </c>
      <c r="G82" s="112" t="s">
        <v>1102</v>
      </c>
      <c r="H82" s="112" t="s">
        <v>1109</v>
      </c>
      <c r="I82" s="32" t="s">
        <v>1157</v>
      </c>
      <c r="J82" s="18" t="s">
        <v>269</v>
      </c>
      <c r="K82" s="18" t="s">
        <v>269</v>
      </c>
      <c r="L82" s="93" t="s">
        <v>721</v>
      </c>
      <c r="M82" s="18" t="s">
        <v>269</v>
      </c>
      <c r="N82" s="30" t="s">
        <v>214</v>
      </c>
      <c r="O82" s="18" t="s">
        <v>269</v>
      </c>
      <c r="P82" s="32" t="s">
        <v>1170</v>
      </c>
      <c r="Q82" s="18" t="s">
        <v>269</v>
      </c>
      <c r="R82" s="18" t="s">
        <v>269</v>
      </c>
      <c r="S82" s="18" t="s">
        <v>269</v>
      </c>
      <c r="T82" s="21" t="s">
        <v>336</v>
      </c>
      <c r="U82" s="25"/>
      <c r="V82" s="18" t="s">
        <v>269</v>
      </c>
      <c r="W82" s="38" t="str">
        <f>_xlfn.IFS(AND(COUNTIF(U82,"SCB*")=1, 'PCH100'!E60&gt;=2), "See the Notice *2", TRUE, "")</f>
        <v/>
      </c>
      <c r="X82" s="19"/>
      <c r="Y82" s="20" t="s">
        <v>268</v>
      </c>
      <c r="Z82" s="19" t="s">
        <v>561</v>
      </c>
      <c r="AA82" s="19"/>
      <c r="AB82" s="19"/>
    </row>
    <row r="83" spans="2:28" x14ac:dyDescent="0.2">
      <c r="B83" s="30" t="s">
        <v>215</v>
      </c>
      <c r="C83" s="30">
        <v>74</v>
      </c>
      <c r="D83" s="30" t="s">
        <v>215</v>
      </c>
      <c r="E83" s="112" t="s">
        <v>1097</v>
      </c>
      <c r="F83" s="112" t="s">
        <v>1104</v>
      </c>
      <c r="G83" s="112" t="s">
        <v>1099</v>
      </c>
      <c r="H83" s="112" t="s">
        <v>1106</v>
      </c>
      <c r="I83" s="32" t="s">
        <v>1158</v>
      </c>
      <c r="J83" s="18" t="s">
        <v>269</v>
      </c>
      <c r="K83" s="18" t="s">
        <v>269</v>
      </c>
      <c r="L83" s="18" t="s">
        <v>269</v>
      </c>
      <c r="M83" s="18" t="s">
        <v>269</v>
      </c>
      <c r="N83" s="30" t="s">
        <v>216</v>
      </c>
      <c r="O83" s="18" t="s">
        <v>269</v>
      </c>
      <c r="P83" s="32" t="s">
        <v>1171</v>
      </c>
      <c r="Q83" s="18" t="s">
        <v>269</v>
      </c>
      <c r="R83" s="18" t="s">
        <v>269</v>
      </c>
      <c r="S83" s="18" t="s">
        <v>269</v>
      </c>
      <c r="T83" s="21" t="s">
        <v>337</v>
      </c>
      <c r="U83" s="25"/>
      <c r="V83" s="18" t="s">
        <v>269</v>
      </c>
      <c r="W83" s="38"/>
      <c r="X83" s="19"/>
      <c r="Y83" s="20" t="s">
        <v>268</v>
      </c>
      <c r="Z83" s="19" t="s">
        <v>561</v>
      </c>
      <c r="AA83" s="19"/>
      <c r="AB83" s="19"/>
    </row>
    <row r="84" spans="2:28" x14ac:dyDescent="0.2">
      <c r="B84" s="28" t="s">
        <v>257</v>
      </c>
      <c r="C84" s="17">
        <v>75</v>
      </c>
      <c r="D84" s="18" t="s">
        <v>269</v>
      </c>
      <c r="E84" s="18" t="s">
        <v>269</v>
      </c>
      <c r="F84" s="18" t="s">
        <v>269</v>
      </c>
      <c r="G84" s="18" t="s">
        <v>269</v>
      </c>
      <c r="H84" s="18" t="s">
        <v>269</v>
      </c>
      <c r="I84" s="18" t="s">
        <v>269</v>
      </c>
      <c r="J84" s="18" t="s">
        <v>269</v>
      </c>
      <c r="K84" s="18" t="s">
        <v>269</v>
      </c>
      <c r="L84" s="18" t="s">
        <v>269</v>
      </c>
      <c r="M84" s="18" t="s">
        <v>269</v>
      </c>
      <c r="N84" s="18" t="s">
        <v>269</v>
      </c>
      <c r="O84" s="18" t="s">
        <v>269</v>
      </c>
      <c r="P84" s="18" t="s">
        <v>269</v>
      </c>
      <c r="Q84" s="18" t="s">
        <v>269</v>
      </c>
      <c r="R84" s="18" t="s">
        <v>269</v>
      </c>
      <c r="S84" s="18" t="s">
        <v>269</v>
      </c>
      <c r="T84" s="18" t="s">
        <v>269</v>
      </c>
      <c r="U84" s="28" t="s">
        <v>257</v>
      </c>
      <c r="V84" s="18" t="s">
        <v>269</v>
      </c>
      <c r="W84" s="38"/>
      <c r="X84" s="19" t="s">
        <v>544</v>
      </c>
      <c r="Y84" s="20" t="s">
        <v>555</v>
      </c>
      <c r="Z84" s="20" t="s">
        <v>555</v>
      </c>
      <c r="AA84" s="19"/>
      <c r="AB84" s="19"/>
    </row>
    <row r="85" spans="2:28" x14ac:dyDescent="0.2">
      <c r="B85" s="16" t="s">
        <v>256</v>
      </c>
      <c r="C85" s="17">
        <v>76</v>
      </c>
      <c r="D85" s="18" t="s">
        <v>269</v>
      </c>
      <c r="E85" s="18" t="s">
        <v>269</v>
      </c>
      <c r="F85" s="18" t="s">
        <v>269</v>
      </c>
      <c r="G85" s="18" t="s">
        <v>269</v>
      </c>
      <c r="H85" s="18" t="s">
        <v>269</v>
      </c>
      <c r="I85" s="18" t="s">
        <v>269</v>
      </c>
      <c r="J85" s="18" t="s">
        <v>269</v>
      </c>
      <c r="K85" s="18" t="s">
        <v>269</v>
      </c>
      <c r="L85" s="18" t="s">
        <v>269</v>
      </c>
      <c r="M85" s="18" t="s">
        <v>269</v>
      </c>
      <c r="N85" s="18" t="s">
        <v>269</v>
      </c>
      <c r="O85" s="18" t="s">
        <v>269</v>
      </c>
      <c r="P85" s="18" t="s">
        <v>269</v>
      </c>
      <c r="Q85" s="18" t="s">
        <v>269</v>
      </c>
      <c r="R85" s="18" t="s">
        <v>269</v>
      </c>
      <c r="S85" s="18" t="s">
        <v>269</v>
      </c>
      <c r="T85" s="18" t="s">
        <v>269</v>
      </c>
      <c r="U85" s="16" t="s">
        <v>256</v>
      </c>
      <c r="V85" s="18" t="s">
        <v>269</v>
      </c>
      <c r="W85" s="38"/>
      <c r="X85" s="19" t="s">
        <v>545</v>
      </c>
      <c r="Y85" s="20" t="s">
        <v>555</v>
      </c>
      <c r="Z85" s="20" t="s">
        <v>555</v>
      </c>
      <c r="AA85" s="19"/>
      <c r="AB85" s="19"/>
    </row>
    <row r="86" spans="2:28" x14ac:dyDescent="0.2">
      <c r="B86" s="30" t="s">
        <v>217</v>
      </c>
      <c r="C86" s="30">
        <v>77</v>
      </c>
      <c r="D86" s="30" t="s">
        <v>217</v>
      </c>
      <c r="E86" s="112" t="s">
        <v>915</v>
      </c>
      <c r="F86" s="112" t="s">
        <v>1101</v>
      </c>
      <c r="G86" s="112" t="s">
        <v>917</v>
      </c>
      <c r="H86" s="112" t="s">
        <v>1103</v>
      </c>
      <c r="I86" s="114" t="s">
        <v>1159</v>
      </c>
      <c r="J86" s="93" t="s">
        <v>722</v>
      </c>
      <c r="K86" s="18" t="s">
        <v>269</v>
      </c>
      <c r="L86" s="93" t="s">
        <v>723</v>
      </c>
      <c r="M86" s="18" t="s">
        <v>269</v>
      </c>
      <c r="N86" s="18" t="s">
        <v>269</v>
      </c>
      <c r="O86" s="18" t="s">
        <v>269</v>
      </c>
      <c r="P86" s="30" t="s">
        <v>218</v>
      </c>
      <c r="Q86" s="18" t="s">
        <v>269</v>
      </c>
      <c r="R86" s="18" t="s">
        <v>269</v>
      </c>
      <c r="S86" s="18" t="s">
        <v>269</v>
      </c>
      <c r="T86" s="18" t="s">
        <v>269</v>
      </c>
      <c r="U86" s="99"/>
      <c r="V86" s="18" t="s">
        <v>269</v>
      </c>
      <c r="W86" s="38" t="str">
        <f>_xlfn.IFS(AND(COUNTIF(U86,"SCB*")=1, 'PCH100'!F60&gt;=2), "See the Notice *2", TRUE, "")</f>
        <v/>
      </c>
      <c r="X86" s="19"/>
      <c r="Y86" s="20" t="s">
        <v>268</v>
      </c>
      <c r="Z86" s="19" t="s">
        <v>561</v>
      </c>
      <c r="AA86" s="19"/>
      <c r="AB86" s="19"/>
    </row>
    <row r="87" spans="2:28" x14ac:dyDescent="0.2">
      <c r="B87" s="30" t="s">
        <v>219</v>
      </c>
      <c r="C87" s="30">
        <v>78</v>
      </c>
      <c r="D87" s="30" t="s">
        <v>219</v>
      </c>
      <c r="E87" s="112" t="s">
        <v>985</v>
      </c>
      <c r="F87" s="112" t="s">
        <v>920</v>
      </c>
      <c r="G87" s="112" t="s">
        <v>987</v>
      </c>
      <c r="H87" s="112" t="s">
        <v>922</v>
      </c>
      <c r="I87" s="114" t="s">
        <v>1160</v>
      </c>
      <c r="J87" s="93" t="s">
        <v>724</v>
      </c>
      <c r="K87" s="93" t="s">
        <v>725</v>
      </c>
      <c r="L87" s="93" t="s">
        <v>726</v>
      </c>
      <c r="M87" s="18" t="s">
        <v>269</v>
      </c>
      <c r="N87" s="18" t="s">
        <v>269</v>
      </c>
      <c r="O87" s="18" t="s">
        <v>269</v>
      </c>
      <c r="P87" s="30" t="s">
        <v>220</v>
      </c>
      <c r="Q87" s="18" t="s">
        <v>269</v>
      </c>
      <c r="R87" s="18" t="s">
        <v>269</v>
      </c>
      <c r="S87" s="18" t="s">
        <v>269</v>
      </c>
      <c r="T87" s="18" t="s">
        <v>269</v>
      </c>
      <c r="U87" s="99"/>
      <c r="V87" s="18" t="s">
        <v>269</v>
      </c>
      <c r="W87" s="38" t="str">
        <f>_xlfn.IFS(AND(COUNTIF(U87,"SCB*")=1, 'PCH100'!F60&gt;=2), "See the Notice *2", TRUE, "")</f>
        <v/>
      </c>
      <c r="X87" s="19"/>
      <c r="Y87" s="20" t="s">
        <v>268</v>
      </c>
      <c r="Z87" s="19" t="s">
        <v>561</v>
      </c>
      <c r="AA87" s="19"/>
      <c r="AB87" s="19"/>
    </row>
    <row r="88" spans="2:28" x14ac:dyDescent="0.2">
      <c r="B88" s="30" t="s">
        <v>221</v>
      </c>
      <c r="C88" s="30">
        <v>79</v>
      </c>
      <c r="D88" s="30" t="s">
        <v>221</v>
      </c>
      <c r="E88" s="112" t="s">
        <v>989</v>
      </c>
      <c r="F88" s="112" t="s">
        <v>990</v>
      </c>
      <c r="G88" s="112" t="s">
        <v>991</v>
      </c>
      <c r="H88" s="112" t="s">
        <v>992</v>
      </c>
      <c r="I88" s="114" t="s">
        <v>1161</v>
      </c>
      <c r="J88" s="93" t="s">
        <v>727</v>
      </c>
      <c r="K88" s="93" t="s">
        <v>728</v>
      </c>
      <c r="L88" s="93" t="s">
        <v>729</v>
      </c>
      <c r="M88" s="18" t="s">
        <v>269</v>
      </c>
      <c r="N88" s="18" t="s">
        <v>269</v>
      </c>
      <c r="O88" s="30" t="s">
        <v>222</v>
      </c>
      <c r="P88" s="18" t="s">
        <v>269</v>
      </c>
      <c r="Q88" s="18" t="s">
        <v>269</v>
      </c>
      <c r="R88" s="18" t="s">
        <v>379</v>
      </c>
      <c r="S88" s="18" t="s">
        <v>269</v>
      </c>
      <c r="T88" s="18" t="s">
        <v>269</v>
      </c>
      <c r="U88" s="99"/>
      <c r="V88" s="18" t="s">
        <v>269</v>
      </c>
      <c r="W88" s="38" t="str">
        <f>_xlfn.IFS(AND(COUNTIF(U88,"SCB*")=1, 'PCH100'!F60&gt;=2), "See the Notice *2", TRUE, "")</f>
        <v/>
      </c>
      <c r="X88" s="19"/>
      <c r="Y88" s="20" t="s">
        <v>268</v>
      </c>
      <c r="Z88" s="19" t="s">
        <v>561</v>
      </c>
      <c r="AA88" s="19"/>
      <c r="AB88" s="19"/>
    </row>
    <row r="89" spans="2:28" x14ac:dyDescent="0.2">
      <c r="B89" s="30" t="s">
        <v>223</v>
      </c>
      <c r="C89" s="30">
        <v>80</v>
      </c>
      <c r="D89" s="30" t="s">
        <v>223</v>
      </c>
      <c r="E89" s="112" t="s">
        <v>993</v>
      </c>
      <c r="F89" s="112" t="s">
        <v>994</v>
      </c>
      <c r="G89" s="112" t="s">
        <v>995</v>
      </c>
      <c r="H89" s="112" t="s">
        <v>996</v>
      </c>
      <c r="I89" s="114" t="s">
        <v>1162</v>
      </c>
      <c r="J89" s="93" t="s">
        <v>730</v>
      </c>
      <c r="K89" s="18" t="s">
        <v>269</v>
      </c>
      <c r="L89" s="93" t="s">
        <v>731</v>
      </c>
      <c r="M89" s="18" t="s">
        <v>269</v>
      </c>
      <c r="N89" s="18" t="s">
        <v>269</v>
      </c>
      <c r="O89" s="30" t="s">
        <v>224</v>
      </c>
      <c r="P89" s="18" t="s">
        <v>269</v>
      </c>
      <c r="Q89" s="18" t="s">
        <v>269</v>
      </c>
      <c r="R89" s="18" t="s">
        <v>269</v>
      </c>
      <c r="S89" s="18" t="s">
        <v>269</v>
      </c>
      <c r="T89" s="18" t="s">
        <v>269</v>
      </c>
      <c r="U89" s="99"/>
      <c r="V89" s="18" t="s">
        <v>269</v>
      </c>
      <c r="W89" s="38" t="str">
        <f>_xlfn.IFS(AND(COUNTIF(U89,"SCB*")=1, 'PCH100'!F60&gt;=2), "See the Notice *2", TRUE, "")</f>
        <v/>
      </c>
      <c r="X89" s="19"/>
      <c r="Y89" s="20" t="s">
        <v>268</v>
      </c>
      <c r="Z89" s="19" t="s">
        <v>561</v>
      </c>
      <c r="AA89" s="19"/>
      <c r="AB89" s="19"/>
    </row>
    <row r="90" spans="2:28" x14ac:dyDescent="0.2">
      <c r="B90" s="30" t="s">
        <v>567</v>
      </c>
      <c r="C90" s="30">
        <v>81</v>
      </c>
      <c r="D90" s="30" t="s">
        <v>770</v>
      </c>
      <c r="E90" s="112" t="s">
        <v>1049</v>
      </c>
      <c r="F90" s="112" t="s">
        <v>1058</v>
      </c>
      <c r="G90" s="112" t="s">
        <v>1051</v>
      </c>
      <c r="H90" s="112" t="s">
        <v>1060</v>
      </c>
      <c r="I90" s="18" t="s">
        <v>269</v>
      </c>
      <c r="J90" s="18" t="s">
        <v>269</v>
      </c>
      <c r="K90" s="18" t="s">
        <v>269</v>
      </c>
      <c r="L90" s="93" t="s">
        <v>745</v>
      </c>
      <c r="M90" s="18" t="s">
        <v>269</v>
      </c>
      <c r="N90" s="18" t="s">
        <v>269</v>
      </c>
      <c r="O90" s="18" t="s">
        <v>269</v>
      </c>
      <c r="P90" s="18" t="s">
        <v>269</v>
      </c>
      <c r="Q90" s="18" t="s">
        <v>269</v>
      </c>
      <c r="R90" s="18" t="s">
        <v>269</v>
      </c>
      <c r="S90" s="18" t="s">
        <v>269</v>
      </c>
      <c r="T90" s="21" t="s">
        <v>353</v>
      </c>
      <c r="U90" s="25"/>
      <c r="V90" s="18" t="s">
        <v>269</v>
      </c>
      <c r="W90" s="38" t="str">
        <f>_xlfn.IFS(AND(COUNTIF(U90,"SCB*")=1, 'PCH100'!E60&gt;=2), "See the Notice *2", TRUE, "")</f>
        <v/>
      </c>
      <c r="X90" s="19"/>
      <c r="Y90" s="20" t="s">
        <v>268</v>
      </c>
      <c r="Z90" s="19" t="s">
        <v>561</v>
      </c>
      <c r="AA90" s="19"/>
      <c r="AB90" s="19"/>
    </row>
    <row r="91" spans="2:28" x14ac:dyDescent="0.2">
      <c r="B91" s="30" t="s">
        <v>568</v>
      </c>
      <c r="C91" s="30">
        <v>82</v>
      </c>
      <c r="D91" s="30" t="s">
        <v>771</v>
      </c>
      <c r="E91" s="112" t="s">
        <v>1045</v>
      </c>
      <c r="F91" s="112" t="s">
        <v>1054</v>
      </c>
      <c r="G91" s="112" t="s">
        <v>1047</v>
      </c>
      <c r="H91" s="112" t="s">
        <v>1056</v>
      </c>
      <c r="I91" s="18" t="s">
        <v>269</v>
      </c>
      <c r="J91" s="18" t="s">
        <v>269</v>
      </c>
      <c r="K91" s="18" t="s">
        <v>269</v>
      </c>
      <c r="L91" s="18" t="s">
        <v>269</v>
      </c>
      <c r="M91" s="18" t="s">
        <v>269</v>
      </c>
      <c r="N91" s="18" t="s">
        <v>269</v>
      </c>
      <c r="O91" s="18" t="s">
        <v>269</v>
      </c>
      <c r="P91" s="18" t="s">
        <v>269</v>
      </c>
      <c r="Q91" s="18" t="s">
        <v>269</v>
      </c>
      <c r="R91" s="18" t="s">
        <v>269</v>
      </c>
      <c r="S91" s="18" t="s">
        <v>269</v>
      </c>
      <c r="T91" s="21" t="s">
        <v>354</v>
      </c>
      <c r="U91" s="25"/>
      <c r="V91" s="18" t="s">
        <v>269</v>
      </c>
      <c r="W91" s="38"/>
      <c r="X91" s="19"/>
      <c r="Y91" s="20" t="s">
        <v>268</v>
      </c>
      <c r="Z91" s="19" t="s">
        <v>561</v>
      </c>
      <c r="AA91" s="19"/>
      <c r="AB91" s="19"/>
    </row>
    <row r="92" spans="2:28" x14ac:dyDescent="0.2">
      <c r="B92" s="30" t="s">
        <v>569</v>
      </c>
      <c r="C92" s="30">
        <v>83</v>
      </c>
      <c r="D92" s="30" t="s">
        <v>772</v>
      </c>
      <c r="E92" s="112" t="s">
        <v>1041</v>
      </c>
      <c r="F92" s="112" t="s">
        <v>1050</v>
      </c>
      <c r="G92" s="112" t="s">
        <v>1043</v>
      </c>
      <c r="H92" s="112" t="s">
        <v>1052</v>
      </c>
      <c r="I92" s="18" t="s">
        <v>269</v>
      </c>
      <c r="J92" s="18" t="s">
        <v>269</v>
      </c>
      <c r="K92" s="18" t="s">
        <v>269</v>
      </c>
      <c r="L92" s="18" t="s">
        <v>269</v>
      </c>
      <c r="M92" s="18" t="s">
        <v>269</v>
      </c>
      <c r="N92" s="18" t="s">
        <v>269</v>
      </c>
      <c r="O92" s="30" t="s">
        <v>235</v>
      </c>
      <c r="P92" s="30" t="s">
        <v>62</v>
      </c>
      <c r="Q92" s="18" t="s">
        <v>269</v>
      </c>
      <c r="R92" s="18" t="s">
        <v>269</v>
      </c>
      <c r="S92" s="18" t="s">
        <v>269</v>
      </c>
      <c r="T92" s="21" t="s">
        <v>355</v>
      </c>
      <c r="U92" s="25"/>
      <c r="V92" s="18" t="s">
        <v>269</v>
      </c>
      <c r="W92" s="38"/>
      <c r="X92" s="19"/>
      <c r="Y92" s="20" t="s">
        <v>268</v>
      </c>
      <c r="Z92" s="19" t="s">
        <v>561</v>
      </c>
      <c r="AA92" s="19"/>
      <c r="AB92" s="19"/>
    </row>
    <row r="93" spans="2:28" x14ac:dyDescent="0.2">
      <c r="B93" s="30" t="s">
        <v>570</v>
      </c>
      <c r="C93" s="30">
        <v>84</v>
      </c>
      <c r="D93" s="30" t="s">
        <v>773</v>
      </c>
      <c r="E93" s="112" t="s">
        <v>1037</v>
      </c>
      <c r="F93" s="112" t="s">
        <v>1046</v>
      </c>
      <c r="G93" s="112" t="s">
        <v>1039</v>
      </c>
      <c r="H93" s="112" t="s">
        <v>1048</v>
      </c>
      <c r="I93" s="18" t="s">
        <v>269</v>
      </c>
      <c r="J93" s="18" t="s">
        <v>269</v>
      </c>
      <c r="K93" s="18" t="s">
        <v>269</v>
      </c>
      <c r="L93" s="18" t="s">
        <v>269</v>
      </c>
      <c r="M93" s="18" t="s">
        <v>269</v>
      </c>
      <c r="N93" s="18" t="s">
        <v>269</v>
      </c>
      <c r="O93" s="18" t="s">
        <v>269</v>
      </c>
      <c r="P93" s="18" t="s">
        <v>269</v>
      </c>
      <c r="Q93" s="18" t="s">
        <v>269</v>
      </c>
      <c r="R93" s="18" t="s">
        <v>269</v>
      </c>
      <c r="S93" s="18" t="s">
        <v>269</v>
      </c>
      <c r="T93" s="21" t="s">
        <v>356</v>
      </c>
      <c r="U93" s="25"/>
      <c r="V93" s="18" t="s">
        <v>269</v>
      </c>
      <c r="W93" s="38"/>
      <c r="X93" s="19"/>
      <c r="Y93" s="20" t="s">
        <v>268</v>
      </c>
      <c r="Z93" s="19" t="s">
        <v>561</v>
      </c>
      <c r="AA93" s="19"/>
      <c r="AB93" s="19"/>
    </row>
    <row r="94" spans="2:28" x14ac:dyDescent="0.2">
      <c r="B94" s="34" t="s">
        <v>264</v>
      </c>
      <c r="C94" s="17">
        <v>85</v>
      </c>
      <c r="D94" s="34" t="s">
        <v>264</v>
      </c>
      <c r="E94" s="18" t="s">
        <v>269</v>
      </c>
      <c r="F94" s="18" t="s">
        <v>269</v>
      </c>
      <c r="G94" s="18" t="s">
        <v>269</v>
      </c>
      <c r="H94" s="18" t="s">
        <v>269</v>
      </c>
      <c r="I94" s="18" t="s">
        <v>269</v>
      </c>
      <c r="J94" s="18" t="s">
        <v>269</v>
      </c>
      <c r="K94" s="18" t="s">
        <v>269</v>
      </c>
      <c r="L94" s="18" t="s">
        <v>269</v>
      </c>
      <c r="M94" s="18" t="s">
        <v>269</v>
      </c>
      <c r="N94" s="18" t="s">
        <v>269</v>
      </c>
      <c r="O94" s="18" t="s">
        <v>269</v>
      </c>
      <c r="P94" s="18" t="s">
        <v>269</v>
      </c>
      <c r="Q94" s="18" t="s">
        <v>269</v>
      </c>
      <c r="R94" s="18" t="s">
        <v>269</v>
      </c>
      <c r="S94" s="18" t="s">
        <v>269</v>
      </c>
      <c r="T94" s="18" t="s">
        <v>269</v>
      </c>
      <c r="U94" s="34" t="s">
        <v>264</v>
      </c>
      <c r="V94" s="18" t="s">
        <v>269</v>
      </c>
      <c r="W94" s="38"/>
      <c r="X94" s="19" t="s">
        <v>552</v>
      </c>
      <c r="Y94" s="20" t="s">
        <v>555</v>
      </c>
      <c r="Z94" s="20" t="s">
        <v>555</v>
      </c>
      <c r="AA94" s="19"/>
      <c r="AB94" s="19"/>
    </row>
    <row r="95" spans="2:28" x14ac:dyDescent="0.2">
      <c r="B95" s="28" t="s">
        <v>257</v>
      </c>
      <c r="C95" s="17">
        <v>86</v>
      </c>
      <c r="D95" s="18" t="s">
        <v>269</v>
      </c>
      <c r="E95" s="18" t="s">
        <v>269</v>
      </c>
      <c r="F95" s="18" t="s">
        <v>269</v>
      </c>
      <c r="G95" s="18" t="s">
        <v>269</v>
      </c>
      <c r="H95" s="18" t="s">
        <v>269</v>
      </c>
      <c r="I95" s="18" t="s">
        <v>269</v>
      </c>
      <c r="J95" s="18" t="s">
        <v>269</v>
      </c>
      <c r="K95" s="18" t="s">
        <v>269</v>
      </c>
      <c r="L95" s="18" t="s">
        <v>269</v>
      </c>
      <c r="M95" s="18" t="s">
        <v>269</v>
      </c>
      <c r="N95" s="18" t="s">
        <v>269</v>
      </c>
      <c r="O95" s="18" t="s">
        <v>269</v>
      </c>
      <c r="P95" s="18" t="s">
        <v>269</v>
      </c>
      <c r="Q95" s="18" t="s">
        <v>269</v>
      </c>
      <c r="R95" s="18" t="s">
        <v>269</v>
      </c>
      <c r="S95" s="18" t="s">
        <v>269</v>
      </c>
      <c r="T95" s="18" t="s">
        <v>269</v>
      </c>
      <c r="U95" s="28" t="s">
        <v>257</v>
      </c>
      <c r="V95" s="18" t="s">
        <v>269</v>
      </c>
      <c r="W95" s="38"/>
      <c r="X95" s="19" t="s">
        <v>544</v>
      </c>
      <c r="Y95" s="20" t="s">
        <v>555</v>
      </c>
      <c r="Z95" s="20" t="s">
        <v>555</v>
      </c>
      <c r="AA95" s="19"/>
      <c r="AB95" s="19"/>
    </row>
    <row r="96" spans="2:28" x14ac:dyDescent="0.2">
      <c r="B96" s="16" t="s">
        <v>256</v>
      </c>
      <c r="C96" s="17">
        <v>87</v>
      </c>
      <c r="D96" s="18" t="s">
        <v>269</v>
      </c>
      <c r="E96" s="18" t="s">
        <v>269</v>
      </c>
      <c r="F96" s="18" t="s">
        <v>269</v>
      </c>
      <c r="G96" s="18" t="s">
        <v>269</v>
      </c>
      <c r="H96" s="18" t="s">
        <v>269</v>
      </c>
      <c r="I96" s="18" t="s">
        <v>269</v>
      </c>
      <c r="J96" s="18" t="s">
        <v>269</v>
      </c>
      <c r="K96" s="18" t="s">
        <v>269</v>
      </c>
      <c r="L96" s="18" t="s">
        <v>269</v>
      </c>
      <c r="M96" s="18" t="s">
        <v>269</v>
      </c>
      <c r="N96" s="18" t="s">
        <v>269</v>
      </c>
      <c r="O96" s="18" t="s">
        <v>269</v>
      </c>
      <c r="P96" s="18" t="s">
        <v>269</v>
      </c>
      <c r="Q96" s="18" t="s">
        <v>269</v>
      </c>
      <c r="R96" s="18" t="s">
        <v>269</v>
      </c>
      <c r="S96" s="18" t="s">
        <v>269</v>
      </c>
      <c r="T96" s="18" t="s">
        <v>269</v>
      </c>
      <c r="U96" s="16" t="s">
        <v>256</v>
      </c>
      <c r="V96" s="18" t="s">
        <v>269</v>
      </c>
      <c r="W96" s="38"/>
      <c r="X96" s="19" t="s">
        <v>545</v>
      </c>
      <c r="Y96" s="20" t="s">
        <v>555</v>
      </c>
      <c r="Z96" s="20" t="s">
        <v>555</v>
      </c>
      <c r="AA96" s="19"/>
      <c r="AB96" s="19"/>
    </row>
    <row r="97" spans="2:28" x14ac:dyDescent="0.2">
      <c r="B97" s="16" t="s">
        <v>256</v>
      </c>
      <c r="C97" s="17">
        <v>88</v>
      </c>
      <c r="D97" s="18" t="s">
        <v>269</v>
      </c>
      <c r="E97" s="18" t="s">
        <v>269</v>
      </c>
      <c r="F97" s="18" t="s">
        <v>269</v>
      </c>
      <c r="G97" s="18" t="s">
        <v>269</v>
      </c>
      <c r="H97" s="18" t="s">
        <v>269</v>
      </c>
      <c r="I97" s="18" t="s">
        <v>269</v>
      </c>
      <c r="J97" s="18" t="s">
        <v>269</v>
      </c>
      <c r="K97" s="18" t="s">
        <v>269</v>
      </c>
      <c r="L97" s="18" t="s">
        <v>269</v>
      </c>
      <c r="M97" s="18" t="s">
        <v>269</v>
      </c>
      <c r="N97" s="18" t="s">
        <v>269</v>
      </c>
      <c r="O97" s="18" t="s">
        <v>269</v>
      </c>
      <c r="P97" s="18" t="s">
        <v>269</v>
      </c>
      <c r="Q97" s="18" t="s">
        <v>269</v>
      </c>
      <c r="R97" s="18" t="s">
        <v>269</v>
      </c>
      <c r="S97" s="18" t="s">
        <v>269</v>
      </c>
      <c r="T97" s="18" t="s">
        <v>269</v>
      </c>
      <c r="U97" s="16" t="s">
        <v>256</v>
      </c>
      <c r="V97" s="18" t="s">
        <v>269</v>
      </c>
      <c r="W97" s="38"/>
      <c r="X97" s="19" t="s">
        <v>545</v>
      </c>
      <c r="Y97" s="20" t="s">
        <v>555</v>
      </c>
      <c r="Z97" s="20" t="s">
        <v>555</v>
      </c>
      <c r="AA97" s="19"/>
      <c r="AB97" s="19"/>
    </row>
    <row r="98" spans="2:28" x14ac:dyDescent="0.2">
      <c r="B98" s="28" t="s">
        <v>259</v>
      </c>
      <c r="C98" s="17">
        <v>89</v>
      </c>
      <c r="D98" s="18" t="s">
        <v>269</v>
      </c>
      <c r="E98" s="18" t="s">
        <v>269</v>
      </c>
      <c r="F98" s="18" t="s">
        <v>269</v>
      </c>
      <c r="G98" s="18" t="s">
        <v>269</v>
      </c>
      <c r="H98" s="18" t="s">
        <v>269</v>
      </c>
      <c r="I98" s="18" t="s">
        <v>269</v>
      </c>
      <c r="J98" s="18" t="s">
        <v>269</v>
      </c>
      <c r="K98" s="18" t="s">
        <v>269</v>
      </c>
      <c r="L98" s="18" t="s">
        <v>269</v>
      </c>
      <c r="M98" s="18" t="s">
        <v>269</v>
      </c>
      <c r="N98" s="18" t="s">
        <v>269</v>
      </c>
      <c r="O98" s="18" t="s">
        <v>269</v>
      </c>
      <c r="P98" s="18" t="s">
        <v>269</v>
      </c>
      <c r="Q98" s="18" t="s">
        <v>269</v>
      </c>
      <c r="R98" s="18" t="s">
        <v>269</v>
      </c>
      <c r="S98" s="18" t="s">
        <v>269</v>
      </c>
      <c r="T98" s="18" t="s">
        <v>269</v>
      </c>
      <c r="U98" s="28" t="s">
        <v>259</v>
      </c>
      <c r="V98" s="18" t="s">
        <v>269</v>
      </c>
      <c r="W98" s="38"/>
      <c r="X98" s="19" t="s">
        <v>547</v>
      </c>
      <c r="Y98" s="20" t="s">
        <v>555</v>
      </c>
      <c r="Z98" s="20" t="s">
        <v>555</v>
      </c>
      <c r="AA98" s="19"/>
      <c r="AB98" s="19"/>
    </row>
    <row r="99" spans="2:28" x14ac:dyDescent="0.2">
      <c r="B99" s="30" t="s">
        <v>236</v>
      </c>
      <c r="C99" s="30">
        <v>90</v>
      </c>
      <c r="D99" s="30" t="s">
        <v>236</v>
      </c>
      <c r="E99" s="112" t="s">
        <v>1029</v>
      </c>
      <c r="F99" s="112" t="s">
        <v>1038</v>
      </c>
      <c r="G99" s="112" t="s">
        <v>1031</v>
      </c>
      <c r="H99" s="112" t="s">
        <v>1040</v>
      </c>
      <c r="I99" s="18" t="s">
        <v>269</v>
      </c>
      <c r="J99" s="18" t="s">
        <v>269</v>
      </c>
      <c r="K99" s="18" t="s">
        <v>269</v>
      </c>
      <c r="L99" s="18" t="s">
        <v>269</v>
      </c>
      <c r="M99" s="30" t="s">
        <v>40</v>
      </c>
      <c r="N99" s="18" t="s">
        <v>269</v>
      </c>
      <c r="O99" s="18" t="s">
        <v>269</v>
      </c>
      <c r="P99" s="18" t="s">
        <v>269</v>
      </c>
      <c r="Q99" s="18" t="s">
        <v>269</v>
      </c>
      <c r="R99" s="18" t="s">
        <v>269</v>
      </c>
      <c r="S99" s="18" t="s">
        <v>269</v>
      </c>
      <c r="T99" s="18" t="s">
        <v>269</v>
      </c>
      <c r="U99" s="25"/>
      <c r="V99" s="18" t="s">
        <v>269</v>
      </c>
      <c r="W99" s="38"/>
      <c r="X99" s="19"/>
      <c r="Y99" s="20" t="s">
        <v>268</v>
      </c>
      <c r="Z99" s="19" t="s">
        <v>561</v>
      </c>
      <c r="AA99" s="19"/>
      <c r="AB99" s="19"/>
    </row>
    <row r="100" spans="2:28" x14ac:dyDescent="0.2">
      <c r="B100" s="30" t="s">
        <v>237</v>
      </c>
      <c r="C100" s="30">
        <v>91</v>
      </c>
      <c r="D100" s="30" t="s">
        <v>237</v>
      </c>
      <c r="E100" s="112" t="s">
        <v>1017</v>
      </c>
      <c r="F100" s="112" t="s">
        <v>1026</v>
      </c>
      <c r="G100" s="112" t="s">
        <v>1019</v>
      </c>
      <c r="H100" s="112" t="s">
        <v>1028</v>
      </c>
      <c r="I100" s="18" t="s">
        <v>269</v>
      </c>
      <c r="J100" s="93" t="s">
        <v>746</v>
      </c>
      <c r="K100" s="18" t="s">
        <v>269</v>
      </c>
      <c r="L100" s="93" t="s">
        <v>747</v>
      </c>
      <c r="M100" s="18" t="s">
        <v>269</v>
      </c>
      <c r="N100" s="30" t="s">
        <v>194</v>
      </c>
      <c r="O100" s="18" t="s">
        <v>269</v>
      </c>
      <c r="P100" s="32" t="s">
        <v>1172</v>
      </c>
      <c r="Q100" s="18" t="s">
        <v>269</v>
      </c>
      <c r="R100" s="18" t="s">
        <v>269</v>
      </c>
      <c r="S100" s="18" t="s">
        <v>269</v>
      </c>
      <c r="T100" s="18" t="s">
        <v>269</v>
      </c>
      <c r="U100" s="25"/>
      <c r="V100" s="18" t="s">
        <v>269</v>
      </c>
      <c r="W100" s="38" t="str">
        <f>_xlfn.IFS(AND(COUNTIF(U100,"SCB*")=1, 'PCH100'!J60&gt;=2), "See the Notice *2", TRUE, "")</f>
        <v/>
      </c>
      <c r="X100" s="19"/>
      <c r="Y100" s="20" t="s">
        <v>268</v>
      </c>
      <c r="Z100" s="19" t="s">
        <v>561</v>
      </c>
      <c r="AA100" s="19"/>
      <c r="AB100" s="19"/>
    </row>
    <row r="101" spans="2:28" x14ac:dyDescent="0.2">
      <c r="B101" s="30" t="s">
        <v>238</v>
      </c>
      <c r="C101" s="30">
        <v>92</v>
      </c>
      <c r="D101" s="30" t="s">
        <v>238</v>
      </c>
      <c r="E101" s="112" t="s">
        <v>1013</v>
      </c>
      <c r="F101" s="112" t="s">
        <v>1022</v>
      </c>
      <c r="G101" s="112" t="s">
        <v>1015</v>
      </c>
      <c r="H101" s="112" t="s">
        <v>1024</v>
      </c>
      <c r="I101" s="18" t="s">
        <v>269</v>
      </c>
      <c r="J101" s="93" t="s">
        <v>748</v>
      </c>
      <c r="K101" s="93" t="s">
        <v>749</v>
      </c>
      <c r="L101" s="93" t="s">
        <v>750</v>
      </c>
      <c r="M101" s="18" t="s">
        <v>269</v>
      </c>
      <c r="N101" s="30" t="s">
        <v>196</v>
      </c>
      <c r="O101" s="18" t="s">
        <v>269</v>
      </c>
      <c r="P101" s="32" t="s">
        <v>1173</v>
      </c>
      <c r="Q101" s="18" t="s">
        <v>269</v>
      </c>
      <c r="R101" s="18" t="s">
        <v>269</v>
      </c>
      <c r="S101" s="18" t="s">
        <v>269</v>
      </c>
      <c r="T101" s="18" t="s">
        <v>269</v>
      </c>
      <c r="U101" s="25"/>
      <c r="V101" s="18" t="s">
        <v>269</v>
      </c>
      <c r="W101" s="38" t="str">
        <f>_xlfn.IFS(AND(COUNTIF(U101,"SCB*")=1, 'PCH100'!J60&gt;=2), "See the Notice *2", TRUE, "")</f>
        <v/>
      </c>
      <c r="X101" s="19"/>
      <c r="Y101" s="20" t="s">
        <v>268</v>
      </c>
      <c r="Z101" s="19" t="s">
        <v>561</v>
      </c>
      <c r="AA101" s="19"/>
      <c r="AB101" s="19"/>
    </row>
    <row r="102" spans="2:28" x14ac:dyDescent="0.2">
      <c r="B102" s="30" t="s">
        <v>239</v>
      </c>
      <c r="C102" s="30">
        <v>93</v>
      </c>
      <c r="D102" s="30" t="s">
        <v>239</v>
      </c>
      <c r="E102" s="112" t="s">
        <v>1009</v>
      </c>
      <c r="F102" s="112" t="s">
        <v>1018</v>
      </c>
      <c r="G102" s="112" t="s">
        <v>1011</v>
      </c>
      <c r="H102" s="112" t="s">
        <v>1020</v>
      </c>
      <c r="I102" s="18" t="s">
        <v>269</v>
      </c>
      <c r="J102" s="93" t="s">
        <v>751</v>
      </c>
      <c r="K102" s="93" t="s">
        <v>752</v>
      </c>
      <c r="L102" s="93" t="s">
        <v>753</v>
      </c>
      <c r="M102" s="18" t="s">
        <v>269</v>
      </c>
      <c r="N102" s="18" t="s">
        <v>269</v>
      </c>
      <c r="O102" s="18" t="s">
        <v>269</v>
      </c>
      <c r="P102" s="32" t="s">
        <v>1174</v>
      </c>
      <c r="Q102" s="18" t="s">
        <v>269</v>
      </c>
      <c r="R102" s="18" t="s">
        <v>269</v>
      </c>
      <c r="S102" s="18" t="s">
        <v>269</v>
      </c>
      <c r="T102" s="18" t="s">
        <v>269</v>
      </c>
      <c r="U102" s="25"/>
      <c r="V102" s="18" t="s">
        <v>269</v>
      </c>
      <c r="W102" s="38" t="str">
        <f>_xlfn.IFS(AND(COUNTIF(U102,"SCB*")=1, 'PCH100'!J60&gt;=2), "See the Notice *2", TRUE, "")</f>
        <v/>
      </c>
      <c r="X102" s="19"/>
      <c r="Y102" s="20" t="s">
        <v>268</v>
      </c>
      <c r="Z102" s="19" t="s">
        <v>561</v>
      </c>
      <c r="AA102" s="19"/>
      <c r="AB102" s="19"/>
    </row>
    <row r="103" spans="2:28" x14ac:dyDescent="0.2">
      <c r="B103" s="30" t="s">
        <v>240</v>
      </c>
      <c r="C103" s="30">
        <v>94</v>
      </c>
      <c r="D103" s="30" t="s">
        <v>240</v>
      </c>
      <c r="E103" s="112" t="s">
        <v>1005</v>
      </c>
      <c r="F103" s="112" t="s">
        <v>1014</v>
      </c>
      <c r="G103" s="112" t="s">
        <v>1007</v>
      </c>
      <c r="H103" s="112" t="s">
        <v>1016</v>
      </c>
      <c r="I103" s="18" t="s">
        <v>269</v>
      </c>
      <c r="J103" s="93" t="s">
        <v>754</v>
      </c>
      <c r="K103" s="18" t="s">
        <v>269</v>
      </c>
      <c r="L103" s="93" t="s">
        <v>755</v>
      </c>
      <c r="M103" s="18" t="s">
        <v>269</v>
      </c>
      <c r="N103" s="18" t="s">
        <v>269</v>
      </c>
      <c r="O103" s="18" t="s">
        <v>269</v>
      </c>
      <c r="P103" s="32" t="s">
        <v>1175</v>
      </c>
      <c r="Q103" s="18" t="s">
        <v>269</v>
      </c>
      <c r="R103" s="18" t="s">
        <v>269</v>
      </c>
      <c r="S103" s="18" t="s">
        <v>269</v>
      </c>
      <c r="T103" s="18" t="s">
        <v>269</v>
      </c>
      <c r="U103" s="25"/>
      <c r="V103" s="18" t="s">
        <v>269</v>
      </c>
      <c r="W103" s="38" t="str">
        <f>_xlfn.IFS(AND(COUNTIF(U103,"SCB*")=1, 'PCH100'!J60&gt;=2), "See the Notice *2", TRUE, "")</f>
        <v/>
      </c>
      <c r="X103" s="19"/>
      <c r="Y103" s="20" t="s">
        <v>268</v>
      </c>
      <c r="Z103" s="19" t="s">
        <v>561</v>
      </c>
      <c r="AA103" s="19"/>
      <c r="AB103" s="19"/>
    </row>
    <row r="104" spans="2:28" x14ac:dyDescent="0.2">
      <c r="B104" s="30" t="s">
        <v>248</v>
      </c>
      <c r="C104" s="30">
        <v>95</v>
      </c>
      <c r="D104" s="30" t="s">
        <v>248</v>
      </c>
      <c r="E104" s="112" t="s">
        <v>1081</v>
      </c>
      <c r="F104" s="112" t="s">
        <v>1078</v>
      </c>
      <c r="G104" s="112" t="s">
        <v>1083</v>
      </c>
      <c r="H104" s="112" t="s">
        <v>1080</v>
      </c>
      <c r="I104" s="18" t="s">
        <v>269</v>
      </c>
      <c r="J104" s="93" t="s">
        <v>766</v>
      </c>
      <c r="K104" s="18" t="s">
        <v>269</v>
      </c>
      <c r="L104" s="97" t="s">
        <v>767</v>
      </c>
      <c r="M104" s="18" t="s">
        <v>269</v>
      </c>
      <c r="N104" s="18" t="s">
        <v>269</v>
      </c>
      <c r="O104" s="30" t="s">
        <v>249</v>
      </c>
      <c r="P104" s="30" t="s">
        <v>220</v>
      </c>
      <c r="Q104" s="18" t="s">
        <v>269</v>
      </c>
      <c r="R104" s="18" t="s">
        <v>269</v>
      </c>
      <c r="S104" s="18" t="s">
        <v>269</v>
      </c>
      <c r="T104" s="18" t="s">
        <v>269</v>
      </c>
      <c r="U104" s="25"/>
      <c r="V104" s="18" t="s">
        <v>269</v>
      </c>
      <c r="W104" s="38" t="str">
        <f>_xlfn.IFS(AND(COUNTIF(U104,"SCB*")=1, 'PCH100'!K60&gt;=2), "See the Notice *2", TRUE, "")</f>
        <v/>
      </c>
      <c r="X104" s="19"/>
      <c r="Y104" s="20" t="s">
        <v>268</v>
      </c>
      <c r="Z104" s="19" t="s">
        <v>561</v>
      </c>
      <c r="AA104" s="19"/>
      <c r="AB104" s="19"/>
    </row>
    <row r="105" spans="2:28" x14ac:dyDescent="0.2">
      <c r="B105" s="30" t="s">
        <v>250</v>
      </c>
      <c r="C105" s="30">
        <v>96</v>
      </c>
      <c r="D105" s="30" t="s">
        <v>250</v>
      </c>
      <c r="E105" s="112" t="s">
        <v>981</v>
      </c>
      <c r="F105" s="112" t="s">
        <v>1086</v>
      </c>
      <c r="G105" s="112" t="s">
        <v>983</v>
      </c>
      <c r="H105" s="112" t="s">
        <v>1088</v>
      </c>
      <c r="I105" s="18" t="s">
        <v>269</v>
      </c>
      <c r="J105" s="18" t="s">
        <v>269</v>
      </c>
      <c r="K105" s="18" t="s">
        <v>269</v>
      </c>
      <c r="L105" s="93" t="s">
        <v>768</v>
      </c>
      <c r="M105" s="18" t="s">
        <v>269</v>
      </c>
      <c r="N105" s="18" t="s">
        <v>269</v>
      </c>
      <c r="O105" s="30" t="s">
        <v>251</v>
      </c>
      <c r="P105" s="30" t="s">
        <v>60</v>
      </c>
      <c r="Q105" s="18" t="s">
        <v>269</v>
      </c>
      <c r="R105" s="21" t="s">
        <v>339</v>
      </c>
      <c r="S105" s="18" t="s">
        <v>269</v>
      </c>
      <c r="T105" s="18" t="s">
        <v>269</v>
      </c>
      <c r="U105" s="25"/>
      <c r="V105" s="18" t="s">
        <v>269</v>
      </c>
      <c r="W105" s="38" t="str">
        <f>_xlfn.IFS(AND(COUNTIF(U105,"SCB*")=1, 'PCH100'!K60&gt;=2), "See the Notice *2", TRUE, "")</f>
        <v/>
      </c>
      <c r="X105" s="19"/>
      <c r="Y105" s="20" t="s">
        <v>268</v>
      </c>
      <c r="Z105" s="19" t="s">
        <v>561</v>
      </c>
      <c r="AA105" s="19"/>
      <c r="AB105" s="19"/>
    </row>
    <row r="106" spans="2:28" x14ac:dyDescent="0.2">
      <c r="B106" s="30" t="s">
        <v>252</v>
      </c>
      <c r="C106" s="30">
        <v>97</v>
      </c>
      <c r="D106" s="30" t="s">
        <v>252</v>
      </c>
      <c r="E106" s="112" t="s">
        <v>977</v>
      </c>
      <c r="F106" s="112" t="s">
        <v>986</v>
      </c>
      <c r="G106" s="112" t="s">
        <v>979</v>
      </c>
      <c r="H106" s="112" t="s">
        <v>988</v>
      </c>
      <c r="I106" s="18" t="s">
        <v>269</v>
      </c>
      <c r="J106" s="18" t="s">
        <v>269</v>
      </c>
      <c r="K106" s="18" t="s">
        <v>269</v>
      </c>
      <c r="L106" s="93" t="s">
        <v>769</v>
      </c>
      <c r="M106" s="18" t="s">
        <v>269</v>
      </c>
      <c r="N106" s="18" t="s">
        <v>269</v>
      </c>
      <c r="O106" s="18" t="s">
        <v>269</v>
      </c>
      <c r="P106" s="18" t="s">
        <v>269</v>
      </c>
      <c r="Q106" s="18" t="s">
        <v>269</v>
      </c>
      <c r="R106" s="21" t="s">
        <v>340</v>
      </c>
      <c r="S106" s="18" t="s">
        <v>269</v>
      </c>
      <c r="T106" s="18" t="s">
        <v>269</v>
      </c>
      <c r="U106" s="25"/>
      <c r="V106" s="18" t="s">
        <v>269</v>
      </c>
      <c r="W106" s="38" t="str">
        <f>_xlfn.IFS(AND(COUNTIF(U106,"SCB*")=1, 'PCH100'!K60&gt;=2), "See the Notice *2", TRUE, "")</f>
        <v/>
      </c>
      <c r="X106" s="19"/>
      <c r="Y106" s="20" t="s">
        <v>268</v>
      </c>
      <c r="Z106" s="19" t="s">
        <v>561</v>
      </c>
      <c r="AA106" s="19"/>
      <c r="AB106" s="19"/>
    </row>
    <row r="107" spans="2:28" x14ac:dyDescent="0.2">
      <c r="B107" s="30" t="s">
        <v>253</v>
      </c>
      <c r="C107" s="30">
        <v>98</v>
      </c>
      <c r="D107" s="30" t="s">
        <v>253</v>
      </c>
      <c r="E107" s="112" t="s">
        <v>975</v>
      </c>
      <c r="F107" s="112" t="s">
        <v>982</v>
      </c>
      <c r="G107" s="112" t="s">
        <v>976</v>
      </c>
      <c r="H107" s="112" t="s">
        <v>984</v>
      </c>
      <c r="I107" s="18" t="s">
        <v>269</v>
      </c>
      <c r="J107" s="18" t="s">
        <v>269</v>
      </c>
      <c r="K107" s="18" t="s">
        <v>269</v>
      </c>
      <c r="L107" s="18" t="s">
        <v>269</v>
      </c>
      <c r="M107" s="18" t="s">
        <v>269</v>
      </c>
      <c r="N107" s="18" t="s">
        <v>269</v>
      </c>
      <c r="O107" s="18" t="s">
        <v>269</v>
      </c>
      <c r="P107" s="18" t="s">
        <v>269</v>
      </c>
      <c r="Q107" s="18" t="s">
        <v>269</v>
      </c>
      <c r="R107" s="21" t="s">
        <v>341</v>
      </c>
      <c r="S107" s="18" t="s">
        <v>269</v>
      </c>
      <c r="T107" s="18" t="s">
        <v>269</v>
      </c>
      <c r="U107" s="25"/>
      <c r="V107" s="18" t="s">
        <v>269</v>
      </c>
      <c r="W107" s="38"/>
      <c r="X107" s="19"/>
      <c r="Y107" s="20" t="s">
        <v>268</v>
      </c>
      <c r="Z107" s="19" t="s">
        <v>561</v>
      </c>
      <c r="AA107" s="19"/>
      <c r="AB107" s="19"/>
    </row>
    <row r="108" spans="2:28" x14ac:dyDescent="0.2">
      <c r="B108" s="30" t="s">
        <v>254</v>
      </c>
      <c r="C108" s="30">
        <v>99</v>
      </c>
      <c r="D108" s="30" t="s">
        <v>254</v>
      </c>
      <c r="E108" s="112" t="s">
        <v>971</v>
      </c>
      <c r="F108" s="112" t="s">
        <v>978</v>
      </c>
      <c r="G108" s="112" t="s">
        <v>973</v>
      </c>
      <c r="H108" s="112" t="s">
        <v>980</v>
      </c>
      <c r="I108" s="18" t="s">
        <v>269</v>
      </c>
      <c r="J108" s="18" t="s">
        <v>269</v>
      </c>
      <c r="K108" s="18" t="s">
        <v>269</v>
      </c>
      <c r="L108" s="18" t="s">
        <v>269</v>
      </c>
      <c r="M108" s="18" t="s">
        <v>269</v>
      </c>
      <c r="N108" s="18" t="s">
        <v>269</v>
      </c>
      <c r="O108" s="30" t="s">
        <v>235</v>
      </c>
      <c r="P108" s="30" t="s">
        <v>102</v>
      </c>
      <c r="Q108" s="18" t="s">
        <v>269</v>
      </c>
      <c r="R108" s="21" t="s">
        <v>342</v>
      </c>
      <c r="S108" s="18" t="s">
        <v>269</v>
      </c>
      <c r="T108" s="21" t="s">
        <v>357</v>
      </c>
      <c r="U108" s="25"/>
      <c r="V108" s="18" t="s">
        <v>269</v>
      </c>
      <c r="W108" s="38"/>
      <c r="X108" s="19"/>
      <c r="Y108" s="20" t="s">
        <v>268</v>
      </c>
      <c r="Z108" s="19" t="s">
        <v>561</v>
      </c>
      <c r="AA108" s="19"/>
      <c r="AB108" s="19"/>
    </row>
    <row r="109" spans="2:28" x14ac:dyDescent="0.2">
      <c r="B109" s="28" t="s">
        <v>257</v>
      </c>
      <c r="C109" s="17">
        <v>100</v>
      </c>
      <c r="D109" s="18" t="s">
        <v>269</v>
      </c>
      <c r="E109" s="18" t="s">
        <v>269</v>
      </c>
      <c r="F109" s="18" t="s">
        <v>269</v>
      </c>
      <c r="G109" s="18" t="s">
        <v>269</v>
      </c>
      <c r="H109" s="18" t="s">
        <v>269</v>
      </c>
      <c r="I109" s="18" t="s">
        <v>269</v>
      </c>
      <c r="J109" s="18" t="s">
        <v>269</v>
      </c>
      <c r="K109" s="18" t="s">
        <v>269</v>
      </c>
      <c r="L109" s="18" t="s">
        <v>269</v>
      </c>
      <c r="M109" s="18" t="s">
        <v>269</v>
      </c>
      <c r="N109" s="18" t="s">
        <v>269</v>
      </c>
      <c r="O109" s="18" t="s">
        <v>269</v>
      </c>
      <c r="P109" s="18" t="s">
        <v>269</v>
      </c>
      <c r="Q109" s="18" t="s">
        <v>269</v>
      </c>
      <c r="R109" s="18" t="s">
        <v>269</v>
      </c>
      <c r="S109" s="18" t="s">
        <v>269</v>
      </c>
      <c r="T109" s="18" t="s">
        <v>269</v>
      </c>
      <c r="U109" s="28" t="s">
        <v>257</v>
      </c>
      <c r="V109" s="18" t="s">
        <v>269</v>
      </c>
      <c r="W109" s="38"/>
      <c r="X109" s="19" t="s">
        <v>544</v>
      </c>
      <c r="Y109" s="20" t="s">
        <v>555</v>
      </c>
      <c r="Z109" s="20" t="s">
        <v>555</v>
      </c>
      <c r="AA109" s="19"/>
      <c r="AB109" s="19"/>
    </row>
    <row r="110" spans="2:28" x14ac:dyDescent="0.55000000000000004">
      <c r="W110" s="100"/>
      <c r="X110" s="100"/>
      <c r="Y110" s="100"/>
      <c r="Z110" s="100"/>
      <c r="AA110" s="100"/>
      <c r="AB110" s="100"/>
    </row>
    <row r="111" spans="2:28" x14ac:dyDescent="0.55000000000000004">
      <c r="W111" s="100"/>
      <c r="X111" s="100"/>
      <c r="Y111" s="100"/>
      <c r="Z111" s="100"/>
      <c r="AA111" s="100"/>
      <c r="AB111" s="100"/>
    </row>
    <row r="112" spans="2:28" x14ac:dyDescent="0.55000000000000004">
      <c r="B112" s="10" t="s">
        <v>836</v>
      </c>
      <c r="W112" s="100"/>
      <c r="X112" s="100"/>
      <c r="Y112" s="100"/>
      <c r="Z112" s="100"/>
      <c r="AA112" s="100"/>
      <c r="AB112" s="100"/>
    </row>
    <row r="113" spans="2:28" x14ac:dyDescent="0.55000000000000004">
      <c r="B113" s="10" t="s">
        <v>573</v>
      </c>
      <c r="W113" s="100"/>
      <c r="X113" s="100"/>
      <c r="Y113" s="100"/>
      <c r="Z113" s="100"/>
      <c r="AA113" s="100"/>
      <c r="AB113" s="100"/>
    </row>
    <row r="114" spans="2:28" x14ac:dyDescent="0.55000000000000004">
      <c r="B114" s="10" t="s">
        <v>838</v>
      </c>
      <c r="W114" s="100"/>
      <c r="X114" s="100"/>
      <c r="Y114" s="100"/>
      <c r="Z114" s="100"/>
      <c r="AA114" s="100"/>
      <c r="AB114" s="100"/>
    </row>
    <row r="115" spans="2:28" x14ac:dyDescent="0.55000000000000004">
      <c r="B115" s="10" t="s">
        <v>835</v>
      </c>
      <c r="W115" s="100"/>
      <c r="X115" s="100"/>
      <c r="Y115" s="100"/>
      <c r="Z115" s="100"/>
      <c r="AA115" s="100"/>
      <c r="AB115" s="100"/>
    </row>
    <row r="116" spans="2:28" x14ac:dyDescent="0.55000000000000004">
      <c r="B116" s="10" t="s">
        <v>837</v>
      </c>
      <c r="W116" s="100"/>
      <c r="X116" s="100"/>
      <c r="Y116" s="100"/>
      <c r="Z116" s="100"/>
      <c r="AA116" s="100"/>
      <c r="AB116" s="100"/>
    </row>
    <row r="117" spans="2:28" x14ac:dyDescent="0.55000000000000004">
      <c r="W117" s="100"/>
      <c r="X117" s="100"/>
      <c r="Y117" s="100"/>
      <c r="Z117" s="100"/>
      <c r="AA117" s="100"/>
      <c r="AB117" s="100"/>
    </row>
    <row r="118" spans="2:28" x14ac:dyDescent="0.55000000000000004">
      <c r="W118" s="100"/>
      <c r="X118" s="100"/>
      <c r="Y118" s="100"/>
      <c r="Z118" s="100"/>
      <c r="AA118" s="100"/>
      <c r="AB118" s="100"/>
    </row>
    <row r="119" spans="2:28" x14ac:dyDescent="0.55000000000000004">
      <c r="W119" s="100"/>
      <c r="X119" s="100"/>
      <c r="Y119" s="100"/>
      <c r="Z119" s="100"/>
      <c r="AA119" s="100"/>
      <c r="AB119" s="100"/>
    </row>
    <row r="120" spans="2:28" x14ac:dyDescent="0.55000000000000004">
      <c r="W120" s="100"/>
      <c r="X120" s="100"/>
      <c r="Y120" s="100"/>
      <c r="Z120" s="100"/>
      <c r="AA120" s="100"/>
      <c r="AB120" s="100"/>
    </row>
    <row r="121" spans="2:28" x14ac:dyDescent="0.55000000000000004">
      <c r="W121" s="100"/>
      <c r="X121" s="100"/>
      <c r="Y121" s="100"/>
      <c r="Z121" s="100"/>
      <c r="AA121" s="100"/>
      <c r="AB121" s="100"/>
    </row>
    <row r="122" spans="2:28" x14ac:dyDescent="0.55000000000000004">
      <c r="W122" s="100"/>
      <c r="X122" s="100"/>
      <c r="Y122" s="100"/>
      <c r="Z122" s="100"/>
      <c r="AA122" s="100"/>
      <c r="AB122" s="100"/>
    </row>
    <row r="123" spans="2:28" x14ac:dyDescent="0.55000000000000004">
      <c r="W123" s="100"/>
      <c r="X123" s="100"/>
      <c r="Y123" s="100"/>
      <c r="Z123" s="100"/>
      <c r="AA123" s="100"/>
      <c r="AB123" s="100"/>
    </row>
    <row r="124" spans="2:28" x14ac:dyDescent="0.55000000000000004">
      <c r="W124" s="100"/>
      <c r="X124" s="100"/>
      <c r="Y124" s="100"/>
      <c r="Z124" s="100"/>
      <c r="AA124" s="100"/>
      <c r="AB124" s="100"/>
    </row>
    <row r="125" spans="2:28" x14ac:dyDescent="0.55000000000000004">
      <c r="W125" s="100"/>
      <c r="X125" s="100"/>
      <c r="Y125" s="100"/>
      <c r="Z125" s="100"/>
      <c r="AA125" s="100"/>
      <c r="AB125" s="100"/>
    </row>
    <row r="126" spans="2:28" x14ac:dyDescent="0.55000000000000004">
      <c r="W126" s="100"/>
      <c r="X126" s="100"/>
      <c r="Y126" s="100"/>
      <c r="Z126" s="100"/>
      <c r="AA126" s="100"/>
      <c r="AB126" s="100"/>
    </row>
    <row r="127" spans="2:28" ht="15" customHeight="1" x14ac:dyDescent="0.35">
      <c r="D127" s="117" t="s">
        <v>847</v>
      </c>
      <c r="E127" s="117"/>
      <c r="F127" s="117"/>
      <c r="G127" s="117"/>
      <c r="H127" s="117"/>
      <c r="I127" s="117"/>
      <c r="J127" s="117"/>
      <c r="K127" s="117"/>
      <c r="L127" s="117"/>
      <c r="M127" s="117"/>
      <c r="N127" s="117"/>
      <c r="O127" s="117"/>
      <c r="P127" s="117"/>
      <c r="Q127" s="117"/>
      <c r="W127" s="100"/>
      <c r="X127" s="100"/>
      <c r="Y127" s="100"/>
      <c r="Z127" s="100"/>
      <c r="AA127" s="100"/>
      <c r="AB127" s="100"/>
    </row>
    <row r="128" spans="2:28" ht="172" customHeight="1" x14ac:dyDescent="0.55000000000000004">
      <c r="D128" s="116" t="s">
        <v>848</v>
      </c>
      <c r="E128" s="116"/>
      <c r="F128" s="116"/>
      <c r="G128" s="116"/>
      <c r="H128" s="116"/>
      <c r="I128" s="116"/>
      <c r="J128" s="116"/>
      <c r="K128" s="116"/>
      <c r="L128" s="116"/>
      <c r="M128" s="116"/>
      <c r="N128" s="116"/>
      <c r="O128" s="116"/>
      <c r="P128" s="116"/>
      <c r="Q128" s="116"/>
      <c r="W128" s="100"/>
      <c r="X128" s="100"/>
      <c r="Y128" s="100"/>
      <c r="Z128" s="100"/>
      <c r="AA128" s="100"/>
      <c r="AB128" s="100"/>
    </row>
    <row r="129" spans="23:28" x14ac:dyDescent="0.55000000000000004">
      <c r="W129" s="100"/>
      <c r="X129" s="100"/>
      <c r="Y129" s="100"/>
      <c r="Z129" s="100"/>
      <c r="AA129" s="100"/>
      <c r="AB129" s="100"/>
    </row>
    <row r="130" spans="23:28" x14ac:dyDescent="0.55000000000000004">
      <c r="W130" s="100"/>
      <c r="X130" s="100"/>
      <c r="Y130" s="100"/>
      <c r="Z130" s="100"/>
      <c r="AA130" s="100"/>
      <c r="AB130" s="100"/>
    </row>
    <row r="131" spans="23:28" x14ac:dyDescent="0.55000000000000004">
      <c r="W131" s="100"/>
      <c r="X131" s="100"/>
      <c r="Y131" s="100"/>
      <c r="Z131" s="100"/>
      <c r="AA131" s="100"/>
      <c r="AB131" s="100"/>
    </row>
    <row r="132" spans="23:28" x14ac:dyDescent="0.55000000000000004">
      <c r="W132" s="100"/>
      <c r="X132" s="100"/>
      <c r="Y132" s="100"/>
      <c r="Z132" s="100"/>
      <c r="AA132" s="100"/>
      <c r="AB132" s="100"/>
    </row>
    <row r="133" spans="23:28" x14ac:dyDescent="0.55000000000000004">
      <c r="W133" s="100"/>
      <c r="X133" s="100"/>
      <c r="Y133" s="100"/>
      <c r="Z133" s="100"/>
      <c r="AA133" s="100"/>
      <c r="AB133" s="100"/>
    </row>
    <row r="134" spans="23:28" x14ac:dyDescent="0.55000000000000004">
      <c r="W134" s="100"/>
      <c r="X134" s="100"/>
      <c r="Y134" s="100"/>
      <c r="Z134" s="100"/>
      <c r="AA134" s="100"/>
      <c r="AB134" s="100"/>
    </row>
    <row r="135" spans="23:28" x14ac:dyDescent="0.55000000000000004">
      <c r="W135" s="100"/>
      <c r="X135" s="100"/>
      <c r="Y135" s="100"/>
      <c r="Z135" s="100"/>
      <c r="AA135" s="100"/>
      <c r="AB135" s="100"/>
    </row>
    <row r="136" spans="23:28" x14ac:dyDescent="0.55000000000000004">
      <c r="W136" s="100"/>
      <c r="X136" s="100"/>
      <c r="Y136" s="100"/>
      <c r="Z136" s="100"/>
      <c r="AA136" s="100"/>
      <c r="AB136" s="100"/>
    </row>
    <row r="137" spans="23:28" x14ac:dyDescent="0.55000000000000004">
      <c r="W137" s="100"/>
      <c r="X137" s="100"/>
      <c r="Y137" s="100"/>
      <c r="Z137" s="100"/>
      <c r="AA137" s="100"/>
      <c r="AB137" s="100"/>
    </row>
    <row r="138" spans="23:28" x14ac:dyDescent="0.55000000000000004">
      <c r="W138" s="100"/>
      <c r="X138" s="100"/>
      <c r="Y138" s="100"/>
      <c r="Z138" s="100"/>
      <c r="AA138" s="100"/>
      <c r="AB138" s="100"/>
    </row>
    <row r="139" spans="23:28" x14ac:dyDescent="0.55000000000000004">
      <c r="W139" s="100"/>
      <c r="X139" s="100"/>
      <c r="Y139" s="100"/>
      <c r="Z139" s="100"/>
      <c r="AA139" s="100"/>
      <c r="AB139" s="100"/>
    </row>
    <row r="140" spans="23:28" x14ac:dyDescent="0.55000000000000004">
      <c r="W140" s="100"/>
      <c r="X140" s="100"/>
      <c r="Y140" s="100"/>
      <c r="Z140" s="100"/>
      <c r="AA140" s="100"/>
      <c r="AB140" s="100"/>
    </row>
    <row r="141" spans="23:28" x14ac:dyDescent="0.55000000000000004">
      <c r="W141" s="100"/>
      <c r="X141" s="100"/>
      <c r="Y141" s="100"/>
      <c r="Z141" s="100"/>
      <c r="AA141" s="100"/>
      <c r="AB141" s="100"/>
    </row>
    <row r="142" spans="23:28" x14ac:dyDescent="0.55000000000000004">
      <c r="W142" s="100"/>
      <c r="X142" s="100"/>
      <c r="Y142" s="100"/>
      <c r="Z142" s="100"/>
      <c r="AA142" s="100"/>
      <c r="AB142" s="100"/>
    </row>
    <row r="143" spans="23:28" x14ac:dyDescent="0.55000000000000004">
      <c r="W143" s="100"/>
      <c r="X143" s="100"/>
      <c r="Y143" s="100"/>
      <c r="Z143" s="100"/>
      <c r="AA143" s="100"/>
      <c r="AB143" s="100"/>
    </row>
    <row r="144" spans="23:28" x14ac:dyDescent="0.55000000000000004">
      <c r="W144" s="100"/>
      <c r="X144" s="100"/>
      <c r="Y144" s="100"/>
      <c r="Z144" s="100"/>
      <c r="AA144" s="100"/>
      <c r="AB144" s="100"/>
    </row>
    <row r="145" spans="23:28" x14ac:dyDescent="0.55000000000000004">
      <c r="W145" s="100"/>
      <c r="X145" s="100"/>
      <c r="Y145" s="100"/>
      <c r="Z145" s="100"/>
      <c r="AA145" s="100"/>
      <c r="AB145" s="100"/>
    </row>
    <row r="146" spans="23:28" x14ac:dyDescent="0.55000000000000004">
      <c r="W146" s="100"/>
      <c r="X146" s="100"/>
      <c r="Y146" s="100"/>
      <c r="Z146" s="100"/>
      <c r="AA146" s="100"/>
      <c r="AB146" s="100"/>
    </row>
    <row r="147" spans="23:28" x14ac:dyDescent="0.55000000000000004">
      <c r="W147" s="100"/>
      <c r="X147" s="100"/>
      <c r="Y147" s="100"/>
      <c r="Z147" s="100"/>
      <c r="AA147" s="100"/>
      <c r="AB147" s="100"/>
    </row>
    <row r="148" spans="23:28" x14ac:dyDescent="0.55000000000000004">
      <c r="W148" s="100"/>
      <c r="X148" s="100"/>
      <c r="Y148" s="100"/>
      <c r="Z148" s="100"/>
      <c r="AA148" s="100"/>
      <c r="AB148" s="100"/>
    </row>
    <row r="149" spans="23:28" x14ac:dyDescent="0.55000000000000004">
      <c r="W149" s="100"/>
      <c r="X149" s="100"/>
      <c r="Y149" s="100"/>
      <c r="Z149" s="100"/>
      <c r="AA149" s="100"/>
      <c r="AB149" s="100"/>
    </row>
    <row r="150" spans="23:28" x14ac:dyDescent="0.55000000000000004">
      <c r="W150" s="100"/>
      <c r="X150" s="100"/>
      <c r="Y150" s="100"/>
      <c r="Z150" s="100"/>
      <c r="AA150" s="100"/>
      <c r="AB150" s="100"/>
    </row>
    <row r="151" spans="23:28" x14ac:dyDescent="0.55000000000000004">
      <c r="W151" s="100"/>
      <c r="X151" s="100"/>
      <c r="Y151" s="100"/>
      <c r="Z151" s="100"/>
      <c r="AA151" s="100"/>
      <c r="AB151" s="100"/>
    </row>
    <row r="152" spans="23:28" x14ac:dyDescent="0.55000000000000004">
      <c r="W152" s="100"/>
      <c r="X152" s="100"/>
      <c r="Y152" s="100"/>
      <c r="Z152" s="100"/>
      <c r="AA152" s="100"/>
      <c r="AB152" s="100"/>
    </row>
    <row r="153" spans="23:28" x14ac:dyDescent="0.55000000000000004">
      <c r="W153" s="100"/>
      <c r="X153" s="100"/>
      <c r="Y153" s="100"/>
      <c r="Z153" s="100"/>
      <c r="AA153" s="100"/>
      <c r="AB153" s="100"/>
    </row>
    <row r="154" spans="23:28" x14ac:dyDescent="0.55000000000000004">
      <c r="W154" s="100"/>
      <c r="X154" s="100"/>
      <c r="Y154" s="100"/>
      <c r="Z154" s="100"/>
      <c r="AA154" s="100"/>
      <c r="AB154" s="100"/>
    </row>
    <row r="155" spans="23:28" x14ac:dyDescent="0.55000000000000004">
      <c r="W155" s="100"/>
      <c r="X155" s="100"/>
      <c r="Y155" s="100"/>
      <c r="Z155" s="100"/>
      <c r="AA155" s="100"/>
      <c r="AB155" s="100"/>
    </row>
    <row r="156" spans="23:28" x14ac:dyDescent="0.55000000000000004">
      <c r="W156" s="100"/>
      <c r="X156" s="100"/>
      <c r="Y156" s="100"/>
      <c r="Z156" s="100"/>
      <c r="AA156" s="100"/>
      <c r="AB156" s="100"/>
    </row>
    <row r="157" spans="23:28" x14ac:dyDescent="0.55000000000000004">
      <c r="W157" s="100"/>
      <c r="X157" s="100"/>
      <c r="Y157" s="100"/>
      <c r="Z157" s="100"/>
    </row>
    <row r="158" spans="23:28" x14ac:dyDescent="0.55000000000000004">
      <c r="W158" s="100"/>
      <c r="X158" s="100"/>
      <c r="Y158" s="100"/>
      <c r="Z158" s="100"/>
    </row>
    <row r="159" spans="23:28" x14ac:dyDescent="0.55000000000000004">
      <c r="W159" s="100"/>
      <c r="X159" s="100"/>
      <c r="Y159" s="100"/>
      <c r="Z159" s="100"/>
    </row>
    <row r="160" spans="23:28" x14ac:dyDescent="0.55000000000000004">
      <c r="W160" s="100"/>
      <c r="X160" s="100"/>
      <c r="Y160" s="100"/>
      <c r="Z160" s="100"/>
    </row>
    <row r="161" spans="23:26" x14ac:dyDescent="0.55000000000000004">
      <c r="W161" s="100"/>
      <c r="X161" s="100"/>
      <c r="Y161" s="100"/>
      <c r="Z161" s="100"/>
    </row>
    <row r="162" spans="23:26" x14ac:dyDescent="0.55000000000000004">
      <c r="W162" s="100"/>
      <c r="X162" s="100"/>
      <c r="Y162" s="100"/>
      <c r="Z162" s="100"/>
    </row>
    <row r="163" spans="23:26" x14ac:dyDescent="0.55000000000000004">
      <c r="W163" s="100"/>
      <c r="X163" s="100"/>
      <c r="Y163" s="100"/>
      <c r="Z163" s="100"/>
    </row>
    <row r="164" spans="23:26" x14ac:dyDescent="0.55000000000000004">
      <c r="W164" s="100"/>
      <c r="X164" s="100"/>
      <c r="Y164" s="100"/>
      <c r="Z164" s="100"/>
    </row>
    <row r="165" spans="23:26" x14ac:dyDescent="0.55000000000000004">
      <c r="W165" s="100"/>
      <c r="X165" s="100"/>
      <c r="Y165" s="100"/>
      <c r="Z165" s="100"/>
    </row>
    <row r="166" spans="23:26" x14ac:dyDescent="0.55000000000000004">
      <c r="W166" s="100"/>
      <c r="X166" s="100"/>
      <c r="Y166" s="100"/>
      <c r="Z166" s="100"/>
    </row>
    <row r="167" spans="23:26" x14ac:dyDescent="0.55000000000000004">
      <c r="W167" s="100"/>
      <c r="X167" s="100"/>
      <c r="Y167" s="100"/>
      <c r="Z167" s="100"/>
    </row>
    <row r="168" spans="23:26" x14ac:dyDescent="0.55000000000000004">
      <c r="W168" s="100"/>
      <c r="X168" s="100"/>
      <c r="Y168" s="100"/>
      <c r="Z168" s="100"/>
    </row>
    <row r="169" spans="23:26" x14ac:dyDescent="0.55000000000000004">
      <c r="W169" s="100"/>
      <c r="X169" s="100"/>
      <c r="Y169" s="100"/>
      <c r="Z169" s="100"/>
    </row>
    <row r="170" spans="23:26" x14ac:dyDescent="0.55000000000000004">
      <c r="W170" s="100"/>
      <c r="X170" s="100"/>
      <c r="Y170" s="100"/>
      <c r="Z170" s="100"/>
    </row>
    <row r="171" spans="23:26" x14ac:dyDescent="0.55000000000000004">
      <c r="W171" s="100"/>
      <c r="X171" s="100"/>
      <c r="Y171" s="100"/>
      <c r="Z171" s="100"/>
    </row>
    <row r="172" spans="23:26" x14ac:dyDescent="0.55000000000000004">
      <c r="W172" s="100"/>
      <c r="X172" s="100"/>
      <c r="Y172" s="100"/>
      <c r="Z172" s="100"/>
    </row>
    <row r="173" spans="23:26" x14ac:dyDescent="0.55000000000000004">
      <c r="W173" s="100"/>
      <c r="X173" s="100"/>
      <c r="Y173" s="100"/>
      <c r="Z173" s="100"/>
    </row>
    <row r="174" spans="23:26" x14ac:dyDescent="0.55000000000000004">
      <c r="W174" s="100"/>
      <c r="X174" s="100"/>
      <c r="Y174" s="100"/>
      <c r="Z174" s="100"/>
    </row>
    <row r="175" spans="23:26" x14ac:dyDescent="0.55000000000000004">
      <c r="W175" s="100"/>
      <c r="X175" s="100"/>
      <c r="Y175" s="100"/>
      <c r="Z175" s="100"/>
    </row>
    <row r="176" spans="23:26" x14ac:dyDescent="0.55000000000000004">
      <c r="W176" s="100"/>
      <c r="X176" s="100"/>
      <c r="Y176" s="100"/>
      <c r="Z176" s="100"/>
    </row>
    <row r="177" spans="23:26" x14ac:dyDescent="0.55000000000000004">
      <c r="W177" s="100"/>
      <c r="X177" s="100"/>
      <c r="Y177" s="100"/>
      <c r="Z177" s="100"/>
    </row>
    <row r="178" spans="23:26" x14ac:dyDescent="0.55000000000000004">
      <c r="W178" s="100"/>
      <c r="X178" s="100"/>
      <c r="Y178" s="100"/>
      <c r="Z178" s="100"/>
    </row>
    <row r="179" spans="23:26" x14ac:dyDescent="0.55000000000000004">
      <c r="W179" s="100"/>
      <c r="X179" s="100"/>
      <c r="Y179" s="100"/>
      <c r="Z179" s="100"/>
    </row>
    <row r="180" spans="23:26" x14ac:dyDescent="0.55000000000000004">
      <c r="W180" s="100"/>
      <c r="X180" s="100"/>
      <c r="Y180" s="100"/>
      <c r="Z180" s="100"/>
    </row>
    <row r="181" spans="23:26" x14ac:dyDescent="0.55000000000000004">
      <c r="W181" s="100"/>
      <c r="X181" s="100"/>
      <c r="Y181" s="100"/>
      <c r="Z181" s="100"/>
    </row>
    <row r="182" spans="23:26" x14ac:dyDescent="0.55000000000000004">
      <c r="W182" s="100"/>
      <c r="X182" s="100"/>
      <c r="Y182" s="100"/>
      <c r="Z182" s="100"/>
    </row>
    <row r="183" spans="23:26" x14ac:dyDescent="0.55000000000000004">
      <c r="W183" s="100"/>
      <c r="X183" s="100"/>
      <c r="Y183" s="100"/>
      <c r="Z183" s="100"/>
    </row>
    <row r="184" spans="23:26" x14ac:dyDescent="0.55000000000000004">
      <c r="W184" s="100"/>
      <c r="X184" s="100"/>
      <c r="Y184" s="100"/>
      <c r="Z184" s="100"/>
    </row>
    <row r="185" spans="23:26" x14ac:dyDescent="0.55000000000000004">
      <c r="W185" s="100"/>
      <c r="X185" s="100"/>
      <c r="Y185" s="100"/>
      <c r="Z185" s="100"/>
    </row>
    <row r="186" spans="23:26" x14ac:dyDescent="0.55000000000000004">
      <c r="W186" s="100"/>
      <c r="X186" s="100"/>
      <c r="Y186" s="100"/>
      <c r="Z186" s="100"/>
    </row>
    <row r="187" spans="23:26" x14ac:dyDescent="0.55000000000000004">
      <c r="W187" s="100"/>
      <c r="X187" s="100"/>
      <c r="Y187" s="100"/>
      <c r="Z187" s="100"/>
    </row>
    <row r="188" spans="23:26" x14ac:dyDescent="0.55000000000000004">
      <c r="W188" s="100"/>
      <c r="X188" s="100"/>
      <c r="Y188" s="100"/>
      <c r="Z188" s="100"/>
    </row>
    <row r="189" spans="23:26" x14ac:dyDescent="0.55000000000000004">
      <c r="W189" s="100"/>
      <c r="X189" s="100"/>
      <c r="Y189" s="100"/>
      <c r="Z189" s="100"/>
    </row>
    <row r="190" spans="23:26" x14ac:dyDescent="0.55000000000000004">
      <c r="W190" s="100"/>
      <c r="X190" s="100"/>
      <c r="Y190" s="100"/>
      <c r="Z190" s="100"/>
    </row>
    <row r="191" spans="23:26" x14ac:dyDescent="0.55000000000000004">
      <c r="W191" s="100"/>
      <c r="X191" s="100"/>
      <c r="Y191" s="100"/>
      <c r="Z191" s="100"/>
    </row>
    <row r="192" spans="23:26" x14ac:dyDescent="0.55000000000000004">
      <c r="W192" s="100"/>
      <c r="X192" s="100"/>
      <c r="Y192" s="100"/>
      <c r="Z192" s="100"/>
    </row>
    <row r="193" spans="23:26" x14ac:dyDescent="0.55000000000000004">
      <c r="W193" s="100"/>
      <c r="X193" s="100"/>
      <c r="Y193" s="100"/>
      <c r="Z193" s="100"/>
    </row>
    <row r="194" spans="23:26" x14ac:dyDescent="0.55000000000000004">
      <c r="W194" s="100"/>
      <c r="X194" s="100"/>
      <c r="Y194" s="100"/>
      <c r="Z194" s="100"/>
    </row>
    <row r="195" spans="23:26" x14ac:dyDescent="0.55000000000000004">
      <c r="W195" s="100"/>
      <c r="X195" s="100"/>
      <c r="Y195" s="100"/>
      <c r="Z195" s="100"/>
    </row>
    <row r="196" spans="23:26" x14ac:dyDescent="0.55000000000000004">
      <c r="W196" s="100"/>
      <c r="X196" s="100"/>
      <c r="Y196" s="100"/>
      <c r="Z196" s="100"/>
    </row>
    <row r="197" spans="23:26" x14ac:dyDescent="0.55000000000000004">
      <c r="W197" s="100"/>
      <c r="X197" s="100"/>
      <c r="Y197" s="100"/>
      <c r="Z197" s="100"/>
    </row>
    <row r="198" spans="23:26" x14ac:dyDescent="0.55000000000000004">
      <c r="W198" s="100"/>
      <c r="X198" s="100"/>
      <c r="Y198" s="100"/>
      <c r="Z198" s="100"/>
    </row>
    <row r="199" spans="23:26" x14ac:dyDescent="0.55000000000000004">
      <c r="W199" s="100"/>
      <c r="X199" s="100"/>
      <c r="Y199" s="100"/>
      <c r="Z199" s="100"/>
    </row>
    <row r="200" spans="23:26" x14ac:dyDescent="0.55000000000000004">
      <c r="W200" s="100"/>
      <c r="X200" s="100"/>
      <c r="Y200" s="100"/>
      <c r="Z200" s="100"/>
    </row>
    <row r="201" spans="23:26" x14ac:dyDescent="0.55000000000000004">
      <c r="W201" s="100"/>
      <c r="X201" s="100"/>
      <c r="Y201" s="100"/>
      <c r="Z201" s="100"/>
    </row>
    <row r="202" spans="23:26" x14ac:dyDescent="0.55000000000000004">
      <c r="W202" s="100"/>
      <c r="X202" s="100"/>
      <c r="Y202" s="100"/>
      <c r="Z202" s="100"/>
    </row>
    <row r="203" spans="23:26" x14ac:dyDescent="0.55000000000000004">
      <c r="W203" s="100"/>
      <c r="X203" s="100"/>
      <c r="Y203" s="100"/>
      <c r="Z203" s="100"/>
    </row>
    <row r="204" spans="23:26" x14ac:dyDescent="0.55000000000000004">
      <c r="W204" s="100"/>
      <c r="X204" s="100"/>
      <c r="Y204" s="100"/>
      <c r="Z204" s="100"/>
    </row>
    <row r="205" spans="23:26" x14ac:dyDescent="0.55000000000000004">
      <c r="W205" s="100"/>
      <c r="X205" s="100"/>
      <c r="Y205" s="100"/>
      <c r="Z205" s="100"/>
    </row>
    <row r="206" spans="23:26" x14ac:dyDescent="0.55000000000000004">
      <c r="W206" s="100"/>
      <c r="X206" s="100"/>
      <c r="Y206" s="100"/>
      <c r="Z206" s="100"/>
    </row>
    <row r="207" spans="23:26" x14ac:dyDescent="0.55000000000000004">
      <c r="W207" s="100"/>
      <c r="X207" s="100"/>
      <c r="Y207" s="100"/>
      <c r="Z207" s="100"/>
    </row>
    <row r="208" spans="23:26" x14ac:dyDescent="0.55000000000000004">
      <c r="W208" s="100"/>
      <c r="X208" s="100"/>
      <c r="Y208" s="100"/>
      <c r="Z208" s="100"/>
    </row>
    <row r="209" spans="23:26" x14ac:dyDescent="0.55000000000000004">
      <c r="W209" s="100"/>
      <c r="X209" s="100"/>
      <c r="Y209" s="100"/>
      <c r="Z209" s="100"/>
    </row>
    <row r="210" spans="23:26" x14ac:dyDescent="0.55000000000000004">
      <c r="W210" s="100"/>
      <c r="X210" s="100"/>
      <c r="Y210" s="100"/>
      <c r="Z210" s="100"/>
    </row>
    <row r="211" spans="23:26" x14ac:dyDescent="0.55000000000000004">
      <c r="W211" s="100"/>
      <c r="X211" s="100"/>
      <c r="Y211" s="100"/>
      <c r="Z211" s="100"/>
    </row>
    <row r="212" spans="23:26" x14ac:dyDescent="0.55000000000000004">
      <c r="W212" s="100"/>
      <c r="X212" s="100"/>
      <c r="Y212" s="100"/>
      <c r="Z212" s="100"/>
    </row>
    <row r="213" spans="23:26" x14ac:dyDescent="0.55000000000000004">
      <c r="W213" s="100"/>
      <c r="X213" s="100"/>
      <c r="Y213" s="100"/>
      <c r="Z213" s="100"/>
    </row>
    <row r="214" spans="23:26" x14ac:dyDescent="0.55000000000000004">
      <c r="W214" s="100"/>
      <c r="X214" s="100"/>
      <c r="Y214" s="100"/>
      <c r="Z214" s="100"/>
    </row>
    <row r="215" spans="23:26" x14ac:dyDescent="0.55000000000000004">
      <c r="W215" s="100"/>
      <c r="X215" s="100"/>
      <c r="Y215" s="100"/>
      <c r="Z215" s="100"/>
    </row>
    <row r="216" spans="23:26" x14ac:dyDescent="0.55000000000000004">
      <c r="W216" s="100"/>
      <c r="X216" s="100"/>
      <c r="Y216" s="100"/>
      <c r="Z216" s="100"/>
    </row>
    <row r="217" spans="23:26" x14ac:dyDescent="0.55000000000000004">
      <c r="W217" s="100"/>
      <c r="X217" s="100"/>
      <c r="Y217" s="100"/>
      <c r="Z217" s="100"/>
    </row>
    <row r="218" spans="23:26" x14ac:dyDescent="0.55000000000000004">
      <c r="W218" s="100"/>
      <c r="X218" s="100"/>
      <c r="Y218" s="100"/>
      <c r="Z218" s="100"/>
    </row>
    <row r="219" spans="23:26" x14ac:dyDescent="0.55000000000000004">
      <c r="W219" s="100"/>
      <c r="X219" s="100"/>
      <c r="Y219" s="100"/>
      <c r="Z219" s="100"/>
    </row>
  </sheetData>
  <sheetProtection algorithmName="SHA-512" hashValue="d7q0f3lXJsq+LmOFxUE0n+MNpGYUgil5OZmu03m0ZarB9utLelLXwvj98enveR1yjlsSTRLvIKgc/r6M7dTFQA==" saltValue="SD3seWbOzLhyo5uJCgaRVA==" spinCount="100000" sheet="1" objects="1" scenarios="1" formatCells="0" formatColumns="0" formatRows="0" insertColumns="0" insertRows="0" insertHyperlinks="0" deleteColumns="0" deleteRows="0" selectLockedCells="1" sort="0" autoFilter="0" pivotTables="0"/>
  <mergeCells count="19">
    <mergeCell ref="AA7:AB7"/>
    <mergeCell ref="AA8:AA9"/>
    <mergeCell ref="AB8:AB9"/>
    <mergeCell ref="Z8:Z9"/>
    <mergeCell ref="Q7:S7"/>
    <mergeCell ref="T7:T9"/>
    <mergeCell ref="U8:U9"/>
    <mergeCell ref="W8:W9"/>
    <mergeCell ref="Y8:Y9"/>
    <mergeCell ref="Y7:Z7"/>
    <mergeCell ref="X8:X9"/>
    <mergeCell ref="U7:X7"/>
    <mergeCell ref="V8:V9"/>
    <mergeCell ref="D127:Q127"/>
    <mergeCell ref="D128:Q128"/>
    <mergeCell ref="B7:B9"/>
    <mergeCell ref="I7:K7"/>
    <mergeCell ref="C7:C9"/>
    <mergeCell ref="D7:D9"/>
  </mergeCells>
  <phoneticPr fontId="3"/>
  <conditionalFormatting sqref="U15">
    <cfRule type="colorScale" priority="14">
      <colorScale>
        <cfvo type="min"/>
        <cfvo type="max"/>
        <color rgb="FFFF7128"/>
        <color rgb="FFFFEF9C"/>
      </colorScale>
    </cfRule>
  </conditionalFormatting>
  <conditionalFormatting sqref="U11:U20 U23:U32 U38:U49 U61:U83 U86:U93 U99:U108 U54:V58 V61:V75">
    <cfRule type="notContainsBlanks" dxfId="11" priority="13">
      <formula>LEN(TRIM(U11))&gt;0</formula>
    </cfRule>
  </conditionalFormatting>
  <conditionalFormatting sqref="U11:U20 U23:U32 U38:U49 U54:U58 U61:U83 U86:U93 U99:U108">
    <cfRule type="duplicateValues" dxfId="10" priority="6"/>
  </conditionalFormatting>
  <dataValidations count="98">
    <dataValidation type="list" allowBlank="1" showInputMessage="1" showErrorMessage="1" sqref="U11" xr:uid="{A4F37647-8EE1-4B7B-9558-E98229D1DE3C}">
      <formula1>$D$11:$T$11</formula1>
    </dataValidation>
    <dataValidation type="list" allowBlank="1" showInputMessage="1" showErrorMessage="1" sqref="U12" xr:uid="{FD2E3BCC-AFE2-4C5E-8353-CDA58868410D}">
      <formula1>$D$12:$T$12</formula1>
    </dataValidation>
    <dataValidation type="list" allowBlank="1" showInputMessage="1" showErrorMessage="1" sqref="U13" xr:uid="{675EF0B3-0DE4-4280-8E60-6323FF94DCD2}">
      <formula1>$D$13:$T$13</formula1>
    </dataValidation>
    <dataValidation type="list" allowBlank="1" showInputMessage="1" showErrorMessage="1" sqref="U14" xr:uid="{321ECDEF-5318-430E-817B-95D8776B970E}">
      <formula1>$D$14:$T$14</formula1>
    </dataValidation>
    <dataValidation type="list" allowBlank="1" showInputMessage="1" showErrorMessage="1" sqref="U15" xr:uid="{F1E3BF0C-F6DD-4BDA-A41D-11981816B24E}">
      <formula1>$D$15:$T$15</formula1>
    </dataValidation>
    <dataValidation type="list" allowBlank="1" showInputMessage="1" showErrorMessage="1" sqref="U16" xr:uid="{39A70CB6-BBF3-4327-A978-BE166EB4150F}">
      <formula1>$D$16:$T$16</formula1>
    </dataValidation>
    <dataValidation type="list" allowBlank="1" showInputMessage="1" showErrorMessage="1" sqref="U17" xr:uid="{915A33B0-4D36-49E2-9984-CA8CFF362F2D}">
      <formula1>$D$17:$T$17</formula1>
    </dataValidation>
    <dataValidation type="list" allowBlank="1" showInputMessage="1" showErrorMessage="1" sqref="U18" xr:uid="{19B99A49-B82F-44E9-ABBC-4A42CE3C37D8}">
      <formula1>$D$18:$T$18</formula1>
    </dataValidation>
    <dataValidation type="list" allowBlank="1" showInputMessage="1" showErrorMessage="1" sqref="U19" xr:uid="{D5BDBDA9-DA36-488A-9C08-F720E5186A18}">
      <formula1>$D$19:$T$19</formula1>
    </dataValidation>
    <dataValidation type="list" allowBlank="1" showInputMessage="1" showErrorMessage="1" sqref="U20" xr:uid="{F6EBBC7D-B787-4CC6-A4C9-C9DCAA976710}">
      <formula1>$D$20:$T$20</formula1>
    </dataValidation>
    <dataValidation type="list" allowBlank="1" showInputMessage="1" showErrorMessage="1" sqref="U23" xr:uid="{02B21D0B-82A9-43AC-A13B-B40FA902197E}">
      <formula1>$D$23:$T$23</formula1>
    </dataValidation>
    <dataValidation type="list" allowBlank="1" showInputMessage="1" showErrorMessage="1" sqref="U24" xr:uid="{BC7D9581-8577-4C1D-8F4E-9F2044671C0A}">
      <formula1>$D$24:$T$24</formula1>
    </dataValidation>
    <dataValidation type="list" allowBlank="1" showInputMessage="1" showErrorMessage="1" sqref="U25" xr:uid="{4F3DC792-342F-40B4-9EF4-6CC9E0FD648A}">
      <formula1>$D$25:$T$25</formula1>
    </dataValidation>
    <dataValidation type="list" allowBlank="1" showInputMessage="1" showErrorMessage="1" sqref="U26" xr:uid="{06B38529-90B1-49A0-8E1F-E2AC2358BCD7}">
      <formula1>$D$26:$T$26</formula1>
    </dataValidation>
    <dataValidation type="list" allowBlank="1" showInputMessage="1" showErrorMessage="1" sqref="U27" xr:uid="{E9AB3A88-1AB2-4838-9769-5C207879FAE9}">
      <formula1>$D$27:$T$27</formula1>
    </dataValidation>
    <dataValidation type="list" allowBlank="1" showInputMessage="1" showErrorMessage="1" sqref="U28" xr:uid="{EF7D3F78-92E6-480F-86F8-D89AFAA22F1B}">
      <formula1>$D$28:$T$28</formula1>
    </dataValidation>
    <dataValidation type="list" allowBlank="1" showInputMessage="1" showErrorMessage="1" sqref="U29" xr:uid="{C90A3D45-42DE-42CB-9E68-354069D6D9B1}">
      <formula1>$D$29:$T$29</formula1>
    </dataValidation>
    <dataValidation type="list" allowBlank="1" showInputMessage="1" showErrorMessage="1" sqref="U30" xr:uid="{AC527A59-92F0-4DD7-A4B2-73B495D962B4}">
      <formula1>$D$30:$T$30</formula1>
    </dataValidation>
    <dataValidation type="list" allowBlank="1" showInputMessage="1" showErrorMessage="1" sqref="U32" xr:uid="{E29363EC-2367-4178-AF97-344FC3B7219C}">
      <formula1>$D$32:$T$32</formula1>
    </dataValidation>
    <dataValidation type="list" allowBlank="1" showInputMessage="1" showErrorMessage="1" sqref="U54" xr:uid="{131E9DC1-A3D5-4527-8938-F72CFD0F4E09}">
      <formula1>$D$54:$T$54</formula1>
    </dataValidation>
    <dataValidation type="list" allowBlank="1" showInputMessage="1" showErrorMessage="1" sqref="U55" xr:uid="{11B317DF-9CA0-41A8-BA80-619C97C98785}">
      <formula1>$D$55:$T$55</formula1>
    </dataValidation>
    <dataValidation type="list" allowBlank="1" showInputMessage="1" showErrorMessage="1" sqref="U56" xr:uid="{E1072582-89C8-4073-8F70-70931CA682DC}">
      <formula1>$D$56:$T$56</formula1>
    </dataValidation>
    <dataValidation type="list" allowBlank="1" showInputMessage="1" showErrorMessage="1" sqref="U57" xr:uid="{3B8FB4DB-4372-466A-B7D0-2158ACDAF0F8}">
      <formula1>$D$57:$T$57</formula1>
    </dataValidation>
    <dataValidation type="list" allowBlank="1" showInputMessage="1" showErrorMessage="1" sqref="U58" xr:uid="{1F05B773-D056-4017-98CD-772661E48143}">
      <formula1>$D$58:$T$58</formula1>
    </dataValidation>
    <dataValidation type="list" allowBlank="1" showInputMessage="1" showErrorMessage="1" sqref="U47" xr:uid="{C6DF983F-E790-4643-96ED-5B8BB65A9F45}">
      <formula1>$D$47:$T$47</formula1>
    </dataValidation>
    <dataValidation type="list" allowBlank="1" showInputMessage="1" showErrorMessage="1" sqref="U48" xr:uid="{7902F70A-CA05-4934-B62F-B03EC1B5ED17}">
      <formula1>$D$48:$T$48</formula1>
    </dataValidation>
    <dataValidation type="list" allowBlank="1" showInputMessage="1" showErrorMessage="1" sqref="U49" xr:uid="{C3F6A605-DF0B-4001-9D77-9D4BDF732719}">
      <formula1>$D$49:$T$49</formula1>
    </dataValidation>
    <dataValidation type="list" allowBlank="1" showInputMessage="1" showErrorMessage="1" sqref="U99" xr:uid="{33C58C34-CD46-48F3-86AA-8D0E3259D75D}">
      <formula1>$D$99:$T$99</formula1>
    </dataValidation>
    <dataValidation type="list" allowBlank="1" showInputMessage="1" showErrorMessage="1" sqref="U100" xr:uid="{03F6DA22-39A2-4B31-AA79-7DC6660F66B7}">
      <formula1>$D$100:$T$100</formula1>
    </dataValidation>
    <dataValidation type="list" allowBlank="1" showInputMessage="1" showErrorMessage="1" sqref="U101" xr:uid="{6B1AB1BB-99F8-4F62-974E-FDF5084196C1}">
      <formula1>$D$101:$T$101</formula1>
    </dataValidation>
    <dataValidation type="list" allowBlank="1" showInputMessage="1" showErrorMessage="1" sqref="U102" xr:uid="{2162DDCE-1965-45BB-AA23-B12EA7CDDD1D}">
      <formula1>$D$102:$T$102</formula1>
    </dataValidation>
    <dataValidation type="list" allowBlank="1" showInputMessage="1" showErrorMessage="1" sqref="U103" xr:uid="{C161EAD8-8600-43F0-B171-19E2305F0615}">
      <formula1>$D$103:$T$103</formula1>
    </dataValidation>
    <dataValidation type="list" allowBlank="1" showInputMessage="1" showErrorMessage="1" sqref="U104" xr:uid="{39ADB043-9CE6-42D9-A24D-2CF156193019}">
      <formula1>$D$104:$T$104</formula1>
    </dataValidation>
    <dataValidation type="list" allowBlank="1" showInputMessage="1" showErrorMessage="1" sqref="U105" xr:uid="{9C71F44F-64D4-4B41-9ED6-119579D24922}">
      <formula1>$D$105:$T$105</formula1>
    </dataValidation>
    <dataValidation type="list" allowBlank="1" showInputMessage="1" showErrorMessage="1" sqref="U106" xr:uid="{3F36A0D2-F3D0-42D5-9E39-80CA87B3A5E8}">
      <formula1>$D$106:$T$106</formula1>
    </dataValidation>
    <dataValidation type="list" allowBlank="1" showInputMessage="1" showErrorMessage="1" sqref="U107" xr:uid="{1DF8DBCA-3651-4D8C-AD52-5ACA5048648A}">
      <formula1>$D$107:$T$107</formula1>
    </dataValidation>
    <dataValidation type="list" allowBlank="1" showInputMessage="1" showErrorMessage="1" sqref="U108" xr:uid="{5637AF0A-4B5B-4530-AA1B-F5FDFB8129E6}">
      <formula1>$D$108:$T$108</formula1>
    </dataValidation>
    <dataValidation type="list" allowBlank="1" showInputMessage="1" showErrorMessage="1" sqref="U86" xr:uid="{63125E87-9C62-4651-83C9-7909B3751AE8}">
      <formula1>$D$86:$T$86</formula1>
    </dataValidation>
    <dataValidation type="list" allowBlank="1" showInputMessage="1" showErrorMessage="1" sqref="U87" xr:uid="{3680A0B5-5748-4D81-B3FA-A4778B0D12E1}">
      <formula1>$D$87:$T$87</formula1>
    </dataValidation>
    <dataValidation type="list" allowBlank="1" showInputMessage="1" showErrorMessage="1" sqref="U88" xr:uid="{43843D22-8D42-4A5C-B1EA-8A67B5A3D31C}">
      <formula1>$D$88:$T$88</formula1>
    </dataValidation>
    <dataValidation type="list" allowBlank="1" showInputMessage="1" showErrorMessage="1" sqref="U38" xr:uid="{E31A7C91-918F-4134-87F5-4474FBC259E4}">
      <formula1>$D$38:$T$38</formula1>
    </dataValidation>
    <dataValidation type="list" allowBlank="1" showInputMessage="1" showErrorMessage="1" sqref="U39" xr:uid="{E2D73DEF-3E57-4777-89C8-F6B211DC24B3}">
      <formula1>$D$39:$T$39</formula1>
    </dataValidation>
    <dataValidation type="list" allowBlank="1" showInputMessage="1" showErrorMessage="1" sqref="U40" xr:uid="{118387ED-E994-47A8-B441-E60F072133B0}">
      <formula1>$D$40:$T$40</formula1>
    </dataValidation>
    <dataValidation type="list" allowBlank="1" showInputMessage="1" showErrorMessage="1" sqref="U41" xr:uid="{266B539C-59D9-45C4-A7BC-7536B5C9E3D2}">
      <formula1>$D$41:$T$41</formula1>
    </dataValidation>
    <dataValidation type="list" allowBlank="1" showInputMessage="1" showErrorMessage="1" sqref="U42" xr:uid="{57F86EEE-7D31-4188-8CB1-DAFFB0C7DB2B}">
      <formula1>$D$42:$T$42</formula1>
    </dataValidation>
    <dataValidation type="list" allowBlank="1" showInputMessage="1" showErrorMessage="1" sqref="U43" xr:uid="{A28792BF-CDE6-4760-A982-46035AC4E976}">
      <formula1>$D$43:$T$43</formula1>
    </dataValidation>
    <dataValidation type="list" allowBlank="1" showInputMessage="1" showErrorMessage="1" sqref="U44" xr:uid="{EBE2A672-9850-4174-B781-A77120A1695D}">
      <formula1>$D$44:$T$44</formula1>
    </dataValidation>
    <dataValidation type="list" allowBlank="1" showInputMessage="1" showErrorMessage="1" sqref="U45" xr:uid="{413951B2-9D3A-4ABE-81E6-714C7434B440}">
      <formula1>$D$45:$T$45</formula1>
    </dataValidation>
    <dataValidation type="list" allowBlank="1" showInputMessage="1" showErrorMessage="1" sqref="U46" xr:uid="{D8C32CDE-009F-4A7C-8A6A-58A155EAB45C}">
      <formula1>$D$46:$T$46</formula1>
    </dataValidation>
    <dataValidation type="list" allowBlank="1" showInputMessage="1" showErrorMessage="1" sqref="U89" xr:uid="{D2221216-FD54-4773-83E4-15C88D440E37}">
      <formula1>$D$89:$T$89</formula1>
    </dataValidation>
    <dataValidation type="list" allowBlank="1" showInputMessage="1" showErrorMessage="1" sqref="U90" xr:uid="{65F02F8C-3583-46A9-B220-B5125394422B}">
      <formula1>$D$90:$T$90</formula1>
    </dataValidation>
    <dataValidation type="list" allowBlank="1" showInputMessage="1" showErrorMessage="1" sqref="U91" xr:uid="{7760FEDF-C01E-45B8-9F89-A3CFD1AC0C2F}">
      <formula1>$D$91:$T$91</formula1>
    </dataValidation>
    <dataValidation type="list" allowBlank="1" showInputMessage="1" showErrorMessage="1" sqref="U92" xr:uid="{58CF0792-064A-4842-925C-CD8B41F6ABC7}">
      <formula1>$D$92:$T$92</formula1>
    </dataValidation>
    <dataValidation type="list" allowBlank="1" showInputMessage="1" showErrorMessage="1" sqref="U93" xr:uid="{E528D6ED-CDF4-40EA-A6E9-50D78B83F204}">
      <formula1>$D$93:$T$93</formula1>
    </dataValidation>
    <dataValidation type="list" allowBlank="1" showInputMessage="1" showErrorMessage="1" sqref="U61" xr:uid="{CECD16DA-FAD0-4CF6-A134-8126331E72C1}">
      <formula1>$D$61:$T$61</formula1>
    </dataValidation>
    <dataValidation type="list" allowBlank="1" showInputMessage="1" showErrorMessage="1" sqref="U62" xr:uid="{FDB9F2E6-0F1C-4B29-8B83-D3C4997F230E}">
      <formula1>$D$62:$T$62</formula1>
    </dataValidation>
    <dataValidation type="list" allowBlank="1" showInputMessage="1" showErrorMessage="1" sqref="U63" xr:uid="{5791C869-FBB8-4D9A-A2BC-9CCA5DBBD379}">
      <formula1>$D$63:$T$63</formula1>
    </dataValidation>
    <dataValidation type="list" allowBlank="1" showInputMessage="1" showErrorMessage="1" sqref="U64" xr:uid="{CAC2A31D-B133-4B76-AEC3-9B6754DA177F}">
      <formula1>$D$64:$T$64</formula1>
    </dataValidation>
    <dataValidation type="list" allowBlank="1" showInputMessage="1" showErrorMessage="1" sqref="U65" xr:uid="{2970A4BD-722B-4510-A061-FF622D141733}">
      <formula1>$D$65:$T$65</formula1>
    </dataValidation>
    <dataValidation type="list" allowBlank="1" showInputMessage="1" showErrorMessage="1" sqref="U66" xr:uid="{A42D6CFA-9070-4491-AD74-ACC172180BB9}">
      <formula1>$D$66:$T$66</formula1>
    </dataValidation>
    <dataValidation type="list" allowBlank="1" showInputMessage="1" showErrorMessage="1" sqref="U67" xr:uid="{4C84A502-D0B1-4CEF-93D2-181F9AEBEFA7}">
      <formula1>$D$67:$T$67</formula1>
    </dataValidation>
    <dataValidation type="list" allowBlank="1" showInputMessage="1" showErrorMessage="1" sqref="U68" xr:uid="{EFCB205E-4212-4500-9BE1-7C7B3A9F0CAD}">
      <formula1>$D$68:$T$68</formula1>
    </dataValidation>
    <dataValidation type="list" allowBlank="1" showInputMessage="1" showErrorMessage="1" sqref="U69" xr:uid="{A36A8AF6-0CEA-4D55-8225-8C14DEB810AF}">
      <formula1>$D$69:$T$69</formula1>
    </dataValidation>
    <dataValidation type="list" allowBlank="1" showInputMessage="1" showErrorMessage="1" sqref="U70" xr:uid="{3BBE2684-67D7-46A1-B8E9-BD097CE0F183}">
      <formula1>$D$70:$T$70</formula1>
    </dataValidation>
    <dataValidation type="list" allowBlank="1" showInputMessage="1" showErrorMessage="1" sqref="U71" xr:uid="{6ECF538B-4EFF-4694-A673-A13E70AA3B6A}">
      <formula1>$D$71:$T$71</formula1>
    </dataValidation>
    <dataValidation type="list" allowBlank="1" showInputMessage="1" showErrorMessage="1" sqref="U72" xr:uid="{CAA60189-B87C-4769-BB91-58E69EC73811}">
      <formula1>$D$72:$T$72</formula1>
    </dataValidation>
    <dataValidation type="list" allowBlank="1" showInputMessage="1" showErrorMessage="1" sqref="U73" xr:uid="{A4E2DAE1-808D-48DE-A86F-83AD9C2A3E48}">
      <formula1>$D$73:$T$73</formula1>
    </dataValidation>
    <dataValidation type="list" allowBlank="1" showInputMessage="1" showErrorMessage="1" sqref="U74" xr:uid="{E434FB06-E083-4EA7-98F7-B36D87916221}">
      <formula1>$D$74:$T$74</formula1>
    </dataValidation>
    <dataValidation type="list" allowBlank="1" showInputMessage="1" showErrorMessage="1" sqref="U75" xr:uid="{CB0E86E1-4661-4850-8788-5CB85CFCF9FE}">
      <formula1>$D$75:$T$75</formula1>
    </dataValidation>
    <dataValidation type="list" allowBlank="1" showInputMessage="1" showErrorMessage="1" sqref="U76" xr:uid="{B31E5BC3-8F76-49FA-8F3A-CAE722D8BE0D}">
      <formula1>$D$76:$T$76</formula1>
    </dataValidation>
    <dataValidation type="list" allowBlank="1" showInputMessage="1" showErrorMessage="1" sqref="U77" xr:uid="{9C3E5F27-9C50-447D-8344-74EF51D60782}">
      <formula1>$D$77:$T$77</formula1>
    </dataValidation>
    <dataValidation type="list" allowBlank="1" showInputMessage="1" showErrorMessage="1" sqref="U78" xr:uid="{751B7391-F5F7-4D17-8155-59423C224728}">
      <formula1>$D$78:$T$78</formula1>
    </dataValidation>
    <dataValidation type="list" allowBlank="1" showInputMessage="1" showErrorMessage="1" sqref="U79" xr:uid="{72DA1B5F-0B7C-4573-A1B8-F6061ED164BF}">
      <formula1>$D$79:$T$79</formula1>
    </dataValidation>
    <dataValidation type="list" allowBlank="1" showInputMessage="1" showErrorMessage="1" sqref="U80" xr:uid="{FF3E6472-985C-401B-92DE-878CF6FDBDED}">
      <formula1>$D$80:$T$80</formula1>
    </dataValidation>
    <dataValidation type="list" allowBlank="1" showInputMessage="1" showErrorMessage="1" sqref="U81" xr:uid="{0DD01E04-047B-4B6C-BF39-8F7379A04CAF}">
      <formula1>$D$81:$T$81</formula1>
    </dataValidation>
    <dataValidation type="list" allowBlank="1" showInputMessage="1" showErrorMessage="1" sqref="U82" xr:uid="{8B2F6FA0-0470-4CC3-9DE9-F3D3C66E8659}">
      <formula1>$D$82:$T$82</formula1>
    </dataValidation>
    <dataValidation type="list" allowBlank="1" showInputMessage="1" showErrorMessage="1" sqref="U83" xr:uid="{D448006D-5516-4E76-9F66-F789A1924CE7}">
      <formula1>$D$83:$T$83</formula1>
    </dataValidation>
    <dataValidation type="list" allowBlank="1" showInputMessage="1" showErrorMessage="1" sqref="U31" xr:uid="{0237F8C7-80BC-456B-AD9B-760529D178FE}">
      <formula1>$D$31:$T$31</formula1>
    </dataValidation>
    <dataValidation type="list" allowBlank="1" showInputMessage="1" showErrorMessage="1" sqref="V54" xr:uid="{F13DC0B4-CC78-4B0D-9021-385288E8387A}">
      <formula1>"NA, SMARTIO12_0"</formula1>
    </dataValidation>
    <dataValidation type="list" allowBlank="1" showInputMessage="1" showErrorMessage="1" sqref="V55" xr:uid="{8A5BD2CD-59B6-4013-93B1-FF64B6C14BAA}">
      <formula1>"NA, SMARTIO12_1"</formula1>
    </dataValidation>
    <dataValidation type="list" allowBlank="1" showInputMessage="1" showErrorMessage="1" sqref="V56" xr:uid="{D78CB898-CDBA-469F-9AE9-5F7F27EC06B2}">
      <formula1>"NA, SMARTIO12_2"</formula1>
    </dataValidation>
    <dataValidation type="list" allowBlank="1" showInputMessage="1" showErrorMessage="1" sqref="V57" xr:uid="{6E4C2064-B31C-4C60-AE43-279E3CB570CC}">
      <formula1>"NA, SMARTIO12_3"</formula1>
    </dataValidation>
    <dataValidation type="list" allowBlank="1" showInputMessage="1" showErrorMessage="1" sqref="V58" xr:uid="{626F81D5-A258-47E1-A946-9F7E431A7B5F}">
      <formula1>"NA, SMARTIO12_4"</formula1>
    </dataValidation>
    <dataValidation type="list" allowBlank="1" showInputMessage="1" showErrorMessage="1" sqref="V61" xr:uid="{3F85C880-7F3D-410B-93AB-D1780DADF6FD}">
      <formula1>"NA, SMARTIO13_0"</formula1>
    </dataValidation>
    <dataValidation type="list" allowBlank="1" showInputMessage="1" showErrorMessage="1" sqref="V62" xr:uid="{AA197CB9-49F8-4EE9-8A8D-DEBC9474303B}">
      <formula1>"NA, SMARTIO13_1"</formula1>
    </dataValidation>
    <dataValidation type="list" allowBlank="1" showInputMessage="1" showErrorMessage="1" sqref="V63" xr:uid="{0368F19B-01A6-4453-BEF0-285C06F2D97E}">
      <formula1>"NA, SMARTIO13_2"</formula1>
    </dataValidation>
    <dataValidation type="list" allowBlank="1" showInputMessage="1" showErrorMessage="1" sqref="V64" xr:uid="{FC85D37A-A08F-4936-AB6B-0E9CB4CA3CE7}">
      <formula1>"NA, SMARTIO13_3"</formula1>
    </dataValidation>
    <dataValidation type="list" allowBlank="1" showInputMessage="1" showErrorMessage="1" sqref="V65" xr:uid="{8B28D813-CF3F-461A-864B-76711719E4B1}">
      <formula1>"NA, SMARTIO13_4"</formula1>
    </dataValidation>
    <dataValidation type="list" allowBlank="1" showInputMessage="1" showErrorMessage="1" sqref="V66" xr:uid="{55C4F132-5A83-423D-B0EB-844B46DC5B96}">
      <formula1>"NA, SMARTIO13_5"</formula1>
    </dataValidation>
    <dataValidation type="list" allowBlank="1" showInputMessage="1" showErrorMessage="1" sqref="V67" xr:uid="{F43B1E2C-2B9D-4AF5-8B09-FA44C7CC68DC}">
      <formula1>"NA, SMARTIO13_6"</formula1>
    </dataValidation>
    <dataValidation type="list" allowBlank="1" showInputMessage="1" showErrorMessage="1" sqref="V68" xr:uid="{3E59E4E6-B7BA-4576-B220-F9D113DF3538}">
      <formula1>"NA, SMARTIO13_7"</formula1>
    </dataValidation>
    <dataValidation type="list" allowBlank="1" showInputMessage="1" showErrorMessage="1" sqref="V69" xr:uid="{AFE38EAE-44B8-448C-832C-F6141F761F33}">
      <formula1>"NA, SMARTIO14_0"</formula1>
    </dataValidation>
    <dataValidation type="list" allowBlank="1" showInputMessage="1" showErrorMessage="1" sqref="V70" xr:uid="{3F62EA0B-2BEC-4BCD-891E-818321FA456C}">
      <formula1>"NA, SMARTIO14_1"</formula1>
    </dataValidation>
    <dataValidation type="list" allowBlank="1" showInputMessage="1" showErrorMessage="1" sqref="V71" xr:uid="{D27DC5A7-A9FD-42DF-86DB-D11492BD491D}">
      <formula1>"NA, SMARTIO14_2"</formula1>
    </dataValidation>
    <dataValidation type="list" allowBlank="1" showInputMessage="1" showErrorMessage="1" sqref="V72" xr:uid="{D453AE72-8BD2-4C26-AACF-0F95AD640861}">
      <formula1>"NA, SMARTIO14_3"</formula1>
    </dataValidation>
    <dataValidation type="list" allowBlank="1" showInputMessage="1" showErrorMessage="1" sqref="V73" xr:uid="{94E6CD80-A2AE-452B-B41B-962154D7E163}">
      <formula1>"NA, SMARTIO17_0"</formula1>
    </dataValidation>
    <dataValidation type="list" allowBlank="1" showInputMessage="1" showErrorMessage="1" sqref="V74" xr:uid="{EBC52805-95D9-428D-A1CC-42C18404C9A2}">
      <formula1>"NA, SMARTIO17_1"</formula1>
    </dataValidation>
    <dataValidation type="list" allowBlank="1" showInputMessage="1" showErrorMessage="1" sqref="V75" xr:uid="{92997682-3F5E-4FB8-9720-BA05B5D8AD5F}">
      <formula1>"NA, SMARTIO17_2"</formula1>
    </dataValidation>
  </dataValidations>
  <pageMargins left="0.7" right="0.7" top="0.75" bottom="0.75" header="0.3" footer="0.3"/>
  <pageSetup paperSize="9" orientation="portrait" r:id="rId1"/>
  <ignoredErrors>
    <ignoredError sqref="W11:W109" unlockedFormula="1"/>
  </ignoredErrors>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8BA8E-EBD8-41BE-8344-58FA22C07FC4}">
  <dimension ref="A1:BQ125"/>
  <sheetViews>
    <sheetView topLeftCell="A103" zoomScale="70" zoomScaleNormal="70" workbookViewId="0">
      <selection activeCell="M8" sqref="M8"/>
    </sheetView>
  </sheetViews>
  <sheetFormatPr defaultRowHeight="10" x14ac:dyDescent="0.55000000000000004"/>
  <cols>
    <col min="1" max="1" width="8.58203125" style="40"/>
    <col min="2" max="2" width="14.08203125" style="40" bestFit="1" customWidth="1"/>
    <col min="3" max="3" width="12.08203125" style="40" bestFit="1" customWidth="1"/>
    <col min="4" max="66" width="6.08203125" style="40" customWidth="1"/>
    <col min="67" max="69" width="8.58203125" style="40" customWidth="1"/>
    <col min="70" max="291" width="8.58203125" style="40"/>
    <col min="292" max="292" width="14.33203125" style="40" customWidth="1"/>
    <col min="293" max="294" width="3.33203125" style="40" customWidth="1"/>
    <col min="295" max="319" width="2.33203125" style="40" customWidth="1"/>
    <col min="320" max="321" width="3.33203125" style="40" customWidth="1"/>
    <col min="322" max="322" width="14.33203125" style="40" customWidth="1"/>
    <col min="323" max="547" width="8.58203125" style="40"/>
    <col min="548" max="548" width="14.33203125" style="40" customWidth="1"/>
    <col min="549" max="550" width="3.33203125" style="40" customWidth="1"/>
    <col min="551" max="575" width="2.33203125" style="40" customWidth="1"/>
    <col min="576" max="577" width="3.33203125" style="40" customWidth="1"/>
    <col min="578" max="578" width="14.33203125" style="40" customWidth="1"/>
    <col min="579" max="803" width="8.58203125" style="40"/>
    <col min="804" max="804" width="14.33203125" style="40" customWidth="1"/>
    <col min="805" max="806" width="3.33203125" style="40" customWidth="1"/>
    <col min="807" max="831" width="2.33203125" style="40" customWidth="1"/>
    <col min="832" max="833" width="3.33203125" style="40" customWidth="1"/>
    <col min="834" max="834" width="14.33203125" style="40" customWidth="1"/>
    <col min="835" max="1059" width="8.58203125" style="40"/>
    <col min="1060" max="1060" width="14.33203125" style="40" customWidth="1"/>
    <col min="1061" max="1062" width="3.33203125" style="40" customWidth="1"/>
    <col min="1063" max="1087" width="2.33203125" style="40" customWidth="1"/>
    <col min="1088" max="1089" width="3.33203125" style="40" customWidth="1"/>
    <col min="1090" max="1090" width="14.33203125" style="40" customWidth="1"/>
    <col min="1091" max="1315" width="8.58203125" style="40"/>
    <col min="1316" max="1316" width="14.33203125" style="40" customWidth="1"/>
    <col min="1317" max="1318" width="3.33203125" style="40" customWidth="1"/>
    <col min="1319" max="1343" width="2.33203125" style="40" customWidth="1"/>
    <col min="1344" max="1345" width="3.33203125" style="40" customWidth="1"/>
    <col min="1346" max="1346" width="14.33203125" style="40" customWidth="1"/>
    <col min="1347" max="1571" width="8.58203125" style="40"/>
    <col min="1572" max="1572" width="14.33203125" style="40" customWidth="1"/>
    <col min="1573" max="1574" width="3.33203125" style="40" customWidth="1"/>
    <col min="1575" max="1599" width="2.33203125" style="40" customWidth="1"/>
    <col min="1600" max="1601" width="3.33203125" style="40" customWidth="1"/>
    <col min="1602" max="1602" width="14.33203125" style="40" customWidth="1"/>
    <col min="1603" max="1827" width="8.58203125" style="40"/>
    <col min="1828" max="1828" width="14.33203125" style="40" customWidth="1"/>
    <col min="1829" max="1830" width="3.33203125" style="40" customWidth="1"/>
    <col min="1831" max="1855" width="2.33203125" style="40" customWidth="1"/>
    <col min="1856" max="1857" width="3.33203125" style="40" customWidth="1"/>
    <col min="1858" max="1858" width="14.33203125" style="40" customWidth="1"/>
    <col min="1859" max="2083" width="8.58203125" style="40"/>
    <col min="2084" max="2084" width="14.33203125" style="40" customWidth="1"/>
    <col min="2085" max="2086" width="3.33203125" style="40" customWidth="1"/>
    <col min="2087" max="2111" width="2.33203125" style="40" customWidth="1"/>
    <col min="2112" max="2113" width="3.33203125" style="40" customWidth="1"/>
    <col min="2114" max="2114" width="14.33203125" style="40" customWidth="1"/>
    <col min="2115" max="2339" width="8.58203125" style="40"/>
    <col min="2340" max="2340" width="14.33203125" style="40" customWidth="1"/>
    <col min="2341" max="2342" width="3.33203125" style="40" customWidth="1"/>
    <col min="2343" max="2367" width="2.33203125" style="40" customWidth="1"/>
    <col min="2368" max="2369" width="3.33203125" style="40" customWidth="1"/>
    <col min="2370" max="2370" width="14.33203125" style="40" customWidth="1"/>
    <col min="2371" max="2595" width="8.58203125" style="40"/>
    <col min="2596" max="2596" width="14.33203125" style="40" customWidth="1"/>
    <col min="2597" max="2598" width="3.33203125" style="40" customWidth="1"/>
    <col min="2599" max="2623" width="2.33203125" style="40" customWidth="1"/>
    <col min="2624" max="2625" width="3.33203125" style="40" customWidth="1"/>
    <col min="2626" max="2626" width="14.33203125" style="40" customWidth="1"/>
    <col min="2627" max="2851" width="8.58203125" style="40"/>
    <col min="2852" max="2852" width="14.33203125" style="40" customWidth="1"/>
    <col min="2853" max="2854" width="3.33203125" style="40" customWidth="1"/>
    <col min="2855" max="2879" width="2.33203125" style="40" customWidth="1"/>
    <col min="2880" max="2881" width="3.33203125" style="40" customWidth="1"/>
    <col min="2882" max="2882" width="14.33203125" style="40" customWidth="1"/>
    <col min="2883" max="3107" width="8.58203125" style="40"/>
    <col min="3108" max="3108" width="14.33203125" style="40" customWidth="1"/>
    <col min="3109" max="3110" width="3.33203125" style="40" customWidth="1"/>
    <col min="3111" max="3135" width="2.33203125" style="40" customWidth="1"/>
    <col min="3136" max="3137" width="3.33203125" style="40" customWidth="1"/>
    <col min="3138" max="3138" width="14.33203125" style="40" customWidth="1"/>
    <col min="3139" max="3363" width="8.58203125" style="40"/>
    <col min="3364" max="3364" width="14.33203125" style="40" customWidth="1"/>
    <col min="3365" max="3366" width="3.33203125" style="40" customWidth="1"/>
    <col min="3367" max="3391" width="2.33203125" style="40" customWidth="1"/>
    <col min="3392" max="3393" width="3.33203125" style="40" customWidth="1"/>
    <col min="3394" max="3394" width="14.33203125" style="40" customWidth="1"/>
    <col min="3395" max="3619" width="8.58203125" style="40"/>
    <col min="3620" max="3620" width="14.33203125" style="40" customWidth="1"/>
    <col min="3621" max="3622" width="3.33203125" style="40" customWidth="1"/>
    <col min="3623" max="3647" width="2.33203125" style="40" customWidth="1"/>
    <col min="3648" max="3649" width="3.33203125" style="40" customWidth="1"/>
    <col min="3650" max="3650" width="14.33203125" style="40" customWidth="1"/>
    <col min="3651" max="3875" width="8.58203125" style="40"/>
    <col min="3876" max="3876" width="14.33203125" style="40" customWidth="1"/>
    <col min="3877" max="3878" width="3.33203125" style="40" customWidth="1"/>
    <col min="3879" max="3903" width="2.33203125" style="40" customWidth="1"/>
    <col min="3904" max="3905" width="3.33203125" style="40" customWidth="1"/>
    <col min="3906" max="3906" width="14.33203125" style="40" customWidth="1"/>
    <col min="3907" max="4131" width="8.58203125" style="40"/>
    <col min="4132" max="4132" width="14.33203125" style="40" customWidth="1"/>
    <col min="4133" max="4134" width="3.33203125" style="40" customWidth="1"/>
    <col min="4135" max="4159" width="2.33203125" style="40" customWidth="1"/>
    <col min="4160" max="4161" width="3.33203125" style="40" customWidth="1"/>
    <col min="4162" max="4162" width="14.33203125" style="40" customWidth="1"/>
    <col min="4163" max="4387" width="8.58203125" style="40"/>
    <col min="4388" max="4388" width="14.33203125" style="40" customWidth="1"/>
    <col min="4389" max="4390" width="3.33203125" style="40" customWidth="1"/>
    <col min="4391" max="4415" width="2.33203125" style="40" customWidth="1"/>
    <col min="4416" max="4417" width="3.33203125" style="40" customWidth="1"/>
    <col min="4418" max="4418" width="14.33203125" style="40" customWidth="1"/>
    <col min="4419" max="4643" width="8.58203125" style="40"/>
    <col min="4644" max="4644" width="14.33203125" style="40" customWidth="1"/>
    <col min="4645" max="4646" width="3.33203125" style="40" customWidth="1"/>
    <col min="4647" max="4671" width="2.33203125" style="40" customWidth="1"/>
    <col min="4672" max="4673" width="3.33203125" style="40" customWidth="1"/>
    <col min="4674" max="4674" width="14.33203125" style="40" customWidth="1"/>
    <col min="4675" max="4899" width="8.58203125" style="40"/>
    <col min="4900" max="4900" width="14.33203125" style="40" customWidth="1"/>
    <col min="4901" max="4902" width="3.33203125" style="40" customWidth="1"/>
    <col min="4903" max="4927" width="2.33203125" style="40" customWidth="1"/>
    <col min="4928" max="4929" width="3.33203125" style="40" customWidth="1"/>
    <col min="4930" max="4930" width="14.33203125" style="40" customWidth="1"/>
    <col min="4931" max="5155" width="8.58203125" style="40"/>
    <col min="5156" max="5156" width="14.33203125" style="40" customWidth="1"/>
    <col min="5157" max="5158" width="3.33203125" style="40" customWidth="1"/>
    <col min="5159" max="5183" width="2.33203125" style="40" customWidth="1"/>
    <col min="5184" max="5185" width="3.33203125" style="40" customWidth="1"/>
    <col min="5186" max="5186" width="14.33203125" style="40" customWidth="1"/>
    <col min="5187" max="5411" width="8.58203125" style="40"/>
    <col min="5412" max="5412" width="14.33203125" style="40" customWidth="1"/>
    <col min="5413" max="5414" width="3.33203125" style="40" customWidth="1"/>
    <col min="5415" max="5439" width="2.33203125" style="40" customWidth="1"/>
    <col min="5440" max="5441" width="3.33203125" style="40" customWidth="1"/>
    <col min="5442" max="5442" width="14.33203125" style="40" customWidth="1"/>
    <col min="5443" max="5667" width="8.58203125" style="40"/>
    <col min="5668" max="5668" width="14.33203125" style="40" customWidth="1"/>
    <col min="5669" max="5670" width="3.33203125" style="40" customWidth="1"/>
    <col min="5671" max="5695" width="2.33203125" style="40" customWidth="1"/>
    <col min="5696" max="5697" width="3.33203125" style="40" customWidth="1"/>
    <col min="5698" max="5698" width="14.33203125" style="40" customWidth="1"/>
    <col min="5699" max="5923" width="8.58203125" style="40"/>
    <col min="5924" max="5924" width="14.33203125" style="40" customWidth="1"/>
    <col min="5925" max="5926" width="3.33203125" style="40" customWidth="1"/>
    <col min="5927" max="5951" width="2.33203125" style="40" customWidth="1"/>
    <col min="5952" max="5953" width="3.33203125" style="40" customWidth="1"/>
    <col min="5954" max="5954" width="14.33203125" style="40" customWidth="1"/>
    <col min="5955" max="6179" width="8.58203125" style="40"/>
    <col min="6180" max="6180" width="14.33203125" style="40" customWidth="1"/>
    <col min="6181" max="6182" width="3.33203125" style="40" customWidth="1"/>
    <col min="6183" max="6207" width="2.33203125" style="40" customWidth="1"/>
    <col min="6208" max="6209" width="3.33203125" style="40" customWidth="1"/>
    <col min="6210" max="6210" width="14.33203125" style="40" customWidth="1"/>
    <col min="6211" max="6435" width="8.58203125" style="40"/>
    <col min="6436" max="6436" width="14.33203125" style="40" customWidth="1"/>
    <col min="6437" max="6438" width="3.33203125" style="40" customWidth="1"/>
    <col min="6439" max="6463" width="2.33203125" style="40" customWidth="1"/>
    <col min="6464" max="6465" width="3.33203125" style="40" customWidth="1"/>
    <col min="6466" max="6466" width="14.33203125" style="40" customWidth="1"/>
    <col min="6467" max="6691" width="8.58203125" style="40"/>
    <col min="6692" max="6692" width="14.33203125" style="40" customWidth="1"/>
    <col min="6693" max="6694" width="3.33203125" style="40" customWidth="1"/>
    <col min="6695" max="6719" width="2.33203125" style="40" customWidth="1"/>
    <col min="6720" max="6721" width="3.33203125" style="40" customWidth="1"/>
    <col min="6722" max="6722" width="14.33203125" style="40" customWidth="1"/>
    <col min="6723" max="6947" width="8.58203125" style="40"/>
    <col min="6948" max="6948" width="14.33203125" style="40" customWidth="1"/>
    <col min="6949" max="6950" width="3.33203125" style="40" customWidth="1"/>
    <col min="6951" max="6975" width="2.33203125" style="40" customWidth="1"/>
    <col min="6976" max="6977" width="3.33203125" style="40" customWidth="1"/>
    <col min="6978" max="6978" width="14.33203125" style="40" customWidth="1"/>
    <col min="6979" max="7203" width="8.58203125" style="40"/>
    <col min="7204" max="7204" width="14.33203125" style="40" customWidth="1"/>
    <col min="7205" max="7206" width="3.33203125" style="40" customWidth="1"/>
    <col min="7207" max="7231" width="2.33203125" style="40" customWidth="1"/>
    <col min="7232" max="7233" width="3.33203125" style="40" customWidth="1"/>
    <col min="7234" max="7234" width="14.33203125" style="40" customWidth="1"/>
    <col min="7235" max="7459" width="8.58203125" style="40"/>
    <col min="7460" max="7460" width="14.33203125" style="40" customWidth="1"/>
    <col min="7461" max="7462" width="3.33203125" style="40" customWidth="1"/>
    <col min="7463" max="7487" width="2.33203125" style="40" customWidth="1"/>
    <col min="7488" max="7489" width="3.33203125" style="40" customWidth="1"/>
    <col min="7490" max="7490" width="14.33203125" style="40" customWidth="1"/>
    <col min="7491" max="7715" width="8.58203125" style="40"/>
    <col min="7716" max="7716" width="14.33203125" style="40" customWidth="1"/>
    <col min="7717" max="7718" width="3.33203125" style="40" customWidth="1"/>
    <col min="7719" max="7743" width="2.33203125" style="40" customWidth="1"/>
    <col min="7744" max="7745" width="3.33203125" style="40" customWidth="1"/>
    <col min="7746" max="7746" width="14.33203125" style="40" customWidth="1"/>
    <col min="7747" max="7971" width="8.58203125" style="40"/>
    <col min="7972" max="7972" width="14.33203125" style="40" customWidth="1"/>
    <col min="7973" max="7974" width="3.33203125" style="40" customWidth="1"/>
    <col min="7975" max="7999" width="2.33203125" style="40" customWidth="1"/>
    <col min="8000" max="8001" width="3.33203125" style="40" customWidth="1"/>
    <col min="8002" max="8002" width="14.33203125" style="40" customWidth="1"/>
    <col min="8003" max="8227" width="8.58203125" style="40"/>
    <col min="8228" max="8228" width="14.33203125" style="40" customWidth="1"/>
    <col min="8229" max="8230" width="3.33203125" style="40" customWidth="1"/>
    <col min="8231" max="8255" width="2.33203125" style="40" customWidth="1"/>
    <col min="8256" max="8257" width="3.33203125" style="40" customWidth="1"/>
    <col min="8258" max="8258" width="14.33203125" style="40" customWidth="1"/>
    <col min="8259" max="8483" width="8.58203125" style="40"/>
    <col min="8484" max="8484" width="14.33203125" style="40" customWidth="1"/>
    <col min="8485" max="8486" width="3.33203125" style="40" customWidth="1"/>
    <col min="8487" max="8511" width="2.33203125" style="40" customWidth="1"/>
    <col min="8512" max="8513" width="3.33203125" style="40" customWidth="1"/>
    <col min="8514" max="8514" width="14.33203125" style="40" customWidth="1"/>
    <col min="8515" max="8739" width="8.58203125" style="40"/>
    <col min="8740" max="8740" width="14.33203125" style="40" customWidth="1"/>
    <col min="8741" max="8742" width="3.33203125" style="40" customWidth="1"/>
    <col min="8743" max="8767" width="2.33203125" style="40" customWidth="1"/>
    <col min="8768" max="8769" width="3.33203125" style="40" customWidth="1"/>
    <col min="8770" max="8770" width="14.33203125" style="40" customWidth="1"/>
    <col min="8771" max="8995" width="8.58203125" style="40"/>
    <col min="8996" max="8996" width="14.33203125" style="40" customWidth="1"/>
    <col min="8997" max="8998" width="3.33203125" style="40" customWidth="1"/>
    <col min="8999" max="9023" width="2.33203125" style="40" customWidth="1"/>
    <col min="9024" max="9025" width="3.33203125" style="40" customWidth="1"/>
    <col min="9026" max="9026" width="14.33203125" style="40" customWidth="1"/>
    <col min="9027" max="9251" width="8.58203125" style="40"/>
    <col min="9252" max="9252" width="14.33203125" style="40" customWidth="1"/>
    <col min="9253" max="9254" width="3.33203125" style="40" customWidth="1"/>
    <col min="9255" max="9279" width="2.33203125" style="40" customWidth="1"/>
    <col min="9280" max="9281" width="3.33203125" style="40" customWidth="1"/>
    <col min="9282" max="9282" width="14.33203125" style="40" customWidth="1"/>
    <col min="9283" max="9507" width="8.58203125" style="40"/>
    <col min="9508" max="9508" width="14.33203125" style="40" customWidth="1"/>
    <col min="9509" max="9510" width="3.33203125" style="40" customWidth="1"/>
    <col min="9511" max="9535" width="2.33203125" style="40" customWidth="1"/>
    <col min="9536" max="9537" width="3.33203125" style="40" customWidth="1"/>
    <col min="9538" max="9538" width="14.33203125" style="40" customWidth="1"/>
    <col min="9539" max="9763" width="8.58203125" style="40"/>
    <col min="9764" max="9764" width="14.33203125" style="40" customWidth="1"/>
    <col min="9765" max="9766" width="3.33203125" style="40" customWidth="1"/>
    <col min="9767" max="9791" width="2.33203125" style="40" customWidth="1"/>
    <col min="9792" max="9793" width="3.33203125" style="40" customWidth="1"/>
    <col min="9794" max="9794" width="14.33203125" style="40" customWidth="1"/>
    <col min="9795" max="10019" width="8.58203125" style="40"/>
    <col min="10020" max="10020" width="14.33203125" style="40" customWidth="1"/>
    <col min="10021" max="10022" width="3.33203125" style="40" customWidth="1"/>
    <col min="10023" max="10047" width="2.33203125" style="40" customWidth="1"/>
    <col min="10048" max="10049" width="3.33203125" style="40" customWidth="1"/>
    <col min="10050" max="10050" width="14.33203125" style="40" customWidth="1"/>
    <col min="10051" max="10275" width="8.58203125" style="40"/>
    <col min="10276" max="10276" width="14.33203125" style="40" customWidth="1"/>
    <col min="10277" max="10278" width="3.33203125" style="40" customWidth="1"/>
    <col min="10279" max="10303" width="2.33203125" style="40" customWidth="1"/>
    <col min="10304" max="10305" width="3.33203125" style="40" customWidth="1"/>
    <col min="10306" max="10306" width="14.33203125" style="40" customWidth="1"/>
    <col min="10307" max="10531" width="8.58203125" style="40"/>
    <col min="10532" max="10532" width="14.33203125" style="40" customWidth="1"/>
    <col min="10533" max="10534" width="3.33203125" style="40" customWidth="1"/>
    <col min="10535" max="10559" width="2.33203125" style="40" customWidth="1"/>
    <col min="10560" max="10561" width="3.33203125" style="40" customWidth="1"/>
    <col min="10562" max="10562" width="14.33203125" style="40" customWidth="1"/>
    <col min="10563" max="10787" width="8.58203125" style="40"/>
    <col min="10788" max="10788" width="14.33203125" style="40" customWidth="1"/>
    <col min="10789" max="10790" width="3.33203125" style="40" customWidth="1"/>
    <col min="10791" max="10815" width="2.33203125" style="40" customWidth="1"/>
    <col min="10816" max="10817" width="3.33203125" style="40" customWidth="1"/>
    <col min="10818" max="10818" width="14.33203125" style="40" customWidth="1"/>
    <col min="10819" max="11043" width="8.58203125" style="40"/>
    <col min="11044" max="11044" width="14.33203125" style="40" customWidth="1"/>
    <col min="11045" max="11046" width="3.33203125" style="40" customWidth="1"/>
    <col min="11047" max="11071" width="2.33203125" style="40" customWidth="1"/>
    <col min="11072" max="11073" width="3.33203125" style="40" customWidth="1"/>
    <col min="11074" max="11074" width="14.33203125" style="40" customWidth="1"/>
    <col min="11075" max="11299" width="8.58203125" style="40"/>
    <col min="11300" max="11300" width="14.33203125" style="40" customWidth="1"/>
    <col min="11301" max="11302" width="3.33203125" style="40" customWidth="1"/>
    <col min="11303" max="11327" width="2.33203125" style="40" customWidth="1"/>
    <col min="11328" max="11329" width="3.33203125" style="40" customWidth="1"/>
    <col min="11330" max="11330" width="14.33203125" style="40" customWidth="1"/>
    <col min="11331" max="11555" width="8.58203125" style="40"/>
    <col min="11556" max="11556" width="14.33203125" style="40" customWidth="1"/>
    <col min="11557" max="11558" width="3.33203125" style="40" customWidth="1"/>
    <col min="11559" max="11583" width="2.33203125" style="40" customWidth="1"/>
    <col min="11584" max="11585" width="3.33203125" style="40" customWidth="1"/>
    <col min="11586" max="11586" width="14.33203125" style="40" customWidth="1"/>
    <col min="11587" max="11811" width="8.58203125" style="40"/>
    <col min="11812" max="11812" width="14.33203125" style="40" customWidth="1"/>
    <col min="11813" max="11814" width="3.33203125" style="40" customWidth="1"/>
    <col min="11815" max="11839" width="2.33203125" style="40" customWidth="1"/>
    <col min="11840" max="11841" width="3.33203125" style="40" customWidth="1"/>
    <col min="11842" max="11842" width="14.33203125" style="40" customWidth="1"/>
    <col min="11843" max="12067" width="8.58203125" style="40"/>
    <col min="12068" max="12068" width="14.33203125" style="40" customWidth="1"/>
    <col min="12069" max="12070" width="3.33203125" style="40" customWidth="1"/>
    <col min="12071" max="12095" width="2.33203125" style="40" customWidth="1"/>
    <col min="12096" max="12097" width="3.33203125" style="40" customWidth="1"/>
    <col min="12098" max="12098" width="14.33203125" style="40" customWidth="1"/>
    <col min="12099" max="12323" width="8.58203125" style="40"/>
    <col min="12324" max="12324" width="14.33203125" style="40" customWidth="1"/>
    <col min="12325" max="12326" width="3.33203125" style="40" customWidth="1"/>
    <col min="12327" max="12351" width="2.33203125" style="40" customWidth="1"/>
    <col min="12352" max="12353" width="3.33203125" style="40" customWidth="1"/>
    <col min="12354" max="12354" width="14.33203125" style="40" customWidth="1"/>
    <col min="12355" max="12579" width="8.58203125" style="40"/>
    <col min="12580" max="12580" width="14.33203125" style="40" customWidth="1"/>
    <col min="12581" max="12582" width="3.33203125" style="40" customWidth="1"/>
    <col min="12583" max="12607" width="2.33203125" style="40" customWidth="1"/>
    <col min="12608" max="12609" width="3.33203125" style="40" customWidth="1"/>
    <col min="12610" max="12610" width="14.33203125" style="40" customWidth="1"/>
    <col min="12611" max="12835" width="8.58203125" style="40"/>
    <col min="12836" max="12836" width="14.33203125" style="40" customWidth="1"/>
    <col min="12837" max="12838" width="3.33203125" style="40" customWidth="1"/>
    <col min="12839" max="12863" width="2.33203125" style="40" customWidth="1"/>
    <col min="12864" max="12865" width="3.33203125" style="40" customWidth="1"/>
    <col min="12866" max="12866" width="14.33203125" style="40" customWidth="1"/>
    <col min="12867" max="13091" width="8.58203125" style="40"/>
    <col min="13092" max="13092" width="14.33203125" style="40" customWidth="1"/>
    <col min="13093" max="13094" width="3.33203125" style="40" customWidth="1"/>
    <col min="13095" max="13119" width="2.33203125" style="40" customWidth="1"/>
    <col min="13120" max="13121" width="3.33203125" style="40" customWidth="1"/>
    <col min="13122" max="13122" width="14.33203125" style="40" customWidth="1"/>
    <col min="13123" max="13347" width="8.58203125" style="40"/>
    <col min="13348" max="13348" width="14.33203125" style="40" customWidth="1"/>
    <col min="13349" max="13350" width="3.33203125" style="40" customWidth="1"/>
    <col min="13351" max="13375" width="2.33203125" style="40" customWidth="1"/>
    <col min="13376" max="13377" width="3.33203125" style="40" customWidth="1"/>
    <col min="13378" max="13378" width="14.33203125" style="40" customWidth="1"/>
    <col min="13379" max="13603" width="8.58203125" style="40"/>
    <col min="13604" max="13604" width="14.33203125" style="40" customWidth="1"/>
    <col min="13605" max="13606" width="3.33203125" style="40" customWidth="1"/>
    <col min="13607" max="13631" width="2.33203125" style="40" customWidth="1"/>
    <col min="13632" max="13633" width="3.33203125" style="40" customWidth="1"/>
    <col min="13634" max="13634" width="14.33203125" style="40" customWidth="1"/>
    <col min="13635" max="13859" width="8.58203125" style="40"/>
    <col min="13860" max="13860" width="14.33203125" style="40" customWidth="1"/>
    <col min="13861" max="13862" width="3.33203125" style="40" customWidth="1"/>
    <col min="13863" max="13887" width="2.33203125" style="40" customWidth="1"/>
    <col min="13888" max="13889" width="3.33203125" style="40" customWidth="1"/>
    <col min="13890" max="13890" width="14.33203125" style="40" customWidth="1"/>
    <col min="13891" max="14115" width="8.58203125" style="40"/>
    <col min="14116" max="14116" width="14.33203125" style="40" customWidth="1"/>
    <col min="14117" max="14118" width="3.33203125" style="40" customWidth="1"/>
    <col min="14119" max="14143" width="2.33203125" style="40" customWidth="1"/>
    <col min="14144" max="14145" width="3.33203125" style="40" customWidth="1"/>
    <col min="14146" max="14146" width="14.33203125" style="40" customWidth="1"/>
    <col min="14147" max="14371" width="8.58203125" style="40"/>
    <col min="14372" max="14372" width="14.33203125" style="40" customWidth="1"/>
    <col min="14373" max="14374" width="3.33203125" style="40" customWidth="1"/>
    <col min="14375" max="14399" width="2.33203125" style="40" customWidth="1"/>
    <col min="14400" max="14401" width="3.33203125" style="40" customWidth="1"/>
    <col min="14402" max="14402" width="14.33203125" style="40" customWidth="1"/>
    <col min="14403" max="14627" width="8.58203125" style="40"/>
    <col min="14628" max="14628" width="14.33203125" style="40" customWidth="1"/>
    <col min="14629" max="14630" width="3.33203125" style="40" customWidth="1"/>
    <col min="14631" max="14655" width="2.33203125" style="40" customWidth="1"/>
    <col min="14656" max="14657" width="3.33203125" style="40" customWidth="1"/>
    <col min="14658" max="14658" width="14.33203125" style="40" customWidth="1"/>
    <col min="14659" max="14883" width="8.58203125" style="40"/>
    <col min="14884" max="14884" width="14.33203125" style="40" customWidth="1"/>
    <col min="14885" max="14886" width="3.33203125" style="40" customWidth="1"/>
    <col min="14887" max="14911" width="2.33203125" style="40" customWidth="1"/>
    <col min="14912" max="14913" width="3.33203125" style="40" customWidth="1"/>
    <col min="14914" max="14914" width="14.33203125" style="40" customWidth="1"/>
    <col min="14915" max="15139" width="8.58203125" style="40"/>
    <col min="15140" max="15140" width="14.33203125" style="40" customWidth="1"/>
    <col min="15141" max="15142" width="3.33203125" style="40" customWidth="1"/>
    <col min="15143" max="15167" width="2.33203125" style="40" customWidth="1"/>
    <col min="15168" max="15169" width="3.33203125" style="40" customWidth="1"/>
    <col min="15170" max="15170" width="14.33203125" style="40" customWidth="1"/>
    <col min="15171" max="15395" width="8.58203125" style="40"/>
    <col min="15396" max="15396" width="14.33203125" style="40" customWidth="1"/>
    <col min="15397" max="15398" width="3.33203125" style="40" customWidth="1"/>
    <col min="15399" max="15423" width="2.33203125" style="40" customWidth="1"/>
    <col min="15424" max="15425" width="3.33203125" style="40" customWidth="1"/>
    <col min="15426" max="15426" width="14.33203125" style="40" customWidth="1"/>
    <col min="15427" max="15651" width="8.58203125" style="40"/>
    <col min="15652" max="15652" width="14.33203125" style="40" customWidth="1"/>
    <col min="15653" max="15654" width="3.33203125" style="40" customWidth="1"/>
    <col min="15655" max="15679" width="2.33203125" style="40" customWidth="1"/>
    <col min="15680" max="15681" width="3.33203125" style="40" customWidth="1"/>
    <col min="15682" max="15682" width="14.33203125" style="40" customWidth="1"/>
    <col min="15683" max="15907" width="8.58203125" style="40"/>
    <col min="15908" max="15908" width="14.33203125" style="40" customWidth="1"/>
    <col min="15909" max="15910" width="3.33203125" style="40" customWidth="1"/>
    <col min="15911" max="15935" width="2.33203125" style="40" customWidth="1"/>
    <col min="15936" max="15937" width="3.33203125" style="40" customWidth="1"/>
    <col min="15938" max="15938" width="14.33203125" style="40" customWidth="1"/>
    <col min="15939" max="16163" width="8.58203125" style="40"/>
    <col min="16164" max="16164" width="14.33203125" style="40" customWidth="1"/>
    <col min="16165" max="16166" width="3.33203125" style="40" customWidth="1"/>
    <col min="16167" max="16191" width="2.33203125" style="40" customWidth="1"/>
    <col min="16192" max="16193" width="3.33203125" style="40" customWidth="1"/>
    <col min="16194" max="16194" width="14.33203125" style="40" customWidth="1"/>
    <col min="16195" max="16384" width="8.58203125" style="40"/>
  </cols>
  <sheetData>
    <row r="1" spans="1:69" ht="25" customHeight="1" x14ac:dyDescent="0.55000000000000004">
      <c r="A1" s="39" t="s">
        <v>576</v>
      </c>
      <c r="BO1" s="36"/>
      <c r="BP1" s="36"/>
      <c r="BQ1" s="36"/>
    </row>
    <row r="2" spans="1:69" ht="25" customHeight="1" x14ac:dyDescent="0.55000000000000004">
      <c r="A2" s="39"/>
      <c r="BO2" s="36"/>
      <c r="BP2" s="36"/>
      <c r="BQ2" s="36"/>
    </row>
    <row r="3" spans="1:69" ht="25" customHeight="1" x14ac:dyDescent="0.55000000000000004">
      <c r="A3" s="39"/>
      <c r="BO3" s="36"/>
      <c r="BP3" s="36"/>
      <c r="BQ3" s="36"/>
    </row>
    <row r="4" spans="1:69" ht="25" customHeight="1" x14ac:dyDescent="0.55000000000000004">
      <c r="A4" s="39"/>
      <c r="BO4" s="36"/>
      <c r="BP4" s="36"/>
      <c r="BQ4" s="36"/>
    </row>
    <row r="5" spans="1:69" ht="25" customHeight="1" x14ac:dyDescent="0.55000000000000004">
      <c r="A5" s="39"/>
      <c r="BN5" s="41"/>
      <c r="BO5" s="36"/>
      <c r="BP5" s="36"/>
      <c r="BQ5" s="37" t="s">
        <v>814</v>
      </c>
    </row>
    <row r="7" spans="1:69" x14ac:dyDescent="0.55000000000000004">
      <c r="B7" s="141" t="s">
        <v>385</v>
      </c>
      <c r="C7" s="142"/>
      <c r="D7" s="42" t="s">
        <v>411</v>
      </c>
      <c r="E7" s="42" t="s">
        <v>409</v>
      </c>
      <c r="F7" s="42" t="s">
        <v>412</v>
      </c>
    </row>
    <row r="8" spans="1:69" x14ac:dyDescent="0.55000000000000004">
      <c r="B8" s="143" t="s">
        <v>407</v>
      </c>
      <c r="C8" s="43" t="s">
        <v>396</v>
      </c>
      <c r="D8" s="43">
        <f>COUNTIF('PF100'!U10:U109,"CAN0_0_RX")</f>
        <v>0</v>
      </c>
      <c r="E8" s="43">
        <f>COUNTIF('PF100'!U10:U109,"CAN0_1_RX")</f>
        <v>0</v>
      </c>
      <c r="F8" s="43">
        <f>COUNTIF('PF100'!U10:U109,"CAN0_2_RX")</f>
        <v>0</v>
      </c>
    </row>
    <row r="9" spans="1:69" x14ac:dyDescent="0.55000000000000004">
      <c r="B9" s="144"/>
      <c r="C9" s="43" t="s">
        <v>395</v>
      </c>
      <c r="D9" s="43">
        <f>COUNTIF('PF100'!U10:U109,"CAN0_0_TX")</f>
        <v>0</v>
      </c>
      <c r="E9" s="43">
        <f>COUNTIF('PF100'!U10:U109,"CAN0_1_TX")</f>
        <v>0</v>
      </c>
      <c r="F9" s="43">
        <f>COUNTIF('PF100'!U10:U109,"CAN0_2_TX")</f>
        <v>0</v>
      </c>
    </row>
    <row r="11" spans="1:69" x14ac:dyDescent="0.55000000000000004">
      <c r="B11" s="141" t="s">
        <v>381</v>
      </c>
      <c r="C11" s="142"/>
      <c r="D11" s="42" t="s">
        <v>413</v>
      </c>
      <c r="E11" s="42" t="s">
        <v>415</v>
      </c>
      <c r="F11" s="42" t="s">
        <v>414</v>
      </c>
    </row>
    <row r="12" spans="1:69" x14ac:dyDescent="0.55000000000000004">
      <c r="B12" s="145" t="s">
        <v>407</v>
      </c>
      <c r="C12" s="43" t="s">
        <v>396</v>
      </c>
      <c r="D12" s="43">
        <f>COUNTIF('PF100'!U10:U109,"CAN1_0_RX")</f>
        <v>0</v>
      </c>
      <c r="E12" s="43">
        <f>COUNTIF('PF100'!U10:U109,"CAN1_1_RX")</f>
        <v>0</v>
      </c>
      <c r="F12" s="43">
        <f>COUNTIF('PF100'!U10:U109,"CAN1_2_RX")</f>
        <v>0</v>
      </c>
    </row>
    <row r="13" spans="1:69" x14ac:dyDescent="0.55000000000000004">
      <c r="B13" s="145"/>
      <c r="C13" s="43" t="s">
        <v>395</v>
      </c>
      <c r="D13" s="43">
        <f>COUNTIF('PF100'!U10:U109,"CAN1_0_TX")</f>
        <v>0</v>
      </c>
      <c r="E13" s="43">
        <f>COUNTIF('PF100'!U10:U109,"CAN1_1_TX")</f>
        <v>0</v>
      </c>
      <c r="F13" s="43">
        <f>COUNTIF('PF100'!U10:U109,"CAN1_2_TX")</f>
        <v>0</v>
      </c>
    </row>
    <row r="14" spans="1:69" x14ac:dyDescent="0.55000000000000004">
      <c r="B14" s="44"/>
      <c r="C14" s="45"/>
      <c r="D14" s="45"/>
      <c r="E14" s="45"/>
      <c r="F14" s="45"/>
    </row>
    <row r="16" spans="1:69" x14ac:dyDescent="0.55000000000000004">
      <c r="B16" s="141" t="s">
        <v>384</v>
      </c>
      <c r="C16" s="142"/>
      <c r="D16" s="42" t="s">
        <v>398</v>
      </c>
      <c r="E16" s="42" t="s">
        <v>399</v>
      </c>
      <c r="F16" s="42" t="s">
        <v>400</v>
      </c>
      <c r="G16" s="42" t="s">
        <v>401</v>
      </c>
      <c r="H16" s="42" t="s">
        <v>402</v>
      </c>
      <c r="I16" s="42" t="s">
        <v>403</v>
      </c>
      <c r="J16" s="42" t="s">
        <v>404</v>
      </c>
      <c r="K16" s="42" t="s">
        <v>405</v>
      </c>
    </row>
    <row r="17" spans="2:59" x14ac:dyDescent="0.55000000000000004">
      <c r="B17" s="143" t="s">
        <v>407</v>
      </c>
      <c r="C17" s="43" t="s">
        <v>396</v>
      </c>
      <c r="D17" s="43">
        <f>COUNTIF('PF100'!U10:U109,"LIN0_RX")</f>
        <v>0</v>
      </c>
      <c r="E17" s="43">
        <f>COUNTIF('PF100'!U10:U109,"LIN1_RX")</f>
        <v>0</v>
      </c>
      <c r="F17" s="43">
        <f>COUNTIF('PF100'!U10:U109,"LIN2_RX")</f>
        <v>0</v>
      </c>
      <c r="G17" s="43">
        <f>COUNTIF('PF100'!U10:U109,"LIN3_RX")</f>
        <v>0</v>
      </c>
      <c r="H17" s="43">
        <f>COUNTIF('PF100'!U10:U109,"LIN4_RX")</f>
        <v>0</v>
      </c>
      <c r="I17" s="43">
        <f>COUNTIF('PF100'!U10:U109,"LIN5_RX")</f>
        <v>0</v>
      </c>
      <c r="J17" s="43">
        <f>COUNTIF('PF100'!U10:U109,"LIN6_RX")</f>
        <v>0</v>
      </c>
      <c r="K17" s="43">
        <f>COUNTIF('PF100'!U10:U109,"LIN7_RX")</f>
        <v>0</v>
      </c>
    </row>
    <row r="18" spans="2:59" x14ac:dyDescent="0.55000000000000004">
      <c r="B18" s="146"/>
      <c r="C18" s="43" t="s">
        <v>395</v>
      </c>
      <c r="D18" s="43">
        <f>COUNTIF('PF100'!U10:U109,"LIN0_TX")</f>
        <v>0</v>
      </c>
      <c r="E18" s="43">
        <f>COUNTIF('PF100'!U10:U109,"LIN1_TX")</f>
        <v>0</v>
      </c>
      <c r="F18" s="43">
        <f>COUNTIF('PF100'!U10:U109,"LIN2_TX")</f>
        <v>0</v>
      </c>
      <c r="G18" s="43">
        <f>COUNTIF('PF100'!U10:U109,"LIN3_TX")</f>
        <v>0</v>
      </c>
      <c r="H18" s="43">
        <f>COUNTIF('PF100'!U10:U109,"LIN4_TX")</f>
        <v>0</v>
      </c>
      <c r="I18" s="43">
        <f>COUNTIF('PF100'!U10:U109,"LIN5_TX")</f>
        <v>0</v>
      </c>
      <c r="J18" s="43">
        <f>COUNTIF('PF100'!U10:U109,"LIN6_TX")</f>
        <v>0</v>
      </c>
      <c r="K18" s="43">
        <f>COUNTIF('PF100'!U10:U109,"LIN7_TX")</f>
        <v>0</v>
      </c>
    </row>
    <row r="19" spans="2:59" x14ac:dyDescent="0.55000000000000004">
      <c r="B19" s="144"/>
      <c r="C19" s="43" t="s">
        <v>406</v>
      </c>
      <c r="D19" s="43">
        <f>COUNTIF('PF100'!U10:U109,"LIN0_EN")</f>
        <v>0</v>
      </c>
      <c r="E19" s="43">
        <f>COUNTIF('PF100'!U10:U109,"LIN1_EN")</f>
        <v>0</v>
      </c>
      <c r="F19" s="43">
        <f>COUNTIF('PF100'!U10:U109,"LIN2_EN")</f>
        <v>0</v>
      </c>
      <c r="G19" s="43">
        <f>COUNTIF('PF100'!U10:U109,"LIN3_EN")</f>
        <v>0</v>
      </c>
      <c r="H19" s="43">
        <f>COUNTIF('PF100'!U10:U109,"LIN4_EN")</f>
        <v>0</v>
      </c>
      <c r="I19" s="43">
        <f>COUNTIF('PF100'!U10:U109,"LIN5_EN")</f>
        <v>0</v>
      </c>
      <c r="J19" s="43">
        <f>COUNTIF('PF100'!U10:U109,"LIN6_EN")</f>
        <v>0</v>
      </c>
      <c r="K19" s="43">
        <f>COUNTIF('PF100'!U10:U109,"LIN7_EN")</f>
        <v>0</v>
      </c>
    </row>
    <row r="20" spans="2:59" x14ac:dyDescent="0.55000000000000004">
      <c r="B20" s="44"/>
      <c r="C20" s="45"/>
      <c r="D20" s="45"/>
      <c r="E20" s="45"/>
      <c r="F20" s="45"/>
      <c r="G20" s="45"/>
      <c r="H20" s="45"/>
      <c r="I20" s="45"/>
      <c r="J20" s="45"/>
      <c r="K20" s="45"/>
    </row>
    <row r="22" spans="2:59" x14ac:dyDescent="0.55000000000000004">
      <c r="B22" s="141" t="s">
        <v>386</v>
      </c>
      <c r="C22" s="142"/>
      <c r="D22" s="42" t="s">
        <v>387</v>
      </c>
      <c r="E22" s="42" t="s">
        <v>388</v>
      </c>
      <c r="F22" s="42" t="s">
        <v>389</v>
      </c>
      <c r="G22" s="42" t="s">
        <v>390</v>
      </c>
      <c r="H22" s="42" t="s">
        <v>394</v>
      </c>
      <c r="I22" s="42" t="s">
        <v>393</v>
      </c>
      <c r="J22" s="42" t="s">
        <v>392</v>
      </c>
      <c r="K22" s="42" t="s">
        <v>391</v>
      </c>
    </row>
    <row r="23" spans="2:59" ht="10" customHeight="1" x14ac:dyDescent="0.55000000000000004">
      <c r="B23" s="148" t="s">
        <v>426</v>
      </c>
      <c r="C23" s="49" t="s">
        <v>797</v>
      </c>
      <c r="D23" s="50">
        <f>COUNTIF('PF100'!U10:U109,"SCB0_CLK (0)")</f>
        <v>0</v>
      </c>
      <c r="E23" s="51">
        <f>COUNTIF('PF100'!U10:U109,"SCB1_CLK (0)")</f>
        <v>0</v>
      </c>
      <c r="F23" s="51">
        <f>COUNTIF('PF100'!U10:U109,"SCB2_CLK (0)")</f>
        <v>0</v>
      </c>
      <c r="G23" s="51">
        <f>COUNTIF('PF100'!U10:U109,"SCB3_CLK (0)")</f>
        <v>0</v>
      </c>
      <c r="H23" s="51">
        <f>COUNTIF('PF100'!U10:U109,"SCB4_CLK (0)")</f>
        <v>0</v>
      </c>
      <c r="I23" s="51">
        <f>COUNTIF('PF100'!U10:U109,"SCB5_CLK (0)")</f>
        <v>0</v>
      </c>
      <c r="J23" s="51">
        <f>COUNTIF('PF100'!U10:U109,"SCB6_CLK (0)")</f>
        <v>0</v>
      </c>
      <c r="K23" s="51">
        <f>COUNTIF('PF100'!U10:U109,"SCB7_CLK (0)")</f>
        <v>0</v>
      </c>
      <c r="BG23" s="52"/>
    </row>
    <row r="24" spans="2:59" ht="10" customHeight="1" x14ac:dyDescent="0.55000000000000004">
      <c r="B24" s="149"/>
      <c r="C24" s="49" t="s">
        <v>804</v>
      </c>
      <c r="D24" s="50">
        <f>COUNTIF('PF100'!U10:U109,"SCB0_CLK (1)")</f>
        <v>0</v>
      </c>
      <c r="E24" s="51">
        <f>COUNTIF('PF100'!U10:U109,"SCB1_CLK (1)")</f>
        <v>0</v>
      </c>
      <c r="F24" s="51">
        <f>COUNTIF('PF100'!U10:U109,"SCB2_CLK (1)")</f>
        <v>0</v>
      </c>
      <c r="G24" s="51">
        <f>COUNTIF('PF100'!U10:U109,"SCB3_CLK (1)")</f>
        <v>0</v>
      </c>
      <c r="H24" s="51">
        <f>COUNTIF('PF100'!U10:U109,"SCB4_CLK (1)")</f>
        <v>0</v>
      </c>
      <c r="I24" s="51">
        <f>COUNTIF('PF100'!U10:U109,"SCB5_CLK (1)")</f>
        <v>0</v>
      </c>
      <c r="J24" s="51">
        <f>COUNTIF('PF100'!U10:U109,"SCB6_CLK (1)")</f>
        <v>0</v>
      </c>
      <c r="K24" s="51">
        <f>COUNTIF('PF100'!U10:U109,"SCB7_CLK (1)")</f>
        <v>0</v>
      </c>
      <c r="BG24" s="52"/>
    </row>
    <row r="25" spans="2:59" x14ac:dyDescent="0.55000000000000004">
      <c r="B25" s="149"/>
      <c r="C25" s="49" t="s">
        <v>798</v>
      </c>
      <c r="D25" s="50">
        <f>COUNTIF('PF100'!U10:U109,"SCB0_MOSI (0)")</f>
        <v>0</v>
      </c>
      <c r="E25" s="51">
        <f>COUNTIF('PF100'!U10:U109,"SCB1_MOSI (0)")</f>
        <v>0</v>
      </c>
      <c r="F25" s="51">
        <f>COUNTIF('PF100'!U10:U109,"SCB2_MOSI (0)")</f>
        <v>0</v>
      </c>
      <c r="G25" s="51">
        <f>COUNTIF('PF100'!U10:U109,"SCB3_MOSI (0)")</f>
        <v>0</v>
      </c>
      <c r="H25" s="51">
        <f>COUNTIF('PF100'!U10:U109,"SCB4_MOSI (0)")</f>
        <v>0</v>
      </c>
      <c r="I25" s="51">
        <f>COUNTIF('PF100'!U10:U109,"SCB5_MOSI (0)")</f>
        <v>0</v>
      </c>
      <c r="J25" s="51">
        <f>COUNTIF('PF100'!U10:U109,"SCB6_MOSI (0)")</f>
        <v>0</v>
      </c>
      <c r="K25" s="51">
        <f>COUNTIF('PF100'!U10:U109,"SCB7_MOSI (0)")</f>
        <v>0</v>
      </c>
    </row>
    <row r="26" spans="2:59" x14ac:dyDescent="0.55000000000000004">
      <c r="B26" s="149"/>
      <c r="C26" s="49" t="s">
        <v>805</v>
      </c>
      <c r="D26" s="50">
        <f>COUNTIF('PF100'!U10:U109,"SCB0_MOSI (1)")</f>
        <v>0</v>
      </c>
      <c r="E26" s="51">
        <f>COUNTIF('PF100'!U10:U109,"SCB1_MOSI (1)")</f>
        <v>0</v>
      </c>
      <c r="F26" s="51">
        <f>COUNTIF('PF100'!U10:U109,"SCB2_MOSI (1)")</f>
        <v>0</v>
      </c>
      <c r="G26" s="51">
        <f>COUNTIF('PF100'!U10:U109,"SCB3_MOSI (1)")</f>
        <v>0</v>
      </c>
      <c r="H26" s="51">
        <f>COUNTIF('PF100'!U10:U109,"SCB4_MOSI (1)")</f>
        <v>0</v>
      </c>
      <c r="I26" s="51">
        <f>COUNTIF('PF100'!U10:U109,"SCB5_MOSI (1)")</f>
        <v>0</v>
      </c>
      <c r="J26" s="51">
        <f>COUNTIF('PF100'!U10:U109,"SCB6_MOSI (1)")</f>
        <v>0</v>
      </c>
      <c r="K26" s="51">
        <f>COUNTIF('PF100'!U10:U109,"SCB7_MOSI (1)")</f>
        <v>0</v>
      </c>
    </row>
    <row r="27" spans="2:59" x14ac:dyDescent="0.55000000000000004">
      <c r="B27" s="149"/>
      <c r="C27" s="49" t="s">
        <v>799</v>
      </c>
      <c r="D27" s="50">
        <f>COUNTIF('PF100'!U10:U109,"SCB0_MISO (0)")</f>
        <v>0</v>
      </c>
      <c r="E27" s="51">
        <f>COUNTIF('PF100'!U10:U109,"SCB1_MISO (0)")</f>
        <v>0</v>
      </c>
      <c r="F27" s="51">
        <f>COUNTIF('PF100'!U10:U109,"SCB2_MISO (0)")</f>
        <v>0</v>
      </c>
      <c r="G27" s="51">
        <f>COUNTIF('PF100'!U10:U109,"SCB3_MISO (0)")</f>
        <v>0</v>
      </c>
      <c r="H27" s="51">
        <f>COUNTIF('PF100'!U10:U109,"SCB4_MISO (0)")</f>
        <v>0</v>
      </c>
      <c r="I27" s="51">
        <f>COUNTIF('PF100'!U10:U109,"SCB5_MISO (0)")</f>
        <v>0</v>
      </c>
      <c r="J27" s="51">
        <f>COUNTIF('PF100'!U10:U109,"SCB6_MISO (0)")</f>
        <v>0</v>
      </c>
      <c r="K27" s="51">
        <f>COUNTIF('PF100'!U10:U109,"SCB7_MISO (0)")</f>
        <v>0</v>
      </c>
    </row>
    <row r="28" spans="2:59" x14ac:dyDescent="0.55000000000000004">
      <c r="B28" s="149"/>
      <c r="C28" s="49" t="s">
        <v>806</v>
      </c>
      <c r="D28" s="50">
        <f>COUNTIF('PF100'!U10:U109,"SCB0_MISO (1)")</f>
        <v>0</v>
      </c>
      <c r="E28" s="51">
        <f>COUNTIF('PF100'!U10:U109,"SCB1_MISO (1)")</f>
        <v>0</v>
      </c>
      <c r="F28" s="51">
        <f>COUNTIF('PF100'!U10:U109,"SCB2_MISO (1)")</f>
        <v>0</v>
      </c>
      <c r="G28" s="51">
        <f>COUNTIF('PF100'!U10:U109,"SCB3_MISO (1)")</f>
        <v>0</v>
      </c>
      <c r="H28" s="51">
        <f>COUNTIF('PF100'!U10:U109,"SCB4_MISO (1)")</f>
        <v>0</v>
      </c>
      <c r="I28" s="51">
        <f>COUNTIF('PF100'!U10:U109,"SCB5_MISO (1)")</f>
        <v>0</v>
      </c>
      <c r="J28" s="51">
        <f>COUNTIF('PF100'!U10:U109,"SCB6_MISO (1)")</f>
        <v>0</v>
      </c>
      <c r="K28" s="51">
        <f>COUNTIF('PF100'!U10:U109,"SCB7_MISO (1)")</f>
        <v>0</v>
      </c>
    </row>
    <row r="29" spans="2:59" x14ac:dyDescent="0.55000000000000004">
      <c r="B29" s="149"/>
      <c r="C29" s="49" t="s">
        <v>800</v>
      </c>
      <c r="D29" s="50">
        <f>COUNTIF('PF100'!U10:U109,"SCB0_SEL0 (0)")</f>
        <v>0</v>
      </c>
      <c r="E29" s="51">
        <f>COUNTIF('PF100'!U10:U109,"SCB1_SEL0 (0)")</f>
        <v>0</v>
      </c>
      <c r="F29" s="51">
        <f>COUNTIF('PF100'!U10:U109,"SCB2_SEL0 (0)")</f>
        <v>0</v>
      </c>
      <c r="G29" s="51">
        <f>COUNTIF('PF100'!U10:U109,"SCB3_SEL0 (0)")</f>
        <v>0</v>
      </c>
      <c r="H29" s="51">
        <f>COUNTIF('PF100'!U10:U109,"SCB4_SEL0 (0)")</f>
        <v>0</v>
      </c>
      <c r="I29" s="50">
        <f>COUNTIF('PF100'!U10:U109,"SCB5_SEL0 (0)")</f>
        <v>0</v>
      </c>
      <c r="J29" s="50">
        <f>COUNTIF('PF100'!U10:U109,"SCB6_SEL0 (0)")</f>
        <v>0</v>
      </c>
      <c r="K29" s="51">
        <f>COUNTIF('PF100'!U10:U109,"SCB7_SEL0 (0)")</f>
        <v>0</v>
      </c>
    </row>
    <row r="30" spans="2:59" x14ac:dyDescent="0.55000000000000004">
      <c r="B30" s="149"/>
      <c r="C30" s="49" t="s">
        <v>807</v>
      </c>
      <c r="D30" s="50">
        <f>COUNTIF('PF100'!U10:U109,"SCB0_SEL0 (1)")</f>
        <v>0</v>
      </c>
      <c r="E30" s="51">
        <f>COUNTIF('PF100'!U10:U109,"SCB1_SEL0 (1)")</f>
        <v>0</v>
      </c>
      <c r="F30" s="51">
        <f>COUNTIF('PF100'!U10:U109,"SCB2_SEL0 (1)")</f>
        <v>0</v>
      </c>
      <c r="G30" s="51">
        <f>COUNTIF('PF100'!U10:U109,"SCB3_SEL0 (1)")</f>
        <v>0</v>
      </c>
      <c r="H30" s="51">
        <f>COUNTIF('PF100'!U10:U109,"SCB4_SEL0 (1)")</f>
        <v>0</v>
      </c>
      <c r="I30" s="50">
        <f>COUNTIF('PF100'!U10:U109,"SCB5_SEL0 (1)")</f>
        <v>0</v>
      </c>
      <c r="J30" s="50">
        <f>COUNTIF('PF100'!U10:U109,"SCB6_SEL0 (1)")</f>
        <v>0</v>
      </c>
      <c r="K30" s="51">
        <f>COUNTIF('PF100'!U10:U109,"SCB7_SEL0 (1)")</f>
        <v>0</v>
      </c>
    </row>
    <row r="31" spans="2:59" x14ac:dyDescent="0.55000000000000004">
      <c r="B31" s="149"/>
      <c r="C31" s="49" t="s">
        <v>801</v>
      </c>
      <c r="D31" s="50">
        <f>COUNTIF('PF100'!U10:U109,"SCB0_SEL1 (0)")</f>
        <v>0</v>
      </c>
      <c r="E31" s="51">
        <f>COUNTIF('PF100'!U10:U109,"SCB1_SEL1 (0)")</f>
        <v>0</v>
      </c>
      <c r="F31" s="51">
        <f>COUNTIF('PF100'!U10:U109,"SCB2_SEL1 (0)")</f>
        <v>0</v>
      </c>
      <c r="G31" s="51">
        <f>COUNTIF('PF100'!U10:U109,"SCB3_SEL1 (0)")</f>
        <v>0</v>
      </c>
      <c r="H31" s="51">
        <f>COUNTIF('PF100'!U10:U109,"SCB4_SEL1 (0)")</f>
        <v>0</v>
      </c>
      <c r="I31" s="50">
        <f>COUNTIF('PF100'!U10:U109,"SCB5_SEL1 (0)")</f>
        <v>0</v>
      </c>
      <c r="J31" s="50">
        <f>COUNTIF('PF100'!U10:U109,"SCB6_SEL1 (0)")</f>
        <v>0</v>
      </c>
      <c r="K31" s="51">
        <f>COUNTIF('PF100'!U10:U109,"SCB7_SEL1 (0)")</f>
        <v>0</v>
      </c>
    </row>
    <row r="32" spans="2:59" x14ac:dyDescent="0.55000000000000004">
      <c r="B32" s="149"/>
      <c r="C32" s="49" t="s">
        <v>808</v>
      </c>
      <c r="D32" s="50">
        <f>COUNTIF('PF100'!U10:U109,"SCB0_SEL1 (1)")</f>
        <v>0</v>
      </c>
      <c r="E32" s="51">
        <f>COUNTIF('PF100'!U10:U109,"SCB1_SEL1 (1)")</f>
        <v>0</v>
      </c>
      <c r="F32" s="51">
        <f>COUNTIF('PF100'!U10:U109,"SCB2_SEL1 (1)")</f>
        <v>0</v>
      </c>
      <c r="G32" s="51">
        <f>COUNTIF('PF100'!U10:U109,"SCB3_SEL1 (1)")</f>
        <v>0</v>
      </c>
      <c r="H32" s="51">
        <f>COUNTIF('PF100'!U10:U109,"SCB4_SEL1 (1)")</f>
        <v>0</v>
      </c>
      <c r="I32" s="50">
        <f>COUNTIF('PF100'!U10:U109,"SCB5_SEL1 (1)")</f>
        <v>0</v>
      </c>
      <c r="J32" s="50">
        <f>COUNTIF('PF100'!U10:U109,"SCB6_SEL1 (1)")</f>
        <v>0</v>
      </c>
      <c r="K32" s="51">
        <f>COUNTIF('PF100'!U10:U109,"SCB7_SEL1 (1)")</f>
        <v>0</v>
      </c>
    </row>
    <row r="33" spans="2:11" x14ac:dyDescent="0.55000000000000004">
      <c r="B33" s="149"/>
      <c r="C33" s="49" t="s">
        <v>802</v>
      </c>
      <c r="D33" s="50">
        <f>COUNTIF('PF100'!U10:U109,"SCB0_SEL2 (0)")</f>
        <v>0</v>
      </c>
      <c r="E33" s="51">
        <f>COUNTIF('PF100'!U10:U109,"SCB1_SEL2 (0)")</f>
        <v>0</v>
      </c>
      <c r="F33" s="51">
        <f>COUNTIF('PF100'!U10:U109,"SCB2_SEL2 (0)")</f>
        <v>0</v>
      </c>
      <c r="G33" s="51">
        <f>COUNTIF('PF100'!U10:U109,"SCB3_SEL2 (0)")</f>
        <v>0</v>
      </c>
      <c r="H33" s="51">
        <f>COUNTIF('PF100'!U10:U109,"SCB4_SEL2 (0)")</f>
        <v>0</v>
      </c>
      <c r="I33" s="50">
        <f>COUNTIF('PF100'!U10:U109,"SCB5_SEL2 (0)")</f>
        <v>0</v>
      </c>
      <c r="J33" s="50">
        <f>COUNTIF('PF100'!U10:U109,"SCB6_SEL2 (0)")</f>
        <v>0</v>
      </c>
      <c r="K33" s="51">
        <f>COUNTIF('PF100'!U10:U109,"SCB7_SEL2 (0)")</f>
        <v>0</v>
      </c>
    </row>
    <row r="34" spans="2:11" x14ac:dyDescent="0.55000000000000004">
      <c r="B34" s="149"/>
      <c r="C34" s="49" t="s">
        <v>809</v>
      </c>
      <c r="D34" s="50">
        <f>COUNTIF('PF100'!U10:U109,"SCB0_SEL2 (1)")</f>
        <v>0</v>
      </c>
      <c r="E34" s="51">
        <f>COUNTIF('PF100'!U10:U109,"SCB1_SEL2 (1)")</f>
        <v>0</v>
      </c>
      <c r="F34" s="51">
        <f>COUNTIF('PF100'!U10:U109,"SCB2_SEL2 (1)")</f>
        <v>0</v>
      </c>
      <c r="G34" s="51">
        <f>COUNTIF('PF100'!U10:U109,"SCB3_SEL2 (1)")</f>
        <v>0</v>
      </c>
      <c r="H34" s="51">
        <f>COUNTIF('PF100'!U10:U109,"SCB4_SEL2 (1)")</f>
        <v>0</v>
      </c>
      <c r="I34" s="50">
        <f>COUNTIF('PF100'!U10:U109,"SCB5_SEL2 (1)")</f>
        <v>0</v>
      </c>
      <c r="J34" s="50">
        <f>COUNTIF('PF100'!U10:U109,"SCB6_SEL2 (1)")</f>
        <v>0</v>
      </c>
      <c r="K34" s="51">
        <f>COUNTIF('PF100'!U10:U109,"SCB7_SEL2 (1)")</f>
        <v>0</v>
      </c>
    </row>
    <row r="35" spans="2:11" x14ac:dyDescent="0.55000000000000004">
      <c r="B35" s="149"/>
      <c r="C35" s="49" t="s">
        <v>803</v>
      </c>
      <c r="D35" s="50">
        <f>COUNTIF('PF100'!U10:U109,"SCB0_SEL3 (0)")</f>
        <v>0</v>
      </c>
      <c r="E35" s="51">
        <f>COUNTIF('PF100'!U10:U109,"SCB1_SEL3 (0)")</f>
        <v>0</v>
      </c>
      <c r="F35" s="51">
        <f>COUNTIF('PF100'!U10:U109,"SCB2_SEL3 (0)")</f>
        <v>0</v>
      </c>
      <c r="G35" s="51">
        <f>COUNTIF('PF100'!U10:U109,"SCB3_SEL3 (0)")</f>
        <v>0</v>
      </c>
      <c r="H35" s="51">
        <f>COUNTIF('PF100'!U10:U109,"SCB4_SEL3 (0)")</f>
        <v>0</v>
      </c>
      <c r="I35" s="50">
        <f>COUNTIF('PF100'!U10:U109,"SCB5_SEL3 (0)")</f>
        <v>0</v>
      </c>
      <c r="J35" s="50">
        <f>COUNTIF('PF100'!U10:U109,"SCB6_SEL3 (0)")</f>
        <v>0</v>
      </c>
      <c r="K35" s="51">
        <f>COUNTIF('PF100'!U10:U109,"SCB7_SEL3 (0)")</f>
        <v>0</v>
      </c>
    </row>
    <row r="36" spans="2:11" x14ac:dyDescent="0.55000000000000004">
      <c r="B36" s="150"/>
      <c r="C36" s="49" t="s">
        <v>810</v>
      </c>
      <c r="D36" s="50">
        <f>COUNTIF('PF100'!U10:U109,"SCB0_SEL3 (1)")</f>
        <v>0</v>
      </c>
      <c r="E36" s="51">
        <f>COUNTIF('PF100'!U10:U109,"SCB1_SEL3 (1)")</f>
        <v>0</v>
      </c>
      <c r="F36" s="51">
        <f>COUNTIF('PF100'!U10:U109,"SCB2_SEL3 (1)")</f>
        <v>0</v>
      </c>
      <c r="G36" s="51">
        <f>COUNTIF('PF100'!U10:U109,"SCB3_SEL3 (1)")</f>
        <v>0</v>
      </c>
      <c r="H36" s="51">
        <f>COUNTIF('PF100'!U10:U109,"SCB4_SEL3 (1)")</f>
        <v>0</v>
      </c>
      <c r="I36" s="50">
        <f>COUNTIF('PF100'!U10:U109,"SCB5_SEL3 (1)")</f>
        <v>0</v>
      </c>
      <c r="J36" s="50">
        <f>COUNTIF('PF100'!U10:U109,"SCB6_SEL3 (1)")</f>
        <v>0</v>
      </c>
      <c r="K36" s="51">
        <f>COUNTIF('PF100'!U10:U109,"SCB7_SEL3 (1)")</f>
        <v>0</v>
      </c>
    </row>
    <row r="37" spans="2:11" ht="10" customHeight="1" x14ac:dyDescent="0.55000000000000004">
      <c r="B37" s="147" t="s">
        <v>425</v>
      </c>
      <c r="C37" s="49" t="s">
        <v>780</v>
      </c>
      <c r="D37" s="50">
        <f>COUNTIF('PF100'!U10:U109,"SCB0_TX (0)")</f>
        <v>0</v>
      </c>
      <c r="E37" s="51">
        <f>COUNTIF('PF100'!U10:U109,"SCB1_TX (0)")</f>
        <v>0</v>
      </c>
      <c r="F37" s="51">
        <f>COUNTIF('PF100'!U10:U109,"SCB2_TX (0)")</f>
        <v>0</v>
      </c>
      <c r="G37" s="51">
        <f>COUNTIF('PF100'!U10:U109,"SCB3_TX (0)")</f>
        <v>0</v>
      </c>
      <c r="H37" s="51">
        <f>COUNTIF('PF100'!U10:U109,"SCB4_TX (0)")</f>
        <v>0</v>
      </c>
      <c r="I37" s="55">
        <f>COUNTIF('PF100'!U10:U109,"SCB5_TX (0)")</f>
        <v>0</v>
      </c>
      <c r="J37" s="55">
        <f>COUNTIF('PF100'!U10:U109,"SCB6_TX (0)")</f>
        <v>0</v>
      </c>
      <c r="K37" s="51">
        <f>COUNTIF('PF100'!U10:U109,"SCB7_TX (0)")</f>
        <v>0</v>
      </c>
    </row>
    <row r="38" spans="2:11" ht="10" customHeight="1" x14ac:dyDescent="0.55000000000000004">
      <c r="B38" s="147"/>
      <c r="C38" s="49" t="s">
        <v>781</v>
      </c>
      <c r="D38" s="56">
        <f>COUNTIF('PF100'!U10:U109,"SCB0_TX (1)")</f>
        <v>0</v>
      </c>
      <c r="E38" s="51">
        <f>COUNTIF('PF100'!U10:U109,"SCB1_TX (1)")</f>
        <v>0</v>
      </c>
      <c r="F38" s="51">
        <f>COUNTIF('PF100'!U10:U109,"SCB2_TX (1)")</f>
        <v>0</v>
      </c>
      <c r="G38" s="51">
        <f>COUNTIF('PF100'!U10:U109,"SCB3_TX (1)")</f>
        <v>0</v>
      </c>
      <c r="H38" s="51">
        <f>COUNTIF('PF100'!U10:U109,"SCB4_TX (1)")</f>
        <v>0</v>
      </c>
      <c r="I38" s="55">
        <f>COUNTIF('PF100'!U10:U109,"SCB5_TX (1)")</f>
        <v>0</v>
      </c>
      <c r="J38" s="55">
        <f>COUNTIF('PF100'!U10:U109,"SCB6_TX (1)")</f>
        <v>0</v>
      </c>
      <c r="K38" s="51">
        <f>COUNTIF('PF100'!U10:U109,"SCB7_TX (1)")</f>
        <v>0</v>
      </c>
    </row>
    <row r="39" spans="2:11" x14ac:dyDescent="0.55000000000000004">
      <c r="B39" s="147"/>
      <c r="C39" s="49" t="s">
        <v>782</v>
      </c>
      <c r="D39" s="50">
        <f>COUNTIF('PF100'!U10:U109,"SCB0_RX (0)")</f>
        <v>0</v>
      </c>
      <c r="E39" s="51">
        <f>COUNTIF('PF100'!U10:U109,"SCB1_RX (0)")</f>
        <v>0</v>
      </c>
      <c r="F39" s="51">
        <f>COUNTIF('PF100'!U10:U109,"SCB2_RX (0)")</f>
        <v>0</v>
      </c>
      <c r="G39" s="51">
        <f>COUNTIF('PF100'!U10:U109,"SCB3_RX (0)")</f>
        <v>0</v>
      </c>
      <c r="H39" s="51">
        <f>COUNTIF('PF100'!U10:U109,"SCB4_RX (0)")</f>
        <v>0</v>
      </c>
      <c r="I39" s="51">
        <f>COUNTIF('PF100'!U10:U109,"SCB5_RX (0)")</f>
        <v>0</v>
      </c>
      <c r="J39" s="51">
        <f>COUNTIF('PF100'!U10:U109,"SCB6_RX (0)")</f>
        <v>0</v>
      </c>
      <c r="K39" s="51">
        <f>COUNTIF('PF100'!U10:U109,"SCB7_RX (0)")</f>
        <v>0</v>
      </c>
    </row>
    <row r="40" spans="2:11" x14ac:dyDescent="0.55000000000000004">
      <c r="B40" s="147"/>
      <c r="C40" s="49" t="s">
        <v>785</v>
      </c>
      <c r="D40" s="56">
        <f>COUNTIF('PF100'!U10:U109,"SCB0_RX (1)")</f>
        <v>0</v>
      </c>
      <c r="E40" s="51">
        <f>COUNTIF('PF100'!U10:U109,"SCB1_RX (1)")</f>
        <v>0</v>
      </c>
      <c r="F40" s="51">
        <f>COUNTIF('PF100'!U10:U109,"SCB2_RX (1)")</f>
        <v>0</v>
      </c>
      <c r="G40" s="51">
        <f>COUNTIF('PF100'!U10:U109,"SCB3_RX (1)")</f>
        <v>0</v>
      </c>
      <c r="H40" s="51">
        <f>COUNTIF('PF100'!U10:U109,"SCB4_RX (1)")</f>
        <v>0</v>
      </c>
      <c r="I40" s="51">
        <f>COUNTIF('PF100'!U10:U109,"SCB5_RX (1)")</f>
        <v>0</v>
      </c>
      <c r="J40" s="51">
        <f>COUNTIF('PF100'!U10:U109,"SCB6_RX (1)")</f>
        <v>0</v>
      </c>
      <c r="K40" s="51">
        <f>COUNTIF('PF100'!U10:U109,"SCB7_RX (1)")</f>
        <v>0</v>
      </c>
    </row>
    <row r="41" spans="2:11" x14ac:dyDescent="0.55000000000000004">
      <c r="B41" s="147"/>
      <c r="C41" s="49" t="s">
        <v>783</v>
      </c>
      <c r="D41" s="50">
        <f>COUNTIF('PF100'!U10:U109,"SCB0_CTS (0)")</f>
        <v>0</v>
      </c>
      <c r="E41" s="51">
        <f>COUNTIF('PF100'!U10:U109,"SCB1_CTS (0)")</f>
        <v>0</v>
      </c>
      <c r="F41" s="51">
        <f>COUNTIF('PF100'!U10:U109,"SCB2_CTS (0)")</f>
        <v>0</v>
      </c>
      <c r="G41" s="51">
        <f>COUNTIF('PF100'!U10:U109,"SCB3_CTS (0)")</f>
        <v>0</v>
      </c>
      <c r="H41" s="51">
        <f>COUNTIF('PF100'!U10:U109,"SCB4_CTS (0)")</f>
        <v>0</v>
      </c>
      <c r="I41" s="51">
        <f>COUNTIF('PF100'!U10:U109,"SCB5_CTS (0)")</f>
        <v>0</v>
      </c>
      <c r="J41" s="51">
        <f>COUNTIF('PF100'!U10:U109,"SCB6_CTS (0)")</f>
        <v>0</v>
      </c>
      <c r="K41" s="51">
        <f>COUNTIF('PF100'!U10:U109,"SCB7_CTS (0)")</f>
        <v>0</v>
      </c>
    </row>
    <row r="42" spans="2:11" x14ac:dyDescent="0.55000000000000004">
      <c r="B42" s="147"/>
      <c r="C42" s="49" t="s">
        <v>786</v>
      </c>
      <c r="D42" s="56">
        <f>COUNTIF('PF100'!U10:U109,"SCB0_CTS (1)")</f>
        <v>0</v>
      </c>
      <c r="E42" s="51">
        <f>COUNTIF('PF100'!U10:U109,"SCB1_CTS (1)")</f>
        <v>0</v>
      </c>
      <c r="F42" s="51">
        <f>COUNTIF('PF100'!U10:U109,"SCB2_CTS (1)")</f>
        <v>0</v>
      </c>
      <c r="G42" s="51">
        <f>COUNTIF('PF100'!U10:U109,"SCB3_CTS (1)")</f>
        <v>0</v>
      </c>
      <c r="H42" s="51">
        <f>COUNTIF('PF100'!U10:U109,"SCB4_CTS (1)")</f>
        <v>0</v>
      </c>
      <c r="I42" s="51">
        <f>COUNTIF('PF100'!U10:U109,"SCB5_CTS (1)")</f>
        <v>0</v>
      </c>
      <c r="J42" s="51">
        <f>COUNTIF('PF100'!U10:U109,"SCB6_CTS (1)")</f>
        <v>0</v>
      </c>
      <c r="K42" s="51">
        <f>COUNTIF('PF100'!U10:U109,"SCB7_CTS (1)")</f>
        <v>0</v>
      </c>
    </row>
    <row r="43" spans="2:11" x14ac:dyDescent="0.55000000000000004">
      <c r="B43" s="147"/>
      <c r="C43" s="49" t="s">
        <v>784</v>
      </c>
      <c r="D43" s="50">
        <f>COUNTIF('PF100'!U10:U109,"SCB0_RTS (0)")</f>
        <v>0</v>
      </c>
      <c r="E43" s="51">
        <f>COUNTIF('PF100'!U10:U109,"SCB1_RTS (0)")</f>
        <v>0</v>
      </c>
      <c r="F43" s="51">
        <f>COUNTIF('PF100'!U10:U109,"SCB2_RTS (0)")</f>
        <v>0</v>
      </c>
      <c r="G43" s="51">
        <f>COUNTIF('PF100'!U10:U109,"SCB3_RTS (0)")</f>
        <v>0</v>
      </c>
      <c r="H43" s="51">
        <f>COUNTIF('PF100'!U10:U109,"SCB4_RTS (0)")</f>
        <v>0</v>
      </c>
      <c r="I43" s="51">
        <f>COUNTIF('PF100'!U10:U109,"SCB5_RTS (0)")</f>
        <v>0</v>
      </c>
      <c r="J43" s="51">
        <f>COUNTIF('PF100'!U10:U109,"SCB6_RTS (0)")</f>
        <v>0</v>
      </c>
      <c r="K43" s="51">
        <f>COUNTIF('PF100'!U10:U109,"SCB7_RTS (0)")</f>
        <v>0</v>
      </c>
    </row>
    <row r="44" spans="2:11" x14ac:dyDescent="0.55000000000000004">
      <c r="B44" s="147"/>
      <c r="C44" s="49" t="s">
        <v>787</v>
      </c>
      <c r="D44" s="56">
        <f>COUNTIF('PF100'!U10:U109,"SCB0_RTS (1)")</f>
        <v>0</v>
      </c>
      <c r="E44" s="51">
        <f>COUNTIF('PF100'!U10:U109,"SCB1_RTS (1)")</f>
        <v>0</v>
      </c>
      <c r="F44" s="51">
        <f>COUNTIF('PF100'!U10:U109,"SCB2_RTS (1)")</f>
        <v>0</v>
      </c>
      <c r="G44" s="51">
        <f>COUNTIF('PF100'!U10:U109,"SCB3_RTS (1)")</f>
        <v>0</v>
      </c>
      <c r="H44" s="51">
        <f>COUNTIF('PF100'!U10:U109,"SCB4_RTS (1)")</f>
        <v>0</v>
      </c>
      <c r="I44" s="51">
        <f>COUNTIF('PF100'!U10:U109,"SCB5_RTS (1)")</f>
        <v>0</v>
      </c>
      <c r="J44" s="51">
        <f>COUNTIF('PF100'!U10:U109,"SCB6_RTS (1)")</f>
        <v>0</v>
      </c>
      <c r="K44" s="51">
        <f>COUNTIF('PF100'!U10:U109,"SCB7_RTS (1)")</f>
        <v>0</v>
      </c>
    </row>
    <row r="45" spans="2:11" ht="10" customHeight="1" x14ac:dyDescent="0.55000000000000004">
      <c r="B45" s="147" t="s">
        <v>427</v>
      </c>
      <c r="C45" s="57" t="s">
        <v>790</v>
      </c>
      <c r="D45" s="50">
        <f>COUNTIF('PF100'!U10:U109,"SCB0_SDA (0)")</f>
        <v>0</v>
      </c>
      <c r="E45" s="51">
        <f>COUNTIF('PF100'!U10:U109,"SCB1_SDA (0)")</f>
        <v>0</v>
      </c>
      <c r="F45" s="51">
        <f>COUNTIF('PF100'!U10:U109,"SCB2_SDA (0)")</f>
        <v>0</v>
      </c>
      <c r="G45" s="51">
        <f>COUNTIF('PF100'!U10:U109,"SCB3_SDA (0)")</f>
        <v>0</v>
      </c>
      <c r="H45" s="51">
        <f>COUNTIF('PF100'!U10:U109,"SCB4_SDA (0)")</f>
        <v>0</v>
      </c>
      <c r="I45" s="55">
        <f>COUNTIF('PF100'!U10:U109,"SCB5_SDA (0)")</f>
        <v>0</v>
      </c>
      <c r="J45" s="55">
        <f>COUNTIF('PF100'!U10:U109,"SCB6_SDA (0)")</f>
        <v>0</v>
      </c>
      <c r="K45" s="55">
        <f>COUNTIF('PF100'!U10:U109,"SCB7_SDA (0)")</f>
        <v>0</v>
      </c>
    </row>
    <row r="46" spans="2:11" x14ac:dyDescent="0.55000000000000004">
      <c r="B46" s="147"/>
      <c r="C46" s="57" t="s">
        <v>791</v>
      </c>
      <c r="D46" s="50">
        <f>COUNTIF('PF100'!U10:U109,"SCB0_SDA (1)")</f>
        <v>0</v>
      </c>
      <c r="E46" s="51">
        <f>COUNTIF('PF100'!U10:U109,"SCB1_SDA (1)")</f>
        <v>0</v>
      </c>
      <c r="F46" s="51">
        <f>COUNTIF('PF100'!U10:U109,"SCB2_SDA (1)")</f>
        <v>0</v>
      </c>
      <c r="G46" s="51">
        <f>COUNTIF('PF100'!U10:U109,"SCB3_SDA (1)")</f>
        <v>0</v>
      </c>
      <c r="H46" s="51">
        <f>COUNTIF('PF100'!U10:U109,"SCB4_SDA (1)")</f>
        <v>0</v>
      </c>
      <c r="I46" s="55">
        <f>COUNTIF('PF100'!U10:U109,"SCB5_SDA (1)")</f>
        <v>0</v>
      </c>
      <c r="J46" s="55">
        <f>COUNTIF('PF100'!U10:U109,"SCB6_SDA (1)")</f>
        <v>0</v>
      </c>
      <c r="K46" s="55">
        <f>COUNTIF('PF100'!U10:U109,"SCB7_SDA (1)")</f>
        <v>0</v>
      </c>
    </row>
    <row r="47" spans="2:11" x14ac:dyDescent="0.55000000000000004">
      <c r="B47" s="147"/>
      <c r="C47" s="57" t="s">
        <v>792</v>
      </c>
      <c r="D47" s="50">
        <f>COUNTIF('PF100'!U10:U109,"SCB0_SDA (2)")</f>
        <v>0</v>
      </c>
      <c r="E47" s="51">
        <f>COUNTIF('PF100'!U10:U109,"SCB1_SDA (2)")</f>
        <v>0</v>
      </c>
      <c r="F47" s="51">
        <f>COUNTIF('PF100'!U10:U109,"SCB2_SDA (2)")</f>
        <v>0</v>
      </c>
      <c r="G47" s="51">
        <f>COUNTIF('PF100'!U10:U109,"SCB3_SDA (2)")</f>
        <v>0</v>
      </c>
      <c r="H47" s="51">
        <f>COUNTIF('PF100'!U10:U109,"SCB4_SDA (2)")</f>
        <v>0</v>
      </c>
      <c r="I47" s="55">
        <f>COUNTIF('PF100'!U10:U109,"SCB5_SDA (2)")</f>
        <v>0</v>
      </c>
      <c r="J47" s="55">
        <f>COUNTIF('PF100'!U10:U109,"SCB6_SDA (2)")</f>
        <v>0</v>
      </c>
      <c r="K47" s="55">
        <f>COUNTIF('PF100'!U10:U109,"SCB7_SDA (2)")</f>
        <v>0</v>
      </c>
    </row>
    <row r="48" spans="2:11" x14ac:dyDescent="0.55000000000000004">
      <c r="B48" s="147"/>
      <c r="C48" s="57" t="s">
        <v>793</v>
      </c>
      <c r="D48" s="50">
        <f>COUNTIF('PF100'!U10:U109,"SCB0_SCL (0)")</f>
        <v>0</v>
      </c>
      <c r="E48" s="51">
        <f>COUNTIF('PF100'!U10:U109,"SCB1_SCL (0)")</f>
        <v>0</v>
      </c>
      <c r="F48" s="51">
        <f>COUNTIF('PF100'!U10:U109,"SCB2_SCL (0)")</f>
        <v>0</v>
      </c>
      <c r="G48" s="51">
        <f>COUNTIF('PF100'!U10:U109,"SCB3_SCL (0)")</f>
        <v>0</v>
      </c>
      <c r="H48" s="51">
        <f>COUNTIF('PF100'!U10:U109,"SCB4_SCL (0)")</f>
        <v>0</v>
      </c>
      <c r="I48" s="55">
        <f>COUNTIF('PF100'!U10:U109,"SCB5_SCL (0)")</f>
        <v>0</v>
      </c>
      <c r="J48" s="55">
        <f>COUNTIF('PF100'!U10:U109,"SCB6_SCL (0)")</f>
        <v>0</v>
      </c>
      <c r="K48" s="55">
        <f>COUNTIF('PF100'!U10:U109,"SCB7_SCL (0)")</f>
        <v>0</v>
      </c>
    </row>
    <row r="49" spans="2:66" x14ac:dyDescent="0.55000000000000004">
      <c r="B49" s="147"/>
      <c r="C49" s="57" t="s">
        <v>794</v>
      </c>
      <c r="D49" s="50">
        <f>COUNTIF('PF100'!U10:U109,"SCB0_SCL (1)")</f>
        <v>0</v>
      </c>
      <c r="E49" s="51">
        <f>COUNTIF('PF100'!U10:U109,"SCB1_SCL (1)")</f>
        <v>0</v>
      </c>
      <c r="F49" s="51">
        <f>COUNTIF('PF100'!U10:U109,"SCB2_SCL (1)")</f>
        <v>0</v>
      </c>
      <c r="G49" s="51">
        <f>COUNTIF('PF100'!U10:U109,"SCB3_SCL (1)")</f>
        <v>0</v>
      </c>
      <c r="H49" s="51">
        <f>COUNTIF('PF100'!U10:U109,"SCB4_SCL (1)")</f>
        <v>0</v>
      </c>
      <c r="I49" s="55">
        <f>COUNTIF('PF100'!U10:U109,"SCB5_SCL (1)")</f>
        <v>0</v>
      </c>
      <c r="J49" s="55">
        <f>COUNTIF('PF100'!U10:U109,"SCB6_SCL (1)")</f>
        <v>0</v>
      </c>
      <c r="K49" s="55">
        <f>COUNTIF('PF100'!U10:U109,"SCB7_SCL (1)")</f>
        <v>0</v>
      </c>
    </row>
    <row r="50" spans="2:66" x14ac:dyDescent="0.55000000000000004">
      <c r="B50" s="147"/>
      <c r="C50" s="57" t="s">
        <v>795</v>
      </c>
      <c r="D50" s="50">
        <f>COUNTIF('PF100'!U10:U109,"SCB0_SCL (2)")</f>
        <v>0</v>
      </c>
      <c r="E50" s="51">
        <f>COUNTIF('PF100'!U10:U109,"SCB1_SCL (2)")</f>
        <v>0</v>
      </c>
      <c r="F50" s="51">
        <f>COUNTIF('PF100'!U10:U109,"SCB2_SCL (2)")</f>
        <v>0</v>
      </c>
      <c r="G50" s="51">
        <f>COUNTIF('PF100'!U10:U109,"SCB3_SCL (2)")</f>
        <v>0</v>
      </c>
      <c r="H50" s="51">
        <f>COUNTIF('PF100'!U10:U109,"SCB4_SCL (2)")</f>
        <v>0</v>
      </c>
      <c r="I50" s="55">
        <f>COUNTIF('PF100'!U10:U109,"SCB5_SCL (2)")</f>
        <v>0</v>
      </c>
      <c r="J50" s="55">
        <f>COUNTIF('PF100'!U10:U109,"SCB6_SCL (2)")</f>
        <v>0</v>
      </c>
      <c r="K50" s="55">
        <f>COUNTIF('PF100'!U10:U109,"SCB7_SCL (2)")</f>
        <v>0</v>
      </c>
    </row>
    <row r="52" spans="2:66" hidden="1" x14ac:dyDescent="0.55000000000000004">
      <c r="B52" s="58" t="s">
        <v>386</v>
      </c>
      <c r="C52" s="58" t="s">
        <v>831</v>
      </c>
      <c r="D52" s="59" t="s">
        <v>387</v>
      </c>
      <c r="E52" s="59" t="s">
        <v>388</v>
      </c>
      <c r="F52" s="59" t="s">
        <v>389</v>
      </c>
      <c r="G52" s="59" t="s">
        <v>390</v>
      </c>
      <c r="H52" s="59" t="s">
        <v>394</v>
      </c>
      <c r="I52" s="59" t="s">
        <v>393</v>
      </c>
      <c r="J52" s="59" t="s">
        <v>392</v>
      </c>
      <c r="K52" s="59" t="s">
        <v>391</v>
      </c>
    </row>
    <row r="53" spans="2:66" hidden="1" x14ac:dyDescent="0.55000000000000004">
      <c r="B53" s="60" t="s">
        <v>830</v>
      </c>
      <c r="C53" s="61">
        <v>0</v>
      </c>
      <c r="D53" s="61">
        <f>D23+D25+D27+D29+D31+D33+D35</f>
        <v>0</v>
      </c>
      <c r="E53" s="61">
        <f t="shared" ref="E53:K54" si="0">E23+E25+E27+E29+E31+E33+E35</f>
        <v>0</v>
      </c>
      <c r="F53" s="61">
        <f t="shared" si="0"/>
        <v>0</v>
      </c>
      <c r="G53" s="61">
        <f t="shared" si="0"/>
        <v>0</v>
      </c>
      <c r="H53" s="61">
        <f t="shared" si="0"/>
        <v>0</v>
      </c>
      <c r="I53" s="61">
        <f t="shared" si="0"/>
        <v>0</v>
      </c>
      <c r="J53" s="61">
        <f t="shared" si="0"/>
        <v>0</v>
      </c>
      <c r="K53" s="61">
        <f t="shared" si="0"/>
        <v>0</v>
      </c>
    </row>
    <row r="54" spans="2:66" hidden="1" x14ac:dyDescent="0.55000000000000004">
      <c r="B54" s="62"/>
      <c r="C54" s="61">
        <v>1</v>
      </c>
      <c r="D54" s="61">
        <f>D24+D26+D28+D30+D32+D34+D36</f>
        <v>0</v>
      </c>
      <c r="E54" s="61">
        <f t="shared" si="0"/>
        <v>0</v>
      </c>
      <c r="F54" s="61">
        <f t="shared" si="0"/>
        <v>0</v>
      </c>
      <c r="G54" s="61">
        <f t="shared" si="0"/>
        <v>0</v>
      </c>
      <c r="H54" s="61">
        <f t="shared" si="0"/>
        <v>0</v>
      </c>
      <c r="I54" s="61">
        <f t="shared" si="0"/>
        <v>0</v>
      </c>
      <c r="J54" s="61">
        <f t="shared" si="0"/>
        <v>0</v>
      </c>
      <c r="K54" s="61">
        <f t="shared" si="0"/>
        <v>0</v>
      </c>
    </row>
    <row r="55" spans="2:66" hidden="1" x14ac:dyDescent="0.55000000000000004">
      <c r="B55" s="60" t="s">
        <v>832</v>
      </c>
      <c r="C55" s="61">
        <v>0</v>
      </c>
      <c r="D55" s="61">
        <f>D37+D39+D41+D43</f>
        <v>0</v>
      </c>
      <c r="E55" s="61">
        <f t="shared" ref="E55:K56" si="1">E37+E39+E41+E43</f>
        <v>0</v>
      </c>
      <c r="F55" s="61">
        <f t="shared" si="1"/>
        <v>0</v>
      </c>
      <c r="G55" s="61">
        <f t="shared" si="1"/>
        <v>0</v>
      </c>
      <c r="H55" s="61">
        <f t="shared" si="1"/>
        <v>0</v>
      </c>
      <c r="I55" s="61">
        <f t="shared" si="1"/>
        <v>0</v>
      </c>
      <c r="J55" s="61">
        <f t="shared" si="1"/>
        <v>0</v>
      </c>
      <c r="K55" s="61">
        <f t="shared" si="1"/>
        <v>0</v>
      </c>
    </row>
    <row r="56" spans="2:66" hidden="1" x14ac:dyDescent="0.55000000000000004">
      <c r="B56" s="62"/>
      <c r="C56" s="61">
        <v>1</v>
      </c>
      <c r="D56" s="61">
        <f>D38+D40+D42+D44</f>
        <v>0</v>
      </c>
      <c r="E56" s="61">
        <f t="shared" si="1"/>
        <v>0</v>
      </c>
      <c r="F56" s="61">
        <f t="shared" si="1"/>
        <v>0</v>
      </c>
      <c r="G56" s="61">
        <f t="shared" si="1"/>
        <v>0</v>
      </c>
      <c r="H56" s="61">
        <f t="shared" si="1"/>
        <v>0</v>
      </c>
      <c r="I56" s="61">
        <f t="shared" si="1"/>
        <v>0</v>
      </c>
      <c r="J56" s="61">
        <f t="shared" si="1"/>
        <v>0</v>
      </c>
      <c r="K56" s="61">
        <f t="shared" si="1"/>
        <v>0</v>
      </c>
    </row>
    <row r="57" spans="2:66" hidden="1" x14ac:dyDescent="0.55000000000000004">
      <c r="B57" s="60" t="s">
        <v>833</v>
      </c>
      <c r="C57" s="61">
        <v>0</v>
      </c>
      <c r="D57" s="61">
        <f>D45+D48</f>
        <v>0</v>
      </c>
      <c r="E57" s="61">
        <f>E45+E48</f>
        <v>0</v>
      </c>
      <c r="F57" s="61">
        <f>F45+F48</f>
        <v>0</v>
      </c>
      <c r="G57" s="61">
        <f t="shared" ref="G57:K57" si="2">G45+G48</f>
        <v>0</v>
      </c>
      <c r="H57" s="61">
        <f t="shared" si="2"/>
        <v>0</v>
      </c>
      <c r="I57" s="61">
        <f t="shared" si="2"/>
        <v>0</v>
      </c>
      <c r="J57" s="61">
        <f t="shared" si="2"/>
        <v>0</v>
      </c>
      <c r="K57" s="61">
        <f t="shared" si="2"/>
        <v>0</v>
      </c>
    </row>
    <row r="58" spans="2:66" hidden="1" x14ac:dyDescent="0.55000000000000004">
      <c r="B58" s="63"/>
      <c r="C58" s="61">
        <v>1</v>
      </c>
      <c r="D58" s="61">
        <f>D46+D49</f>
        <v>0</v>
      </c>
      <c r="E58" s="61">
        <f t="shared" ref="E58:K59" si="3">E46+E49</f>
        <v>0</v>
      </c>
      <c r="F58" s="61">
        <f t="shared" si="3"/>
        <v>0</v>
      </c>
      <c r="G58" s="61">
        <f t="shared" si="3"/>
        <v>0</v>
      </c>
      <c r="H58" s="61">
        <f t="shared" si="3"/>
        <v>0</v>
      </c>
      <c r="I58" s="61">
        <f t="shared" si="3"/>
        <v>0</v>
      </c>
      <c r="J58" s="61">
        <f t="shared" si="3"/>
        <v>0</v>
      </c>
      <c r="K58" s="61">
        <f t="shared" si="3"/>
        <v>0</v>
      </c>
    </row>
    <row r="59" spans="2:66" hidden="1" x14ac:dyDescent="0.55000000000000004">
      <c r="B59" s="62"/>
      <c r="C59" s="61">
        <v>2</v>
      </c>
      <c r="D59" s="61">
        <f>D47+D50</f>
        <v>0</v>
      </c>
      <c r="E59" s="61">
        <f t="shared" si="3"/>
        <v>0</v>
      </c>
      <c r="F59" s="61">
        <f t="shared" si="3"/>
        <v>0</v>
      </c>
      <c r="G59" s="61">
        <f t="shared" si="3"/>
        <v>0</v>
      </c>
      <c r="H59" s="61">
        <f t="shared" si="3"/>
        <v>0</v>
      </c>
      <c r="I59" s="61">
        <f t="shared" si="3"/>
        <v>0</v>
      </c>
      <c r="J59" s="61">
        <f t="shared" si="3"/>
        <v>0</v>
      </c>
      <c r="K59" s="61">
        <f t="shared" si="3"/>
        <v>0</v>
      </c>
    </row>
    <row r="60" spans="2:66" hidden="1" x14ac:dyDescent="0.55000000000000004">
      <c r="B60" s="64" t="s">
        <v>834</v>
      </c>
      <c r="C60" s="65"/>
      <c r="D60" s="58">
        <f t="shared" ref="D60:K60" si="4">COUNTIF(D53:D59, "&lt;&gt;0")</f>
        <v>0</v>
      </c>
      <c r="E60" s="58">
        <f t="shared" si="4"/>
        <v>0</v>
      </c>
      <c r="F60" s="58">
        <f t="shared" si="4"/>
        <v>0</v>
      </c>
      <c r="G60" s="58">
        <f t="shared" si="4"/>
        <v>0</v>
      </c>
      <c r="H60" s="58">
        <f t="shared" si="4"/>
        <v>0</v>
      </c>
      <c r="I60" s="58">
        <f t="shared" si="4"/>
        <v>0</v>
      </c>
      <c r="J60" s="58">
        <f t="shared" si="4"/>
        <v>0</v>
      </c>
      <c r="K60" s="58">
        <f t="shared" si="4"/>
        <v>0</v>
      </c>
    </row>
    <row r="62" spans="2:66" x14ac:dyDescent="0.55000000000000004">
      <c r="B62" s="141" t="s">
        <v>442</v>
      </c>
      <c r="C62" s="142"/>
      <c r="D62" s="42" t="s">
        <v>431</v>
      </c>
      <c r="E62" s="42" t="s">
        <v>432</v>
      </c>
      <c r="F62" s="42" t="s">
        <v>433</v>
      </c>
      <c r="G62" s="42" t="s">
        <v>434</v>
      </c>
      <c r="H62" s="42" t="s">
        <v>436</v>
      </c>
      <c r="I62" s="42" t="s">
        <v>437</v>
      </c>
      <c r="J62" s="42" t="s">
        <v>438</v>
      </c>
      <c r="K62" s="42" t="s">
        <v>439</v>
      </c>
      <c r="L62" s="42" t="s">
        <v>440</v>
      </c>
      <c r="M62" s="42" t="s">
        <v>441</v>
      </c>
      <c r="N62" s="42" t="s">
        <v>443</v>
      </c>
      <c r="O62" s="42" t="s">
        <v>444</v>
      </c>
      <c r="P62" s="42" t="s">
        <v>447</v>
      </c>
      <c r="Q62" s="42" t="s">
        <v>448</v>
      </c>
      <c r="R62" s="42" t="s">
        <v>449</v>
      </c>
      <c r="S62" s="42" t="s">
        <v>450</v>
      </c>
      <c r="T62" s="42" t="s">
        <v>451</v>
      </c>
      <c r="U62" s="42" t="s">
        <v>452</v>
      </c>
      <c r="V62" s="42" t="s">
        <v>453</v>
      </c>
      <c r="W62" s="42" t="s">
        <v>454</v>
      </c>
      <c r="X62" s="42" t="s">
        <v>455</v>
      </c>
      <c r="Y62" s="42" t="s">
        <v>456</v>
      </c>
      <c r="Z62" s="42" t="s">
        <v>457</v>
      </c>
      <c r="AA62" s="42" t="s">
        <v>458</v>
      </c>
      <c r="AB62" s="42" t="s">
        <v>459</v>
      </c>
      <c r="AC62" s="42" t="s">
        <v>460</v>
      </c>
      <c r="AD62" s="42" t="s">
        <v>461</v>
      </c>
      <c r="AE62" s="42" t="s">
        <v>462</v>
      </c>
      <c r="AF62" s="42" t="s">
        <v>463</v>
      </c>
      <c r="AG62" s="42" t="s">
        <v>464</v>
      </c>
      <c r="AH62" s="42" t="s">
        <v>465</v>
      </c>
      <c r="AI62" s="42" t="s">
        <v>466</v>
      </c>
      <c r="AJ62" s="42" t="s">
        <v>467</v>
      </c>
      <c r="AK62" s="42" t="s">
        <v>468</v>
      </c>
      <c r="AL62" s="42" t="s">
        <v>469</v>
      </c>
      <c r="AM62" s="42" t="s">
        <v>470</v>
      </c>
      <c r="AN62" s="42" t="s">
        <v>471</v>
      </c>
      <c r="AO62" s="42" t="s">
        <v>472</v>
      </c>
      <c r="AP62" s="42" t="s">
        <v>473</v>
      </c>
      <c r="AQ62" s="42" t="s">
        <v>474</v>
      </c>
      <c r="AR62" s="42" t="s">
        <v>475</v>
      </c>
      <c r="AS62" s="42" t="s">
        <v>476</v>
      </c>
      <c r="AT62" s="42" t="s">
        <v>477</v>
      </c>
      <c r="AU62" s="42" t="s">
        <v>478</v>
      </c>
      <c r="AV62" s="42" t="s">
        <v>479</v>
      </c>
      <c r="AW62" s="42" t="s">
        <v>480</v>
      </c>
      <c r="AX62" s="42" t="s">
        <v>481</v>
      </c>
      <c r="AY62" s="42" t="s">
        <v>482</v>
      </c>
      <c r="AZ62" s="42" t="s">
        <v>483</v>
      </c>
      <c r="BA62" s="42" t="s">
        <v>484</v>
      </c>
      <c r="BB62" s="42" t="s">
        <v>485</v>
      </c>
      <c r="BC62" s="42" t="s">
        <v>486</v>
      </c>
      <c r="BD62" s="42" t="s">
        <v>487</v>
      </c>
      <c r="BE62" s="42" t="s">
        <v>488</v>
      </c>
      <c r="BF62" s="42" t="s">
        <v>489</v>
      </c>
      <c r="BG62" s="42" t="s">
        <v>490</v>
      </c>
      <c r="BH62" s="42" t="s">
        <v>491</v>
      </c>
      <c r="BI62" s="42" t="s">
        <v>492</v>
      </c>
      <c r="BJ62" s="42" t="s">
        <v>493</v>
      </c>
      <c r="BK62" s="42" t="s">
        <v>494</v>
      </c>
      <c r="BL62" s="42" t="s">
        <v>495</v>
      </c>
      <c r="BM62" s="42" t="s">
        <v>496</v>
      </c>
      <c r="BN62" s="42" t="s">
        <v>497</v>
      </c>
    </row>
    <row r="63" spans="2:66" x14ac:dyDescent="0.55000000000000004">
      <c r="B63" s="139" t="s">
        <v>428</v>
      </c>
      <c r="C63" s="43" t="s">
        <v>421</v>
      </c>
      <c r="D63" s="43">
        <f>COUNTIF('PF100'!U10:U109,"PWM0_0")</f>
        <v>0</v>
      </c>
      <c r="E63" s="43">
        <f>COUNTIF('PF100'!U10:U109,"PWM0_1")</f>
        <v>0</v>
      </c>
      <c r="F63" s="43">
        <f>COUNTIF('PF100'!U10:U109,"PWM0_2")</f>
        <v>0</v>
      </c>
      <c r="G63" s="43">
        <f>COUNTIF('PF100'!U10:U109,"PWM0_3")</f>
        <v>0</v>
      </c>
      <c r="H63" s="43">
        <f>COUNTIF('PF100'!U10:U109,"PWM0_4")</f>
        <v>0</v>
      </c>
      <c r="I63" s="43">
        <f>COUNTIF('PF100'!U10:U109,"PWM0_5")</f>
        <v>0</v>
      </c>
      <c r="J63" s="43">
        <f>COUNTIF('PF100'!U10:U109,"PWM0_6")</f>
        <v>0</v>
      </c>
      <c r="K63" s="43">
        <f>COUNTIF('PF100'!U10:U109,"PWM0_7")</f>
        <v>0</v>
      </c>
      <c r="L63" s="43">
        <f>COUNTIF('PF100'!U10:U109,"PWM0_8")</f>
        <v>0</v>
      </c>
      <c r="M63" s="43">
        <f>COUNTIF('PF100'!U10:U109,"PWM0_9")</f>
        <v>0</v>
      </c>
      <c r="N63" s="43">
        <f>COUNTIF('PF100'!U10:U109,"PWM0_10")</f>
        <v>0</v>
      </c>
      <c r="O63" s="43">
        <f>COUNTIF('PF100'!U10:U109,"PWM0_11")</f>
        <v>0</v>
      </c>
      <c r="P63" s="43">
        <f>COUNTIF('PF100'!U10:U109,"PWM0_12")</f>
        <v>0</v>
      </c>
      <c r="Q63" s="43">
        <f>COUNTIF('PF100'!U10:U109,"PWM0_13")</f>
        <v>0</v>
      </c>
      <c r="R63" s="43">
        <f>COUNTIF('PF100'!U10:U109,"PWM0_14")</f>
        <v>0</v>
      </c>
      <c r="S63" s="43">
        <f>COUNTIF('PF100'!U10:U109,"PWM0_15")</f>
        <v>0</v>
      </c>
      <c r="T63" s="43">
        <f>COUNTIF('PF100'!U10:U109,"PWM0_16")</f>
        <v>0</v>
      </c>
      <c r="U63" s="43">
        <f>COUNTIF('PF100'!U10:U109,"PWM0_17")</f>
        <v>0</v>
      </c>
      <c r="V63" s="43">
        <f>COUNTIF('PF100'!U10:U109,"PWM0_18")</f>
        <v>0</v>
      </c>
      <c r="W63" s="43">
        <f>COUNTIF('PF100'!U10:U109,"PWM0_19")</f>
        <v>0</v>
      </c>
      <c r="X63" s="43">
        <f>COUNTIF('PF100'!U10:U109,"PWM0_20")</f>
        <v>0</v>
      </c>
      <c r="Y63" s="43">
        <f>COUNTIF('PF100'!U10:U109,"PWM0_21")</f>
        <v>0</v>
      </c>
      <c r="Z63" s="43">
        <f>COUNTIF('PF100'!U10:U109,"PWM0_22")</f>
        <v>0</v>
      </c>
      <c r="AA63" s="43">
        <f>COUNTIF('PF100'!U10:U109,"PWM0_23")</f>
        <v>0</v>
      </c>
      <c r="AB63" s="43">
        <f>COUNTIF('PF100'!U10:U109,"PWM0_24")</f>
        <v>0</v>
      </c>
      <c r="AC63" s="43">
        <f>COUNTIF('PF100'!U10:U109,"PWM0_25")</f>
        <v>0</v>
      </c>
      <c r="AD63" s="43">
        <f>COUNTIF('PF100'!U10:U109,"PWM0_26")</f>
        <v>0</v>
      </c>
      <c r="AE63" s="43">
        <f>COUNTIF('PF100'!U10:U109,"PWM0_27")</f>
        <v>0</v>
      </c>
      <c r="AF63" s="43">
        <f>COUNTIF('PF100'!U10:U109,"PWM0_28")</f>
        <v>0</v>
      </c>
      <c r="AG63" s="43">
        <f>COUNTIF('PF100'!U10:U109,"PWM0_29")</f>
        <v>0</v>
      </c>
      <c r="AH63" s="43">
        <f>COUNTIF('PF100'!U10:U109,"PWM0_30")</f>
        <v>0</v>
      </c>
      <c r="AI63" s="43">
        <f>COUNTIF('PF100'!U10:U109,"PWM0_31")</f>
        <v>0</v>
      </c>
      <c r="AJ63" s="43">
        <f>COUNTIF('PF100'!U10:U109,"PWM0_32")</f>
        <v>0</v>
      </c>
      <c r="AK63" s="43">
        <f>COUNTIF('PF100'!U10:U109,"PWM0_33")</f>
        <v>0</v>
      </c>
      <c r="AL63" s="43">
        <f>COUNTIF('PF100'!U10:U109,"PWM0_34")</f>
        <v>0</v>
      </c>
      <c r="AM63" s="43">
        <f>COUNTIF('PF100'!U10:U109,"PWM0_35")</f>
        <v>0</v>
      </c>
      <c r="AN63" s="43">
        <f>COUNTIF('PF100'!U10:U109,"PWM0_36")</f>
        <v>0</v>
      </c>
      <c r="AO63" s="43">
        <f>COUNTIF('PF100'!U10:U109,"PWM0_37")</f>
        <v>0</v>
      </c>
      <c r="AP63" s="43">
        <f>COUNTIF('PF100'!U10:U109,"PWM0_38")</f>
        <v>0</v>
      </c>
      <c r="AQ63" s="43">
        <f>COUNTIF('PF100'!U10:U109,"PWM0_39")</f>
        <v>0</v>
      </c>
      <c r="AR63" s="43">
        <f>COUNTIF('PF100'!U10:U109,"PWM0_40")</f>
        <v>0</v>
      </c>
      <c r="AS63" s="43">
        <f>COUNTIF('PF100'!U10:U109,"PWM0_41")</f>
        <v>0</v>
      </c>
      <c r="AT63" s="43">
        <f>COUNTIF('PF100'!U10:U109,"PWM0_42")</f>
        <v>0</v>
      </c>
      <c r="AU63" s="43">
        <f>COUNTIF('PF100'!U10:U109,"PWM0_43")</f>
        <v>0</v>
      </c>
      <c r="AV63" s="43">
        <f>COUNTIF('PF100'!U10:U109,"PWM0_44")</f>
        <v>0</v>
      </c>
      <c r="AW63" s="43">
        <f>COUNTIF('PF100'!U10:U109,"PWM0_45")</f>
        <v>0</v>
      </c>
      <c r="AX63" s="43">
        <f>COUNTIF('PF100'!U10:U109,"PWM0_46")</f>
        <v>0</v>
      </c>
      <c r="AY63" s="43">
        <f>COUNTIF('PF100'!U10:U109,"PWM0_47")</f>
        <v>0</v>
      </c>
      <c r="AZ63" s="43">
        <f>COUNTIF('PF100'!U10:U109,"PWM0_48")</f>
        <v>0</v>
      </c>
      <c r="BA63" s="43">
        <f>COUNTIF('PF100'!U10:U109,"PWM0_49")</f>
        <v>0</v>
      </c>
      <c r="BB63" s="43">
        <f>COUNTIF('PF100'!U10:U109,"PWM0_50")</f>
        <v>0</v>
      </c>
      <c r="BC63" s="43">
        <f>COUNTIF('PF100'!U10:U109,"PWM0_51")</f>
        <v>0</v>
      </c>
      <c r="BD63" s="43">
        <f>COUNTIF('PF100'!U10:U109,"PWM0_52")</f>
        <v>0</v>
      </c>
      <c r="BE63" s="43">
        <f>COUNTIF('PF100'!U10:U109,"PWM0_53")</f>
        <v>0</v>
      </c>
      <c r="BF63" s="43">
        <f>COUNTIF('PF100'!U10:U109,"PWM0_54")</f>
        <v>0</v>
      </c>
      <c r="BG63" s="43">
        <f>COUNTIF('PF100'!U10:U109,"PWM0_55")</f>
        <v>0</v>
      </c>
      <c r="BH63" s="43">
        <f>COUNTIF('PF100'!U10:U109,"PWM0_56")</f>
        <v>0</v>
      </c>
      <c r="BI63" s="43">
        <f>COUNTIF('PF100'!U10:U109,"PWM0_57")</f>
        <v>0</v>
      </c>
      <c r="BJ63" s="43">
        <f>COUNTIF('PF100'!U10:U109,"PWM0_58")</f>
        <v>0</v>
      </c>
      <c r="BK63" s="43">
        <f>COUNTIF('PF100'!U10:U109,"PWM0_59")</f>
        <v>0</v>
      </c>
      <c r="BL63" s="43">
        <f>COUNTIF('PF100'!U10:U109,"PWM0_60")</f>
        <v>0</v>
      </c>
      <c r="BM63" s="43">
        <f>COUNTIF('PF100'!U10:U109,"PWM0_61")</f>
        <v>0</v>
      </c>
      <c r="BN63" s="43">
        <f>COUNTIF('PF100'!U10:U109,"PWM0_62")</f>
        <v>0</v>
      </c>
    </row>
    <row r="64" spans="2:66" x14ac:dyDescent="0.55000000000000004">
      <c r="B64" s="140"/>
      <c r="C64" s="43" t="s">
        <v>424</v>
      </c>
      <c r="D64" s="43">
        <f>COUNTIF('PF100'!U10:U109,"PWM0_0_N")</f>
        <v>0</v>
      </c>
      <c r="E64" s="43">
        <f>COUNTIF('PF100'!U10:U109,"PWM0_1_N")</f>
        <v>0</v>
      </c>
      <c r="F64" s="43">
        <f>COUNTIF('PF100'!U10:U109,"PWM0_2_N")</f>
        <v>0</v>
      </c>
      <c r="G64" s="43">
        <f>COUNTIF('PF100'!U10:U109,"PWM0_3_N")</f>
        <v>0</v>
      </c>
      <c r="H64" s="43">
        <f>COUNTIF('PF100'!U10:U109,"PWM0_4_N")</f>
        <v>0</v>
      </c>
      <c r="I64" s="43">
        <f>COUNTIF('PF100'!U10:U109,"PWM0_5_N")</f>
        <v>0</v>
      </c>
      <c r="J64" s="43">
        <f>COUNTIF('PF100'!U10:U109,"PWM0_6_N")</f>
        <v>0</v>
      </c>
      <c r="K64" s="43">
        <f>COUNTIF('PF100'!U10:U109,"PWM0_7_N")</f>
        <v>0</v>
      </c>
      <c r="L64" s="43">
        <f>COUNTIF('PF100'!U10:U109,"PWM0_8_N")</f>
        <v>0</v>
      </c>
      <c r="M64" s="43">
        <f>COUNTIF('PF100'!U10:U109,"PWM0_9_N")</f>
        <v>0</v>
      </c>
      <c r="N64" s="43">
        <f>COUNTIF('PF100'!U10:U109,"PWM0_10_N")</f>
        <v>0</v>
      </c>
      <c r="O64" s="43">
        <f>COUNTIF('PF100'!U10:U109,"PWM0_11_N")</f>
        <v>0</v>
      </c>
      <c r="P64" s="43">
        <f>COUNTIF('PF100'!U10:U109,"PWM0_12_N")</f>
        <v>0</v>
      </c>
      <c r="Q64" s="43">
        <f>COUNTIF('PF100'!U10:U109,"PWM0_13_N")</f>
        <v>0</v>
      </c>
      <c r="R64" s="43">
        <f>COUNTIF('PF100'!U10:U109,"PWM0_14_N")</f>
        <v>0</v>
      </c>
      <c r="S64" s="43">
        <f>COUNTIF('PF100'!U10:U109,"PWM0_15_N")</f>
        <v>0</v>
      </c>
      <c r="T64" s="43">
        <f>COUNTIF('PF100'!U10:U109,"PWM0_16_N")</f>
        <v>0</v>
      </c>
      <c r="U64" s="43">
        <f>COUNTIF('PF100'!U10:U109,"PWM0_17_N")</f>
        <v>0</v>
      </c>
      <c r="V64" s="43">
        <f>COUNTIF('PF100'!U10:U109,"PWM0_18_N")</f>
        <v>0</v>
      </c>
      <c r="W64" s="43">
        <f>COUNTIF('PF100'!U10:U109,"PWM0_19_N")</f>
        <v>0</v>
      </c>
      <c r="X64" s="43">
        <f>COUNTIF('PF100'!U10:U109,"PWM0_20_N")</f>
        <v>0</v>
      </c>
      <c r="Y64" s="43">
        <f>COUNTIF('PF100'!U10:U109,"PWM0_21_N")</f>
        <v>0</v>
      </c>
      <c r="Z64" s="43">
        <f>COUNTIF('PF100'!U10:U109,"PWM0_22_N")</f>
        <v>0</v>
      </c>
      <c r="AA64" s="43">
        <f>COUNTIF('PF100'!U10:U109,"PWM0_23_N")</f>
        <v>0</v>
      </c>
      <c r="AB64" s="43">
        <f>COUNTIF('PF100'!U10:U109,"PWM0_24_N")</f>
        <v>0</v>
      </c>
      <c r="AC64" s="43">
        <f>COUNTIF('PF100'!U10:U109,"PWM0_25_N")</f>
        <v>0</v>
      </c>
      <c r="AD64" s="43">
        <f>COUNTIF('PF100'!U10:U109,"PWM0_26_N")</f>
        <v>0</v>
      </c>
      <c r="AE64" s="43">
        <f>COUNTIF('PF100'!U10:U109,"PWM0_27_N")</f>
        <v>0</v>
      </c>
      <c r="AF64" s="43">
        <f>COUNTIF('PF100'!U10:U109,"PWM0_28_N")</f>
        <v>0</v>
      </c>
      <c r="AG64" s="43">
        <f>COUNTIF('PF100'!U10:U109,"PWM0_29_N")</f>
        <v>0</v>
      </c>
      <c r="AH64" s="43">
        <f>COUNTIF('PF100'!U10:U109,"PWM0_30_N")</f>
        <v>0</v>
      </c>
      <c r="AI64" s="43">
        <f>COUNTIF('PF100'!U10:U109,"PWM0_31_N")</f>
        <v>0</v>
      </c>
      <c r="AJ64" s="43">
        <f>COUNTIF('PF100'!U10:U109,"PWM0_32_N")</f>
        <v>0</v>
      </c>
      <c r="AK64" s="43">
        <f>COUNTIF('PF100'!U10:U109,"PWM0_33_N")</f>
        <v>0</v>
      </c>
      <c r="AL64" s="43">
        <f>COUNTIF('PF100'!U10:U109,"PWM0_34_N")</f>
        <v>0</v>
      </c>
      <c r="AM64" s="43">
        <f>COUNTIF('PF100'!U10:U109,"PWM0_35_N")</f>
        <v>0</v>
      </c>
      <c r="AN64" s="43">
        <f>COUNTIF('PF100'!U10:U109,"PWM0_36_N")</f>
        <v>0</v>
      </c>
      <c r="AO64" s="43">
        <f>COUNTIF('PF100'!U10:U109,"PWM0_37_N")</f>
        <v>0</v>
      </c>
      <c r="AP64" s="43">
        <f>COUNTIF('PF100'!U10:U109,"PWM0_38_N")</f>
        <v>0</v>
      </c>
      <c r="AQ64" s="43">
        <f>COUNTIF('PF100'!U10:U109,"PWM0_39_N")</f>
        <v>0</v>
      </c>
      <c r="AR64" s="43">
        <f>COUNTIF('PF100'!U10:U109,"PWM0_40_N")</f>
        <v>0</v>
      </c>
      <c r="AS64" s="43">
        <f>COUNTIF('PF100'!U10:U109,"PWM0_41_N")</f>
        <v>0</v>
      </c>
      <c r="AT64" s="43">
        <f>COUNTIF('PF100'!U10:U109,"PWM0_42_N")</f>
        <v>0</v>
      </c>
      <c r="AU64" s="43">
        <f>COUNTIF('PF100'!U10:U109,"PWM0_43_N")</f>
        <v>0</v>
      </c>
      <c r="AV64" s="43">
        <f>COUNTIF('PF100'!U10:U109,"PWM0_44_N")</f>
        <v>0</v>
      </c>
      <c r="AW64" s="43">
        <f>COUNTIF('PF100'!U10:U109,"PWM0_45_N")</f>
        <v>0</v>
      </c>
      <c r="AX64" s="43">
        <f>COUNTIF('PF100'!U10:U109,"PWM0_46_N")</f>
        <v>0</v>
      </c>
      <c r="AY64" s="43">
        <f>COUNTIF('PF100'!U10:U109,"PWM0_47_N")</f>
        <v>0</v>
      </c>
      <c r="AZ64" s="43">
        <f>COUNTIF('PF100'!U10:U109,"PWM0_48_N")</f>
        <v>0</v>
      </c>
      <c r="BA64" s="43">
        <f>COUNTIF('PF100'!U10:U109,"PWM0_49_N")</f>
        <v>0</v>
      </c>
      <c r="BB64" s="43">
        <f>COUNTIF('PF100'!U10:U109,"PWM0_50_N")</f>
        <v>0</v>
      </c>
      <c r="BC64" s="43">
        <f>COUNTIF('PF100'!U10:U109,"PWM0_51_N")</f>
        <v>0</v>
      </c>
      <c r="BD64" s="43">
        <f>COUNTIF('PF100'!U10:U109,"PWM0_52_N")</f>
        <v>0</v>
      </c>
      <c r="BE64" s="43">
        <f>COUNTIF('PF100'!U10:U109,"PWM0_53_N")</f>
        <v>0</v>
      </c>
      <c r="BF64" s="43">
        <f>COUNTIF('PF100'!U10:U109,"PWM0_54_N")</f>
        <v>0</v>
      </c>
      <c r="BG64" s="43">
        <f>COUNTIF('PF100'!U10:U109,"PWM0_55_N")</f>
        <v>0</v>
      </c>
      <c r="BH64" s="43">
        <f>COUNTIF('PF100'!U10:U109,"PWM0_56_N")</f>
        <v>0</v>
      </c>
      <c r="BI64" s="43">
        <f>COUNTIF('PF100'!U10:U109,"PWM0_57_N")</f>
        <v>0</v>
      </c>
      <c r="BJ64" s="43">
        <f>COUNTIF('PF100'!U10:U109,"PWM0_58_N")</f>
        <v>0</v>
      </c>
      <c r="BK64" s="43">
        <f>COUNTIF('PF100'!U10:U109,"PWM0_59_N")</f>
        <v>0</v>
      </c>
      <c r="BL64" s="43">
        <f>COUNTIF('PF100'!U10:U109,"PWM0_60_N")</f>
        <v>0</v>
      </c>
      <c r="BM64" s="43">
        <f>COUNTIF('PF100'!U10:U109,"PWM0_61_N")</f>
        <v>0</v>
      </c>
      <c r="BN64" s="43">
        <f>COUNTIF('PF100'!U10:U109,"PWM0_62_N")</f>
        <v>0</v>
      </c>
    </row>
    <row r="65" spans="2:66" x14ac:dyDescent="0.55000000000000004">
      <c r="B65" s="139" t="s">
        <v>429</v>
      </c>
      <c r="C65" s="43" t="s">
        <v>422</v>
      </c>
      <c r="D65" s="43">
        <f>COUNTIF('PF100'!U10:U109,"TC0_0_TR0")</f>
        <v>0</v>
      </c>
      <c r="E65" s="43">
        <f>COUNTIF('PF100'!U10:U109,"TC0_1_TR0")</f>
        <v>0</v>
      </c>
      <c r="F65" s="43">
        <f>COUNTIF('PF100'!U10:U109,"TC0_2_TR0")</f>
        <v>0</v>
      </c>
      <c r="G65" s="43">
        <f>COUNTIF('PF100'!U10:U109,"TC0_3_TR0")</f>
        <v>0</v>
      </c>
      <c r="H65" s="43">
        <f>COUNTIF('PF100'!U10:U109,"TC0_4_TR0")</f>
        <v>0</v>
      </c>
      <c r="I65" s="43">
        <f>COUNTIF('PF100'!U10:U109,"TC0_5_TR0")</f>
        <v>0</v>
      </c>
      <c r="J65" s="43">
        <f>COUNTIF('PF100'!U10:U109,"TC0_6_TR0")</f>
        <v>0</v>
      </c>
      <c r="K65" s="43">
        <f>COUNTIF('PF100'!U10:U109,"TC0_7_TR0")</f>
        <v>0</v>
      </c>
      <c r="L65" s="43">
        <f>COUNTIF('PF100'!U10:U109,"TC0_8_TR0")</f>
        <v>0</v>
      </c>
      <c r="M65" s="43">
        <f>COUNTIF('PF100'!U10:U109,"TC0_9_TR0")</f>
        <v>0</v>
      </c>
      <c r="N65" s="43">
        <f>COUNTIF('PF100'!U10:U109,"TC0_10_TR0")</f>
        <v>0</v>
      </c>
      <c r="O65" s="43">
        <f>COUNTIF('PF100'!U10:U109,"TC0_11_TR0")</f>
        <v>0</v>
      </c>
      <c r="P65" s="43">
        <f>COUNTIF('PF100'!U10:U109,"TC0_12_TR0")</f>
        <v>0</v>
      </c>
      <c r="Q65" s="43">
        <f>COUNTIF('PF100'!U10:U109,"TC0_13_TR0")</f>
        <v>0</v>
      </c>
      <c r="R65" s="43">
        <f>COUNTIF('PF100'!U10:U109,"TC0_14_TR0")</f>
        <v>0</v>
      </c>
      <c r="S65" s="43">
        <f>COUNTIF('PF100'!U10:U109,"TC0_15_TR0")</f>
        <v>0</v>
      </c>
      <c r="T65" s="43">
        <f>COUNTIF('PF100'!U10:U109,"TC0_16_TR0")</f>
        <v>0</v>
      </c>
      <c r="U65" s="43">
        <f>COUNTIF('PF100'!U10:U109,"TC0_17_TR0")</f>
        <v>0</v>
      </c>
      <c r="V65" s="43">
        <f>COUNTIF('PF100'!U10:U109,"TC0_18_TR0")</f>
        <v>0</v>
      </c>
      <c r="W65" s="43">
        <f>COUNTIF('PF100'!U10:U109,"TC0_19_TR0")</f>
        <v>0</v>
      </c>
      <c r="X65" s="43">
        <f>COUNTIF('PF100'!U10:U109,"TC0_20_TR0")</f>
        <v>0</v>
      </c>
      <c r="Y65" s="43">
        <f>COUNTIF('PF100'!U10:U109,"TC0_21_TR0")</f>
        <v>0</v>
      </c>
      <c r="Z65" s="43">
        <f>COUNTIF('PF100'!U10:U109,"TC0_22_TR0")</f>
        <v>0</v>
      </c>
      <c r="AA65" s="43">
        <f>COUNTIF('PF100'!U10:U109,"TC0_23_TR0")</f>
        <v>0</v>
      </c>
      <c r="AB65" s="43">
        <f>COUNTIF('PF100'!U10:U109,"TC0_24_TR0")</f>
        <v>0</v>
      </c>
      <c r="AC65" s="43">
        <f>COUNTIF('PF100'!U10:U109,"TC0_25_TR0")</f>
        <v>0</v>
      </c>
      <c r="AD65" s="43">
        <f>COUNTIF('PF100'!U10:U109,"TC0_26_TR0")</f>
        <v>0</v>
      </c>
      <c r="AE65" s="43">
        <f>COUNTIF('PF100'!U10:U109,"TC0_27_TR0")</f>
        <v>0</v>
      </c>
      <c r="AF65" s="43">
        <f>COUNTIF('PF100'!U10:U109,"TC0_28_TR0")</f>
        <v>0</v>
      </c>
      <c r="AG65" s="43">
        <f>COUNTIF('PF100'!U10:U109,"TC0_29_TR0")</f>
        <v>0</v>
      </c>
      <c r="AH65" s="43">
        <f>COUNTIF('PF100'!U10:U109,"TC0_30_TR0")</f>
        <v>0</v>
      </c>
      <c r="AI65" s="43">
        <f>COUNTIF('PF100'!U10:U109,"TC0_31_TR0")</f>
        <v>0</v>
      </c>
      <c r="AJ65" s="43">
        <f>COUNTIF('PF100'!U10:U109,"TC0_32_TR0")</f>
        <v>0</v>
      </c>
      <c r="AK65" s="43">
        <f>COUNTIF('PF100'!U10:U109,"TC0_33_TR0")</f>
        <v>0</v>
      </c>
      <c r="AL65" s="43">
        <f>COUNTIF('PF100'!U10:U109,"TC0_34_TR0")</f>
        <v>0</v>
      </c>
      <c r="AM65" s="43">
        <f>COUNTIF('PF100'!U10:U109,"TC0_35_TR0")</f>
        <v>0</v>
      </c>
      <c r="AN65" s="43">
        <f>COUNTIF('PF100'!U10:U109,"TC0_36_TR0")</f>
        <v>0</v>
      </c>
      <c r="AO65" s="43">
        <f>COUNTIF('PF100'!U10:U109,"TC0_37_TR0")</f>
        <v>0</v>
      </c>
      <c r="AP65" s="43">
        <f>COUNTIF('PF100'!U10:U109,"TC0_38_TR0")</f>
        <v>0</v>
      </c>
      <c r="AQ65" s="43">
        <f>COUNTIF('PF100'!U10:U109,"TC0_39_TR0")</f>
        <v>0</v>
      </c>
      <c r="AR65" s="43">
        <f>COUNTIF('PF100'!U10:U109,"TC0_40_TR0")</f>
        <v>0</v>
      </c>
      <c r="AS65" s="43">
        <f>COUNTIF('PF100'!U10:U109,"TC0_41_TR0")</f>
        <v>0</v>
      </c>
      <c r="AT65" s="43">
        <f>COUNTIF('PF100'!U10:U109,"TC0_42_TR0")</f>
        <v>0</v>
      </c>
      <c r="AU65" s="43">
        <f>COUNTIF('PF100'!U10:U109,"TC0_43_TR0")</f>
        <v>0</v>
      </c>
      <c r="AV65" s="43">
        <f>COUNTIF('PF100'!U10:U109,"TC0_44_TR0")</f>
        <v>0</v>
      </c>
      <c r="AW65" s="43">
        <f>COUNTIF('PF100'!U10:U109,"TC0_45_TR0")</f>
        <v>0</v>
      </c>
      <c r="AX65" s="43">
        <f>COUNTIF('PF100'!U10:U109,"TC0_46_TR0")</f>
        <v>0</v>
      </c>
      <c r="AY65" s="43">
        <f>COUNTIF('PF100'!U10:U109,"TC0_47_TR0")</f>
        <v>0</v>
      </c>
      <c r="AZ65" s="43">
        <f>COUNTIF('PF100'!U10:U109,"TC0_48_TR0")</f>
        <v>0</v>
      </c>
      <c r="BA65" s="43">
        <f>COUNTIF('PF100'!U10:U109,"TC0_49_TR0")</f>
        <v>0</v>
      </c>
      <c r="BB65" s="43">
        <f>COUNTIF('PF100'!U10:U109,"TC0_50_TR0")</f>
        <v>0</v>
      </c>
      <c r="BC65" s="43">
        <f>COUNTIF('PF100'!U10:U109,"TC0_51_TR0")</f>
        <v>0</v>
      </c>
      <c r="BD65" s="43">
        <f>COUNTIF('PF100'!U10:U109,"TC0_52_TR0")</f>
        <v>0</v>
      </c>
      <c r="BE65" s="43">
        <f>COUNTIF('PF100'!U10:U109,"TC0_53_TR0")</f>
        <v>0</v>
      </c>
      <c r="BF65" s="43">
        <f>COUNTIF('PF100'!U10:U109,"TC0_54_TR0")</f>
        <v>0</v>
      </c>
      <c r="BG65" s="43">
        <f>COUNTIF('PF100'!U10:U109,"TC0_55_TR0")</f>
        <v>0</v>
      </c>
      <c r="BH65" s="43">
        <f>COUNTIF('PF100'!U10:U109,"TC0_56_TR0")</f>
        <v>0</v>
      </c>
      <c r="BI65" s="43">
        <f>COUNTIF('PF100'!U10:U109,"TC0_57_TR0")</f>
        <v>0</v>
      </c>
      <c r="BJ65" s="43">
        <f>COUNTIF('PF100'!U10:U109,"TC0_58_TR0")</f>
        <v>0</v>
      </c>
      <c r="BK65" s="43">
        <f>COUNTIF('PF100'!U10:U109,"TC0_59_TR0")</f>
        <v>0</v>
      </c>
      <c r="BL65" s="43">
        <f>COUNTIF('PF100'!U10:U109,"TC0_60_TR0")</f>
        <v>0</v>
      </c>
      <c r="BM65" s="43">
        <f>COUNTIF('PF100'!U10:U109,"TC0_61_TR0")</f>
        <v>0</v>
      </c>
      <c r="BN65" s="43">
        <f>COUNTIF('PF100'!U10:U109,"TC0_62_TR0")</f>
        <v>0</v>
      </c>
    </row>
    <row r="66" spans="2:66" x14ac:dyDescent="0.55000000000000004">
      <c r="B66" s="140"/>
      <c r="C66" s="43" t="s">
        <v>423</v>
      </c>
      <c r="D66" s="43">
        <f>COUNTIF('PF100'!U10:U109,"TC0_0_TR1")</f>
        <v>0</v>
      </c>
      <c r="E66" s="43">
        <f>COUNTIF('PF100'!U10:U109,"TC0_1_TR1")</f>
        <v>0</v>
      </c>
      <c r="F66" s="43">
        <f>COUNTIF('PF100'!U10:U109,"TC0_2_TR1")</f>
        <v>0</v>
      </c>
      <c r="G66" s="43">
        <f>COUNTIF('PF100'!U10:U109,"TC0_3_TR1")</f>
        <v>0</v>
      </c>
      <c r="H66" s="43">
        <f>COUNTIF('PF100'!U10:U109,"TC0_4_TR1")</f>
        <v>0</v>
      </c>
      <c r="I66" s="43">
        <f>COUNTIF('PF100'!U10:U109,"TC0_5_TR1")</f>
        <v>0</v>
      </c>
      <c r="J66" s="43">
        <f>COUNTIF('PF100'!U10:U109,"TC0_6_TR1")</f>
        <v>0</v>
      </c>
      <c r="K66" s="43">
        <f>COUNTIF('PF100'!U10:U109,"TC0_7_TR1")</f>
        <v>0</v>
      </c>
      <c r="L66" s="43">
        <f>COUNTIF('PF100'!U10:U109,"TC0_8_TR1")</f>
        <v>0</v>
      </c>
      <c r="M66" s="43">
        <f>COUNTIF('PF100'!U10:U109,"TC0_9_TR1")</f>
        <v>0</v>
      </c>
      <c r="N66" s="43">
        <f>COUNTIF('PF100'!U10:U109,"TC0_10_TR1")</f>
        <v>0</v>
      </c>
      <c r="O66" s="43">
        <f>COUNTIF('PF100'!U10:U109,"TC0_11_TR1")</f>
        <v>0</v>
      </c>
      <c r="P66" s="43">
        <f>COUNTIF('PF100'!U10:U109,"TC0_12_TR1")</f>
        <v>0</v>
      </c>
      <c r="Q66" s="43">
        <f>COUNTIF('PF100'!U10:U109,"TC0_13_TR1")</f>
        <v>0</v>
      </c>
      <c r="R66" s="43">
        <f>COUNTIF('PF100'!U10:U109,"TC0_14_TR1")</f>
        <v>0</v>
      </c>
      <c r="S66" s="43">
        <f>COUNTIF('PF100'!U10:U109,"TC0_15_TR1")</f>
        <v>0</v>
      </c>
      <c r="T66" s="43">
        <f>COUNTIF('PF100'!U10:U109,"TC0_16_TR1")</f>
        <v>0</v>
      </c>
      <c r="U66" s="43">
        <f>COUNTIF('PF100'!U10:U109,"TC0_17_TR1")</f>
        <v>0</v>
      </c>
      <c r="V66" s="43">
        <f>COUNTIF('PF100'!U10:U109,"TC0_18_TR1")</f>
        <v>0</v>
      </c>
      <c r="W66" s="43">
        <f>COUNTIF('PF100'!U10:U109,"TC0_19_TR1")</f>
        <v>0</v>
      </c>
      <c r="X66" s="43">
        <f>COUNTIF('PF100'!U10:U109,"TC0_20_TR1")</f>
        <v>0</v>
      </c>
      <c r="Y66" s="43">
        <f>COUNTIF('PF100'!U10:U109,"TC0_21_TR1")</f>
        <v>0</v>
      </c>
      <c r="Z66" s="43">
        <f>COUNTIF('PF100'!U10:U109,"TC0_22_TR1")</f>
        <v>0</v>
      </c>
      <c r="AA66" s="43">
        <f>COUNTIF('PF100'!U10:U109,"TC0_23_TR1")</f>
        <v>0</v>
      </c>
      <c r="AB66" s="43">
        <f>COUNTIF('PF100'!U10:U109,"TC0_24_TR1")</f>
        <v>0</v>
      </c>
      <c r="AC66" s="43">
        <f>COUNTIF('PF100'!U10:U109,"TC0_25_TR1")</f>
        <v>0</v>
      </c>
      <c r="AD66" s="43">
        <f>COUNTIF('PF100'!U10:U109,"TC0_26_TR1")</f>
        <v>0</v>
      </c>
      <c r="AE66" s="43">
        <f>COUNTIF('PF100'!U10:U109,"TC0_27_TR1")</f>
        <v>0</v>
      </c>
      <c r="AF66" s="43">
        <f>COUNTIF('PF100'!U10:U109,"TC0_28_TR1")</f>
        <v>0</v>
      </c>
      <c r="AG66" s="43">
        <f>COUNTIF('PF100'!U10:U109,"TC0_29_TR1")</f>
        <v>0</v>
      </c>
      <c r="AH66" s="43">
        <f>COUNTIF('PF100'!U10:U109,"TC0_30_TR1")</f>
        <v>0</v>
      </c>
      <c r="AI66" s="43">
        <f>COUNTIF('PF100'!U10:U109,"TC0_31_TR1")</f>
        <v>0</v>
      </c>
      <c r="AJ66" s="43">
        <f>COUNTIF('PF100'!U10:U109,"TC0_32_TR1")</f>
        <v>0</v>
      </c>
      <c r="AK66" s="43">
        <f>COUNTIF('PF100'!U10:U109,"TC0_33_TR1")</f>
        <v>0</v>
      </c>
      <c r="AL66" s="43">
        <f>COUNTIF('PF100'!U10:U109,"TC0_34_TR1")</f>
        <v>0</v>
      </c>
      <c r="AM66" s="43">
        <f>COUNTIF('PF100'!U10:U109,"TC0_35_TR1")</f>
        <v>0</v>
      </c>
      <c r="AN66" s="43">
        <f>COUNTIF('PF100'!U10:U109,"TC0_36_TR1")</f>
        <v>0</v>
      </c>
      <c r="AO66" s="43">
        <f>COUNTIF('PF100'!U10:U109,"TC0_37_TR1")</f>
        <v>0</v>
      </c>
      <c r="AP66" s="43">
        <f>COUNTIF('PF100'!U10:U109,"TC0_38_TR1")</f>
        <v>0</v>
      </c>
      <c r="AQ66" s="43">
        <f>COUNTIF('PF100'!U10:U109,"TC0_39_TR1")</f>
        <v>0</v>
      </c>
      <c r="AR66" s="43">
        <f>COUNTIF('PF100'!U10:U109,"TC0_40_TR1")</f>
        <v>0</v>
      </c>
      <c r="AS66" s="43">
        <f>COUNTIF('PF100'!U10:U109,"TC0_41_TR1")</f>
        <v>0</v>
      </c>
      <c r="AT66" s="43">
        <f>COUNTIF('PF100'!U10:U109,"TC0_42_TR1")</f>
        <v>0</v>
      </c>
      <c r="AU66" s="43">
        <f>COUNTIF('PF100'!U10:U109,"TC0_43_TR1")</f>
        <v>0</v>
      </c>
      <c r="AV66" s="43">
        <f>COUNTIF('PF100'!U10:U109,"TC0_44_TR1")</f>
        <v>0</v>
      </c>
      <c r="AW66" s="43">
        <f>COUNTIF('PF100'!U10:U109,"TC0_45_TR1")</f>
        <v>0</v>
      </c>
      <c r="AX66" s="43">
        <f>COUNTIF('PF100'!U10:U109,"TC0_46_TR1")</f>
        <v>0</v>
      </c>
      <c r="AY66" s="43">
        <f>COUNTIF('PF100'!U10:U109,"TC0_47_TR1")</f>
        <v>0</v>
      </c>
      <c r="AZ66" s="43">
        <f>COUNTIF('PF100'!U10:U109,"TC0_48_TR1")</f>
        <v>0</v>
      </c>
      <c r="BA66" s="43">
        <f>COUNTIF('PF100'!U10:U109,"TC0_49_TR1")</f>
        <v>0</v>
      </c>
      <c r="BB66" s="43">
        <f>COUNTIF('PF100'!U10:U109,"TC0_50_TR1")</f>
        <v>0</v>
      </c>
      <c r="BC66" s="43">
        <f>COUNTIF('PF100'!U10:U109,"TC0_51_TR1")</f>
        <v>0</v>
      </c>
      <c r="BD66" s="43">
        <f>COUNTIF('PF100'!U10:U109,"TC0_52_TR1")</f>
        <v>0</v>
      </c>
      <c r="BE66" s="43">
        <f>COUNTIF('PF100'!U10:U109,"TC0_53_TR1")</f>
        <v>0</v>
      </c>
      <c r="BF66" s="43">
        <f>COUNTIF('PF100'!U10:U109,"TC0_54_TR1")</f>
        <v>0</v>
      </c>
      <c r="BG66" s="43">
        <f>COUNTIF('PF100'!U10:U109,"TC0_55_TR1")</f>
        <v>0</v>
      </c>
      <c r="BH66" s="43">
        <f>COUNTIF('PF100'!U10:U109,"TC0_56_TR1")</f>
        <v>0</v>
      </c>
      <c r="BI66" s="43">
        <f>COUNTIF('PF100'!U10:U109,"TC0_57_TR1")</f>
        <v>0</v>
      </c>
      <c r="BJ66" s="43">
        <f>COUNTIF('PF100'!U10:U109,"TC0_58_TR1")</f>
        <v>0</v>
      </c>
      <c r="BK66" s="43">
        <f>COUNTIF('PF100'!U10:U109,"TC0_59_TR1")</f>
        <v>0</v>
      </c>
      <c r="BL66" s="43">
        <f>COUNTIF('PF100'!U10:U109,"TC0_60_TR1")</f>
        <v>0</v>
      </c>
      <c r="BM66" s="43">
        <f>COUNTIF('PF100'!U10:U109,"TC0_61_TR1")</f>
        <v>0</v>
      </c>
      <c r="BN66" s="43">
        <f>COUNTIF('PF100'!U10:U109,"TC0_62_TR1")</f>
        <v>0</v>
      </c>
    </row>
    <row r="68" spans="2:66" x14ac:dyDescent="0.55000000000000004">
      <c r="B68" s="141" t="s">
        <v>445</v>
      </c>
      <c r="C68" s="142"/>
      <c r="D68" s="42" t="s">
        <v>431</v>
      </c>
      <c r="E68" s="42" t="s">
        <v>432</v>
      </c>
      <c r="F68" s="42" t="s">
        <v>433</v>
      </c>
      <c r="G68" s="42" t="s">
        <v>434</v>
      </c>
      <c r="H68" s="42" t="s">
        <v>436</v>
      </c>
      <c r="I68" s="42" t="s">
        <v>437</v>
      </c>
      <c r="J68" s="42" t="s">
        <v>438</v>
      </c>
      <c r="K68" s="42" t="s">
        <v>439</v>
      </c>
      <c r="L68" s="42" t="s">
        <v>440</v>
      </c>
      <c r="M68" s="42" t="s">
        <v>441</v>
      </c>
      <c r="N68" s="42" t="s">
        <v>443</v>
      </c>
      <c r="O68" s="42" t="s">
        <v>444</v>
      </c>
      <c r="P68" s="66"/>
      <c r="Q68" s="44"/>
      <c r="R68" s="44"/>
      <c r="S68" s="44"/>
      <c r="T68" s="44"/>
      <c r="U68" s="44"/>
      <c r="V68" s="44"/>
      <c r="W68" s="44"/>
      <c r="X68" s="44"/>
      <c r="Y68" s="44"/>
      <c r="Z68" s="44"/>
      <c r="AA68" s="44"/>
      <c r="AB68" s="44"/>
      <c r="AC68" s="44"/>
      <c r="AD68" s="44"/>
      <c r="AE68" s="44"/>
      <c r="AF68" s="44"/>
      <c r="AG68" s="44"/>
      <c r="AH68" s="44"/>
      <c r="AI68" s="44"/>
      <c r="AJ68" s="44"/>
      <c r="AK68" s="44"/>
      <c r="AL68" s="44"/>
      <c r="AM68" s="44"/>
      <c r="AN68" s="44"/>
      <c r="AO68" s="44"/>
      <c r="AP68" s="44"/>
      <c r="AQ68" s="44"/>
      <c r="AR68" s="44"/>
      <c r="AS68" s="44"/>
      <c r="AT68" s="44"/>
      <c r="AU68" s="44"/>
      <c r="AV68" s="44"/>
      <c r="AW68" s="44"/>
      <c r="AX68" s="44"/>
      <c r="AY68" s="44"/>
      <c r="AZ68" s="44"/>
      <c r="BA68" s="44"/>
      <c r="BB68" s="44"/>
      <c r="BC68" s="44"/>
      <c r="BD68" s="44"/>
      <c r="BE68" s="44"/>
      <c r="BF68" s="44"/>
    </row>
    <row r="69" spans="2:66" x14ac:dyDescent="0.55000000000000004">
      <c r="B69" s="139" t="s">
        <v>428</v>
      </c>
      <c r="C69" s="43" t="s">
        <v>421</v>
      </c>
      <c r="D69" s="43">
        <f>COUNTIF('PF100'!U10:U109,"PWM0_M_0")</f>
        <v>0</v>
      </c>
      <c r="E69" s="43">
        <f>COUNTIF('PF100'!U10:U109,"PWM0_M_1")</f>
        <v>0</v>
      </c>
      <c r="F69" s="43">
        <f>COUNTIF('PF100'!U10:U109,"PWM0_M_2")</f>
        <v>0</v>
      </c>
      <c r="G69" s="43">
        <f>COUNTIF('PF100'!U10:U109,"PWM0_M_3")</f>
        <v>0</v>
      </c>
      <c r="H69" s="43">
        <f>COUNTIF('PF100'!U10:U109,"PWM0_M_4")</f>
        <v>0</v>
      </c>
      <c r="I69" s="43">
        <f>COUNTIF('PF100'!U10:U109,"PWM0_M_5")</f>
        <v>0</v>
      </c>
      <c r="J69" s="43">
        <f>COUNTIF('PF100'!U10:U109,"PWM0_M_6")</f>
        <v>0</v>
      </c>
      <c r="K69" s="43">
        <f>COUNTIF('PF100'!U10:U109,"PWM0_M_7")</f>
        <v>0</v>
      </c>
      <c r="L69" s="43">
        <f>COUNTIF('PF100'!U10:U109,"PWM0_M_8")</f>
        <v>0</v>
      </c>
      <c r="M69" s="43">
        <f>COUNTIF('PF100'!U10:U109,"PWM0_M_9")</f>
        <v>0</v>
      </c>
      <c r="N69" s="43">
        <f>COUNTIF('PF100'!U10:U109,"PWM0_M_10")</f>
        <v>0</v>
      </c>
      <c r="O69" s="43">
        <f>COUNTIF('PF100'!U10:U109,"PWM0_M_11")</f>
        <v>0</v>
      </c>
      <c r="P69" s="67"/>
      <c r="Q69" s="45"/>
      <c r="R69" s="45"/>
      <c r="S69" s="45"/>
      <c r="T69" s="45"/>
      <c r="U69" s="45"/>
      <c r="V69" s="45"/>
      <c r="W69" s="45"/>
      <c r="X69" s="45"/>
      <c r="Y69" s="45"/>
      <c r="Z69" s="45"/>
      <c r="AA69" s="45"/>
      <c r="AB69" s="45"/>
      <c r="AC69" s="45"/>
      <c r="AD69" s="45"/>
      <c r="AE69" s="45"/>
      <c r="AF69" s="45"/>
      <c r="AG69" s="45"/>
      <c r="AH69" s="45"/>
      <c r="AI69" s="45"/>
      <c r="AJ69" s="45"/>
      <c r="AK69" s="45"/>
      <c r="AL69" s="45"/>
      <c r="AM69" s="45"/>
      <c r="AN69" s="45"/>
      <c r="AO69" s="45"/>
      <c r="AP69" s="45"/>
      <c r="AQ69" s="45"/>
      <c r="AR69" s="45"/>
      <c r="AS69" s="45"/>
      <c r="AT69" s="45"/>
      <c r="AU69" s="45"/>
      <c r="AV69" s="45"/>
      <c r="AW69" s="45"/>
      <c r="AX69" s="45"/>
      <c r="AY69" s="45"/>
      <c r="AZ69" s="45"/>
      <c r="BA69" s="45"/>
      <c r="BB69" s="45"/>
      <c r="BC69" s="45"/>
      <c r="BD69" s="45"/>
      <c r="BE69" s="45"/>
      <c r="BF69" s="45"/>
    </row>
    <row r="70" spans="2:66" x14ac:dyDescent="0.55000000000000004">
      <c r="B70" s="140"/>
      <c r="C70" s="43" t="s">
        <v>424</v>
      </c>
      <c r="D70" s="43">
        <f>COUNTIF('PF100'!U10:U109,"PWM0_M_0_N")</f>
        <v>0</v>
      </c>
      <c r="E70" s="43">
        <f>COUNTIF('PF100'!U10:U109,"PWM0_M_1_N")</f>
        <v>0</v>
      </c>
      <c r="F70" s="43">
        <f>COUNTIF('PF100'!U10:U109,"PWM0_M_2_N")</f>
        <v>0</v>
      </c>
      <c r="G70" s="43">
        <f>COUNTIF('PF100'!U10:U109,"PWM0_M_3_N")</f>
        <v>0</v>
      </c>
      <c r="H70" s="43">
        <f>COUNTIF('PF100'!U10:U109,"PWM0_M_4_N")</f>
        <v>0</v>
      </c>
      <c r="I70" s="43">
        <f>COUNTIF('PF100'!U10:U109,"PWM0_M_5_N")</f>
        <v>0</v>
      </c>
      <c r="J70" s="43">
        <f>COUNTIF('PF100'!U10:U109,"PWM0_M_6_N")</f>
        <v>0</v>
      </c>
      <c r="K70" s="43">
        <f>COUNTIF('PF100'!U10:U109,"PWM0_M_7_N")</f>
        <v>0</v>
      </c>
      <c r="L70" s="43">
        <f>COUNTIF('PF100'!U10:U109,"PWM0_M_8_N")</f>
        <v>0</v>
      </c>
      <c r="M70" s="43">
        <f>COUNTIF('PF100'!U10:U109,"PWM0_M_9_N")</f>
        <v>0</v>
      </c>
      <c r="N70" s="43">
        <f>COUNTIF('PF100'!U10:U109,"PWM0_M_10_N")</f>
        <v>0</v>
      </c>
      <c r="O70" s="43">
        <f>COUNTIF('PF100'!U10:U109,"PWM0_M_11_N")</f>
        <v>0</v>
      </c>
      <c r="P70" s="67"/>
      <c r="Q70" s="45"/>
      <c r="R70" s="45"/>
      <c r="S70" s="45"/>
      <c r="T70" s="45"/>
      <c r="U70" s="45"/>
      <c r="V70" s="45"/>
      <c r="W70" s="45"/>
      <c r="X70" s="45"/>
      <c r="Y70" s="45"/>
      <c r="Z70" s="45"/>
      <c r="AA70" s="45"/>
      <c r="AB70" s="45"/>
      <c r="AC70" s="45"/>
      <c r="AD70" s="45"/>
      <c r="AE70" s="45"/>
      <c r="AF70" s="45"/>
      <c r="AG70" s="45"/>
      <c r="AH70" s="45"/>
      <c r="AI70" s="45"/>
      <c r="AJ70" s="45"/>
      <c r="AK70" s="45"/>
      <c r="AL70" s="45"/>
      <c r="AM70" s="45"/>
      <c r="AN70" s="45"/>
      <c r="AO70" s="45"/>
      <c r="AP70" s="45"/>
      <c r="AQ70" s="45"/>
      <c r="AR70" s="45"/>
      <c r="AS70" s="45"/>
      <c r="AT70" s="45"/>
      <c r="AU70" s="45"/>
      <c r="AV70" s="45"/>
      <c r="AW70" s="45"/>
      <c r="AX70" s="45"/>
      <c r="AY70" s="45"/>
      <c r="AZ70" s="45"/>
      <c r="BA70" s="45"/>
      <c r="BB70" s="45"/>
      <c r="BC70" s="45"/>
      <c r="BD70" s="45"/>
      <c r="BE70" s="45"/>
      <c r="BF70" s="45"/>
    </row>
    <row r="71" spans="2:66" x14ac:dyDescent="0.55000000000000004">
      <c r="B71" s="139" t="s">
        <v>429</v>
      </c>
      <c r="C71" s="43" t="s">
        <v>422</v>
      </c>
      <c r="D71" s="43">
        <f>COUNTIF('PF100'!U10:U109,"TC0_M_0_TR0")</f>
        <v>0</v>
      </c>
      <c r="E71" s="43">
        <f>COUNTIF('PF100'!U10:U109,"TC0_M_1_TR0")</f>
        <v>0</v>
      </c>
      <c r="F71" s="43">
        <f>COUNTIF('PF100'!U10:U109,"TC0_M_2_TR0")</f>
        <v>0</v>
      </c>
      <c r="G71" s="43">
        <f>COUNTIF('PF100'!U10:U109,"TC0_M_3_TR0")</f>
        <v>0</v>
      </c>
      <c r="H71" s="43">
        <f>COUNTIF('PF100'!U10:U109,"TC0_M_4_TR0")</f>
        <v>0</v>
      </c>
      <c r="I71" s="43">
        <f>COUNTIF('PF100'!U10:U109,"TC0_M_5_TR0")</f>
        <v>0</v>
      </c>
      <c r="J71" s="43">
        <f>COUNTIF('PF100'!U10:U109,"TC0_M_6_TR0")</f>
        <v>0</v>
      </c>
      <c r="K71" s="43">
        <f>COUNTIF('PF100'!U10:U109,"TC0_M_7_TR0")</f>
        <v>0</v>
      </c>
      <c r="L71" s="43">
        <f>COUNTIF('PF100'!U10:U109,"TC0_M_8_TR0")</f>
        <v>0</v>
      </c>
      <c r="M71" s="43">
        <f>COUNTIF('PF100'!U10:U109,"TC0_M_9_TR0")</f>
        <v>0</v>
      </c>
      <c r="N71" s="43">
        <f>COUNTIF('PF100'!U10:U109,"TC0_M_10_TR0")</f>
        <v>0</v>
      </c>
      <c r="O71" s="43">
        <f>COUNTIF('PF100'!U10:U109,"TC0_M_11_TR0")</f>
        <v>0</v>
      </c>
      <c r="P71" s="67"/>
      <c r="Q71" s="45"/>
      <c r="R71" s="45"/>
      <c r="S71" s="45"/>
      <c r="T71" s="45"/>
      <c r="U71" s="45"/>
      <c r="V71" s="45"/>
      <c r="W71" s="45"/>
      <c r="X71" s="45"/>
      <c r="Y71" s="45"/>
      <c r="Z71" s="45"/>
      <c r="AA71" s="45"/>
      <c r="AB71" s="45"/>
      <c r="AC71" s="45"/>
      <c r="AD71" s="45"/>
      <c r="AE71" s="45"/>
      <c r="AF71" s="45"/>
      <c r="AG71" s="45"/>
      <c r="AH71" s="45"/>
      <c r="AI71" s="45"/>
      <c r="AJ71" s="45"/>
      <c r="AK71" s="45"/>
      <c r="AL71" s="45"/>
      <c r="AM71" s="45"/>
      <c r="AN71" s="45"/>
      <c r="AO71" s="45"/>
      <c r="AP71" s="45"/>
      <c r="AQ71" s="45"/>
      <c r="AR71" s="45"/>
      <c r="AS71" s="45"/>
      <c r="AT71" s="45"/>
      <c r="AU71" s="45"/>
      <c r="AV71" s="45"/>
      <c r="AW71" s="45"/>
      <c r="AX71" s="45"/>
      <c r="AY71" s="45"/>
      <c r="AZ71" s="45"/>
      <c r="BA71" s="45"/>
      <c r="BB71" s="45"/>
      <c r="BC71" s="45"/>
      <c r="BD71" s="45"/>
      <c r="BE71" s="45"/>
      <c r="BF71" s="45"/>
    </row>
    <row r="72" spans="2:66" x14ac:dyDescent="0.55000000000000004">
      <c r="B72" s="140"/>
      <c r="C72" s="43" t="s">
        <v>423</v>
      </c>
      <c r="D72" s="43">
        <f>COUNTIF('PF100'!U10:U109,"TC0_M_0_TR1")</f>
        <v>0</v>
      </c>
      <c r="E72" s="43">
        <f>COUNTIF('PF100'!U10:U109,"TC0_M_1_TR1")</f>
        <v>0</v>
      </c>
      <c r="F72" s="43">
        <f>COUNTIF('PF100'!U10:U109,"TC0_M_2_TR1")</f>
        <v>0</v>
      </c>
      <c r="G72" s="43">
        <f>COUNTIF('PF100'!U10:U109,"TC0_M_3_TR1")</f>
        <v>0</v>
      </c>
      <c r="H72" s="43">
        <f>COUNTIF('PF100'!U10:U109,"TC0_M_4_TR1")</f>
        <v>0</v>
      </c>
      <c r="I72" s="43">
        <f>COUNTIF('PF100'!U10:U109,"TC0_M_5_TR1")</f>
        <v>0</v>
      </c>
      <c r="J72" s="43">
        <f>COUNTIF('PF100'!U10:U109,"TC0_M_6_TR1")</f>
        <v>0</v>
      </c>
      <c r="K72" s="43">
        <f>COUNTIF('PF100'!U10:U109,"TC0_M_7_TR1")</f>
        <v>0</v>
      </c>
      <c r="L72" s="43">
        <f>COUNTIF('PF100'!U10:U109,"TC0_M_8_TR1")</f>
        <v>0</v>
      </c>
      <c r="M72" s="43">
        <f>COUNTIF('PF100'!U10:U109,"TC0_M_9_TR1")</f>
        <v>0</v>
      </c>
      <c r="N72" s="43">
        <f>COUNTIF('PF100'!U10:U109,"TC0_M_10_TR1")</f>
        <v>0</v>
      </c>
      <c r="O72" s="43">
        <f>COUNTIF('PF100'!U10:U109,"TC0_M_11_TR1")</f>
        <v>0</v>
      </c>
      <c r="P72" s="67"/>
      <c r="Q72" s="45"/>
      <c r="R72" s="45"/>
      <c r="S72" s="45"/>
      <c r="T72" s="45"/>
      <c r="U72" s="45"/>
      <c r="V72" s="45"/>
      <c r="W72" s="45"/>
      <c r="X72" s="45"/>
      <c r="Y72" s="45"/>
      <c r="Z72" s="45"/>
      <c r="AA72" s="45"/>
      <c r="AB72" s="45"/>
      <c r="AC72" s="45"/>
      <c r="AD72" s="45"/>
      <c r="AE72" s="45"/>
      <c r="AF72" s="45"/>
      <c r="AG72" s="45"/>
      <c r="AH72" s="45"/>
      <c r="AI72" s="45"/>
      <c r="AJ72" s="45"/>
      <c r="AK72" s="45"/>
      <c r="AL72" s="45"/>
      <c r="AM72" s="45"/>
      <c r="AN72" s="45"/>
      <c r="AO72" s="45"/>
      <c r="AP72" s="45"/>
      <c r="AQ72" s="45"/>
      <c r="AR72" s="45"/>
      <c r="AS72" s="45"/>
      <c r="AT72" s="45"/>
      <c r="AU72" s="45"/>
      <c r="AV72" s="45"/>
      <c r="AW72" s="45"/>
      <c r="AX72" s="45"/>
      <c r="AY72" s="45"/>
      <c r="AZ72" s="45"/>
      <c r="BA72" s="45"/>
      <c r="BB72" s="45"/>
      <c r="BC72" s="45"/>
      <c r="BD72" s="45"/>
      <c r="BE72" s="45"/>
      <c r="BF72" s="45"/>
    </row>
    <row r="73" spans="2:66" x14ac:dyDescent="0.55000000000000004">
      <c r="Q73" s="45"/>
      <c r="R73" s="45"/>
      <c r="S73" s="45"/>
      <c r="T73" s="45"/>
      <c r="U73" s="45"/>
      <c r="V73" s="45"/>
      <c r="W73" s="45"/>
      <c r="X73" s="45"/>
      <c r="Y73" s="45"/>
      <c r="Z73" s="45"/>
      <c r="AA73" s="45"/>
      <c r="AB73" s="45"/>
      <c r="AC73" s="45"/>
      <c r="AD73" s="45"/>
      <c r="AE73" s="45"/>
      <c r="AF73" s="45"/>
      <c r="AG73" s="45"/>
      <c r="AH73" s="45"/>
      <c r="AI73" s="45"/>
      <c r="AJ73" s="45"/>
      <c r="AK73" s="45"/>
      <c r="AL73" s="45"/>
      <c r="AM73" s="45"/>
      <c r="AN73" s="45"/>
      <c r="AO73" s="45"/>
      <c r="AP73" s="45"/>
      <c r="AQ73" s="45"/>
      <c r="AR73" s="45"/>
      <c r="AS73" s="45"/>
      <c r="AT73" s="45"/>
      <c r="AU73" s="45"/>
      <c r="AV73" s="45"/>
      <c r="AW73" s="45"/>
      <c r="AX73" s="45"/>
      <c r="AY73" s="45"/>
      <c r="AZ73" s="45"/>
      <c r="BA73" s="45"/>
      <c r="BB73" s="45"/>
      <c r="BC73" s="45"/>
      <c r="BD73" s="45"/>
      <c r="BE73" s="45"/>
      <c r="BF73" s="45"/>
    </row>
    <row r="74" spans="2:66" x14ac:dyDescent="0.55000000000000004">
      <c r="B74" s="141" t="s">
        <v>446</v>
      </c>
      <c r="C74" s="142"/>
      <c r="D74" s="42" t="s">
        <v>431</v>
      </c>
      <c r="E74" s="42" t="s">
        <v>432</v>
      </c>
      <c r="F74" s="42" t="s">
        <v>433</v>
      </c>
      <c r="G74" s="42" t="s">
        <v>434</v>
      </c>
      <c r="Q74" s="45"/>
      <c r="R74" s="45"/>
      <c r="S74" s="45"/>
      <c r="T74" s="45"/>
      <c r="U74" s="45"/>
      <c r="V74" s="45"/>
      <c r="W74" s="45"/>
      <c r="X74" s="45"/>
      <c r="Y74" s="45"/>
      <c r="Z74" s="45"/>
      <c r="AA74" s="45"/>
      <c r="AB74" s="45"/>
      <c r="AC74" s="45"/>
      <c r="AD74" s="45"/>
      <c r="AE74" s="45"/>
      <c r="AF74" s="45"/>
      <c r="AG74" s="45"/>
      <c r="AH74" s="44"/>
      <c r="AI74" s="44"/>
      <c r="AJ74" s="44"/>
      <c r="AK74" s="44"/>
      <c r="AL74" s="44"/>
      <c r="AM74" s="44"/>
      <c r="AN74" s="44"/>
      <c r="AO74" s="44"/>
      <c r="AP74" s="44"/>
      <c r="AQ74" s="44"/>
      <c r="AR74" s="44"/>
      <c r="AS74" s="44"/>
      <c r="AT74" s="44"/>
      <c r="AU74" s="44"/>
      <c r="AV74" s="44"/>
      <c r="AW74" s="44"/>
      <c r="AX74" s="44"/>
      <c r="AY74" s="44"/>
      <c r="AZ74" s="44"/>
      <c r="BA74" s="44"/>
      <c r="BB74" s="44"/>
      <c r="BC74" s="44"/>
      <c r="BD74" s="44"/>
      <c r="BE74" s="44"/>
      <c r="BF74" s="44"/>
    </row>
    <row r="75" spans="2:66" x14ac:dyDescent="0.55000000000000004">
      <c r="B75" s="139" t="s">
        <v>428</v>
      </c>
      <c r="C75" s="43" t="s">
        <v>421</v>
      </c>
      <c r="D75" s="43">
        <f>COUNTIF('PF100'!U10:U109,"PWM0_H_0")</f>
        <v>0</v>
      </c>
      <c r="E75" s="43">
        <f>COUNTIF('PF100'!U10:U109,"PWM0_H_1")</f>
        <v>0</v>
      </c>
      <c r="F75" s="43">
        <f>COUNTIF('PF100'!U10:U109,"PWM0_H_2")</f>
        <v>0</v>
      </c>
      <c r="G75" s="43">
        <f>COUNTIF('PF100'!U10:U109,"PWM0_H_3")</f>
        <v>0</v>
      </c>
      <c r="Q75" s="45"/>
      <c r="R75" s="45"/>
      <c r="S75" s="45"/>
      <c r="T75" s="45"/>
      <c r="U75" s="45"/>
      <c r="V75" s="45"/>
      <c r="W75" s="45"/>
      <c r="X75" s="45"/>
      <c r="Y75" s="45"/>
      <c r="Z75" s="45"/>
      <c r="AA75" s="45"/>
      <c r="AB75" s="45"/>
      <c r="AC75" s="45"/>
      <c r="AD75" s="45"/>
      <c r="AE75" s="45"/>
      <c r="AF75" s="45"/>
      <c r="AG75" s="45"/>
      <c r="AH75" s="45"/>
      <c r="AI75" s="45"/>
      <c r="AJ75" s="45"/>
      <c r="AK75" s="45"/>
      <c r="AL75" s="45"/>
      <c r="AM75" s="45"/>
      <c r="AN75" s="45"/>
      <c r="AO75" s="45"/>
      <c r="AP75" s="45"/>
      <c r="AQ75" s="45"/>
      <c r="AR75" s="45"/>
      <c r="AS75" s="45"/>
      <c r="AT75" s="45"/>
      <c r="AU75" s="45"/>
      <c r="AV75" s="45"/>
      <c r="AW75" s="45"/>
      <c r="AX75" s="45"/>
      <c r="AY75" s="45"/>
      <c r="AZ75" s="45"/>
      <c r="BA75" s="45"/>
      <c r="BB75" s="45"/>
      <c r="BC75" s="45"/>
      <c r="BD75" s="45"/>
      <c r="BE75" s="45"/>
      <c r="BF75" s="45"/>
    </row>
    <row r="76" spans="2:66" x14ac:dyDescent="0.55000000000000004">
      <c r="B76" s="140"/>
      <c r="C76" s="43" t="s">
        <v>424</v>
      </c>
      <c r="D76" s="43">
        <f>COUNTIF('PF100'!U10:U109,"PWM0_H_0_N")</f>
        <v>0</v>
      </c>
      <c r="E76" s="43">
        <f>COUNTIF('PF100'!U10:U109,"PWM0_H_1_N")</f>
        <v>0</v>
      </c>
      <c r="F76" s="43">
        <f>COUNTIF('PF100'!U10:U109,"PWM0_H_2_N")</f>
        <v>0</v>
      </c>
      <c r="G76" s="43">
        <f>COUNTIF('PF100'!U10:U109,"PWM0_H_3_N")</f>
        <v>0</v>
      </c>
      <c r="Q76" s="45"/>
      <c r="R76" s="45"/>
      <c r="S76" s="45"/>
      <c r="T76" s="45"/>
      <c r="U76" s="45"/>
      <c r="V76" s="45"/>
      <c r="W76" s="45"/>
      <c r="X76" s="45"/>
      <c r="Y76" s="45"/>
      <c r="Z76" s="45"/>
      <c r="AA76" s="45"/>
      <c r="AB76" s="45"/>
      <c r="AC76" s="45"/>
      <c r="AD76" s="45"/>
      <c r="AE76" s="45"/>
      <c r="AF76" s="45"/>
      <c r="AG76" s="45"/>
      <c r="AH76" s="45"/>
      <c r="AI76" s="45"/>
      <c r="AJ76" s="45"/>
      <c r="AK76" s="45"/>
      <c r="AL76" s="45"/>
      <c r="AM76" s="45"/>
      <c r="AN76" s="45"/>
      <c r="AO76" s="45"/>
      <c r="AP76" s="45"/>
      <c r="AQ76" s="45"/>
      <c r="AR76" s="45"/>
      <c r="AS76" s="45"/>
      <c r="AT76" s="45"/>
      <c r="AU76" s="45"/>
      <c r="AV76" s="45"/>
      <c r="AW76" s="45"/>
      <c r="AX76" s="45"/>
      <c r="AY76" s="45"/>
      <c r="AZ76" s="45"/>
      <c r="BA76" s="45"/>
      <c r="BB76" s="45"/>
      <c r="BC76" s="45"/>
      <c r="BD76" s="45"/>
      <c r="BE76" s="45"/>
      <c r="BF76" s="45"/>
    </row>
    <row r="77" spans="2:66" x14ac:dyDescent="0.55000000000000004">
      <c r="B77" s="139" t="s">
        <v>429</v>
      </c>
      <c r="C77" s="43" t="s">
        <v>422</v>
      </c>
      <c r="D77" s="43">
        <f>COUNTIF('PF100'!U10:U109,"TC0_H_0_TR0")</f>
        <v>0</v>
      </c>
      <c r="E77" s="43">
        <f>COUNTIF('PF100'!U10:U109,"TC0_H_1_TR0")</f>
        <v>0</v>
      </c>
      <c r="F77" s="43">
        <f>COUNTIF('PF100'!U10:U109,"TC0_H_2_TR0")</f>
        <v>0</v>
      </c>
      <c r="G77" s="43">
        <f>COUNTIF('PF100'!U10:U109,"TC0_H_3_TR0")</f>
        <v>0</v>
      </c>
      <c r="Q77" s="45"/>
      <c r="R77" s="45"/>
      <c r="S77" s="45"/>
      <c r="T77" s="45"/>
      <c r="U77" s="45"/>
      <c r="V77" s="45"/>
      <c r="W77" s="45"/>
      <c r="X77" s="45"/>
      <c r="Y77" s="45"/>
      <c r="Z77" s="45"/>
      <c r="AA77" s="45"/>
      <c r="AB77" s="45"/>
      <c r="AC77" s="45"/>
      <c r="AD77" s="45"/>
      <c r="AE77" s="45"/>
      <c r="AF77" s="45"/>
      <c r="AG77" s="45"/>
      <c r="AH77" s="45"/>
      <c r="AI77" s="45"/>
      <c r="AJ77" s="45"/>
      <c r="AK77" s="45"/>
      <c r="AL77" s="45"/>
      <c r="AM77" s="45"/>
      <c r="AN77" s="45"/>
      <c r="AO77" s="45"/>
      <c r="AP77" s="45"/>
      <c r="AQ77" s="45"/>
      <c r="AR77" s="45"/>
      <c r="AS77" s="45"/>
      <c r="AT77" s="45"/>
      <c r="AU77" s="45"/>
      <c r="AV77" s="45"/>
      <c r="AW77" s="45"/>
      <c r="AX77" s="45"/>
      <c r="AY77" s="45"/>
      <c r="AZ77" s="45"/>
      <c r="BA77" s="45"/>
      <c r="BB77" s="45"/>
      <c r="BC77" s="45"/>
      <c r="BD77" s="45"/>
      <c r="BE77" s="45"/>
      <c r="BF77" s="45"/>
    </row>
    <row r="78" spans="2:66" x14ac:dyDescent="0.55000000000000004">
      <c r="B78" s="140"/>
      <c r="C78" s="43" t="s">
        <v>423</v>
      </c>
      <c r="D78" s="43">
        <f>COUNTIF('PF100'!U10:U109,"TC0_H_0_TR1")</f>
        <v>0</v>
      </c>
      <c r="E78" s="43">
        <f>COUNTIF('PF100'!U10:U109,"TC0_H_1_TR1")</f>
        <v>0</v>
      </c>
      <c r="F78" s="43">
        <f>COUNTIF('PF100'!U10:U109,"TC0_H_2_TR1")</f>
        <v>0</v>
      </c>
      <c r="G78" s="43">
        <f>COUNTIF('PF100'!U10:U109,"TC0_H_3_TR1")</f>
        <v>0</v>
      </c>
      <c r="H78" s="67"/>
      <c r="I78" s="45"/>
      <c r="J78" s="45"/>
      <c r="K78" s="45"/>
      <c r="L78" s="45"/>
      <c r="M78" s="45"/>
      <c r="N78" s="45"/>
      <c r="O78" s="45"/>
      <c r="P78" s="45"/>
      <c r="Q78" s="45"/>
      <c r="R78" s="45"/>
      <c r="S78" s="45"/>
      <c r="T78" s="45"/>
      <c r="U78" s="45"/>
      <c r="V78" s="45"/>
      <c r="W78" s="45"/>
      <c r="X78" s="45"/>
      <c r="Y78" s="45"/>
      <c r="Z78" s="45"/>
      <c r="AA78" s="45"/>
      <c r="AB78" s="45"/>
      <c r="AC78" s="45"/>
      <c r="AD78" s="45"/>
      <c r="AE78" s="45"/>
      <c r="AF78" s="45"/>
      <c r="AG78" s="45"/>
      <c r="AH78" s="45"/>
      <c r="AI78" s="45"/>
      <c r="AJ78" s="45"/>
      <c r="AK78" s="45"/>
      <c r="AL78" s="45"/>
      <c r="AM78" s="45"/>
      <c r="AN78" s="45"/>
      <c r="AO78" s="45"/>
      <c r="AP78" s="45"/>
      <c r="AQ78" s="45"/>
      <c r="AR78" s="45"/>
      <c r="AS78" s="45"/>
      <c r="AT78" s="45"/>
      <c r="AU78" s="45"/>
      <c r="AV78" s="45"/>
      <c r="AW78" s="45"/>
      <c r="AX78" s="45"/>
      <c r="AY78" s="45"/>
      <c r="AZ78" s="45"/>
      <c r="BA78" s="45"/>
      <c r="BB78" s="45"/>
      <c r="BC78" s="45"/>
      <c r="BD78" s="45"/>
      <c r="BE78" s="45"/>
      <c r="BF78" s="45"/>
    </row>
    <row r="79" spans="2:66" ht="10" customHeight="1" x14ac:dyDescent="0.55000000000000004"/>
    <row r="80" spans="2:66" x14ac:dyDescent="0.55000000000000004">
      <c r="B80" s="141" t="s">
        <v>416</v>
      </c>
      <c r="C80" s="142"/>
      <c r="D80" s="42" t="s">
        <v>418</v>
      </c>
      <c r="E80" s="42" t="s">
        <v>419</v>
      </c>
      <c r="F80" s="42" t="s">
        <v>420</v>
      </c>
    </row>
    <row r="81" spans="2:6" x14ac:dyDescent="0.55000000000000004">
      <c r="B81" s="143" t="s">
        <v>407</v>
      </c>
      <c r="C81" s="43" t="s">
        <v>499</v>
      </c>
      <c r="D81" s="43">
        <f>COUNTIF('PF100'!U10:U109,"ADC[0]_0")</f>
        <v>0</v>
      </c>
      <c r="E81" s="43">
        <f>COUNTIF('PF100'!U10:U109,"ADC[1]_0")</f>
        <v>0</v>
      </c>
      <c r="F81" s="43">
        <f>COUNTIF('PF100'!U10:U109,"ADC[2]_0")</f>
        <v>0</v>
      </c>
    </row>
    <row r="82" spans="2:6" x14ac:dyDescent="0.55000000000000004">
      <c r="B82" s="146"/>
      <c r="C82" s="43" t="s">
        <v>500</v>
      </c>
      <c r="D82" s="43">
        <f>COUNTIF('PF100'!U10:U109,"ADC[0]_1")</f>
        <v>0</v>
      </c>
      <c r="E82" s="43">
        <f>COUNTIF('PF100'!U10:U109,"ADC[1]_1")</f>
        <v>0</v>
      </c>
      <c r="F82" s="43">
        <f>COUNTIF('PF100'!U10:U109,"ADC[2]_1")</f>
        <v>0</v>
      </c>
    </row>
    <row r="83" spans="2:6" x14ac:dyDescent="0.55000000000000004">
      <c r="B83" s="146"/>
      <c r="C83" s="43" t="s">
        <v>501</v>
      </c>
      <c r="D83" s="43">
        <f>COUNTIF('PF100'!U10:U109,"ADC[0]_2")</f>
        <v>0</v>
      </c>
      <c r="E83" s="43">
        <f>COUNTIF('PF100'!U10:U109,"ADC[1]_2")</f>
        <v>0</v>
      </c>
      <c r="F83" s="43">
        <f>COUNTIF('PF100'!U10:U109,"ADC[2]_2")</f>
        <v>0</v>
      </c>
    </row>
    <row r="84" spans="2:6" x14ac:dyDescent="0.55000000000000004">
      <c r="B84" s="146"/>
      <c r="C84" s="43" t="s">
        <v>502</v>
      </c>
      <c r="D84" s="43">
        <f>COUNTIF('PF100'!U10:U109,"ADC[0]_3")</f>
        <v>0</v>
      </c>
      <c r="E84" s="43">
        <f>COUNTIF('PF100'!U10:U109,"ADC[1]_3")</f>
        <v>0</v>
      </c>
      <c r="F84" s="43">
        <f>COUNTIF('PF100'!U10:U109,"ADC[2]_3")</f>
        <v>0</v>
      </c>
    </row>
    <row r="85" spans="2:6" x14ac:dyDescent="0.55000000000000004">
      <c r="B85" s="146"/>
      <c r="C85" s="43" t="s">
        <v>503</v>
      </c>
      <c r="D85" s="43">
        <f>COUNTIF('PF100'!U10:U109,"ADC[0]_4")</f>
        <v>0</v>
      </c>
      <c r="E85" s="43">
        <f>COUNTIF('PF100'!U10:U109,"ADC[1]_4")</f>
        <v>0</v>
      </c>
      <c r="F85" s="43">
        <f>COUNTIF('PF100'!U10:U109,"ADC[2]_4")</f>
        <v>0</v>
      </c>
    </row>
    <row r="86" spans="2:6" x14ac:dyDescent="0.55000000000000004">
      <c r="B86" s="146"/>
      <c r="C86" s="43" t="s">
        <v>504</v>
      </c>
      <c r="D86" s="43">
        <f>COUNTIF('PF100'!U10:U109,"ADC[0]_5")</f>
        <v>0</v>
      </c>
      <c r="E86" s="43">
        <f>COUNTIF('PF100'!U10:U109,"ADC[1]_5")</f>
        <v>0</v>
      </c>
      <c r="F86" s="43">
        <f>COUNTIF('PF100'!U10:U109,"ADC[2]_5")</f>
        <v>0</v>
      </c>
    </row>
    <row r="87" spans="2:6" x14ac:dyDescent="0.55000000000000004">
      <c r="B87" s="146"/>
      <c r="C87" s="43" t="s">
        <v>505</v>
      </c>
      <c r="D87" s="43">
        <f>COUNTIF('PF100'!U10:U109,"ADC[0]_6")</f>
        <v>0</v>
      </c>
      <c r="E87" s="43">
        <f>COUNTIF('PF100'!U10:U109,"ADC[1]_6")</f>
        <v>0</v>
      </c>
      <c r="F87" s="43">
        <f>COUNTIF('PF100'!U10:U109,"ADC[2]_6")</f>
        <v>0</v>
      </c>
    </row>
    <row r="88" spans="2:6" x14ac:dyDescent="0.55000000000000004">
      <c r="B88" s="146"/>
      <c r="C88" s="43" t="s">
        <v>506</v>
      </c>
      <c r="D88" s="43">
        <f>COUNTIF('PF100'!U10:U109,"ADC[0]_7")</f>
        <v>0</v>
      </c>
      <c r="E88" s="43">
        <f>COUNTIF('PF100'!U10:U109,"ADC[1]_7")</f>
        <v>0</v>
      </c>
      <c r="F88" s="43">
        <f>COUNTIF('PF100'!U10:U109,"ADC[2]_7")</f>
        <v>0</v>
      </c>
    </row>
    <row r="89" spans="2:6" x14ac:dyDescent="0.55000000000000004">
      <c r="B89" s="146"/>
      <c r="C89" s="43" t="s">
        <v>507</v>
      </c>
      <c r="D89" s="43">
        <f>COUNTIF('PF100'!U10:U109,"ADC[0]_8")</f>
        <v>0</v>
      </c>
      <c r="E89" s="43">
        <f>COUNTIF('PF100'!U10:U109,"ADC[1]_8")</f>
        <v>0</v>
      </c>
      <c r="F89" s="43">
        <f>COUNTIF('PF100'!U10:U109,"ADC[2]_8")</f>
        <v>0</v>
      </c>
    </row>
    <row r="90" spans="2:6" x14ac:dyDescent="0.55000000000000004">
      <c r="B90" s="146"/>
      <c r="C90" s="43" t="s">
        <v>508</v>
      </c>
      <c r="D90" s="43">
        <f>COUNTIF('PF100'!U10:U109,"ADC[0]_9")</f>
        <v>0</v>
      </c>
      <c r="E90" s="43">
        <f>COUNTIF('PF100'!U10:U109,"ADC[1]_9")</f>
        <v>0</v>
      </c>
      <c r="F90" s="43">
        <f>COUNTIF('PF100'!U10:U109,"ADC[2]_9")</f>
        <v>0</v>
      </c>
    </row>
    <row r="91" spans="2:6" x14ac:dyDescent="0.55000000000000004">
      <c r="B91" s="146"/>
      <c r="C91" s="43" t="s">
        <v>509</v>
      </c>
      <c r="D91" s="43">
        <f>COUNTIF('PF100'!U10:U109,"ADC[0]_10")</f>
        <v>0</v>
      </c>
      <c r="E91" s="43">
        <f>COUNTIF('PF100'!U10:U109,"ADC[1]_10")</f>
        <v>0</v>
      </c>
      <c r="F91" s="43">
        <f>COUNTIF('PF100'!U10:U109,"ADC[2]_10")</f>
        <v>0</v>
      </c>
    </row>
    <row r="92" spans="2:6" x14ac:dyDescent="0.55000000000000004">
      <c r="B92" s="146"/>
      <c r="C92" s="43" t="s">
        <v>510</v>
      </c>
      <c r="D92" s="43">
        <f>COUNTIF('PF100'!U10:U109,"ADC[0]_11")</f>
        <v>0</v>
      </c>
      <c r="E92" s="43">
        <f>COUNTIF('PF100'!U10:U109,"ADC[1]_11")</f>
        <v>0</v>
      </c>
      <c r="F92" s="43">
        <f>COUNTIF('PF100'!U10:U109,"ADC[2]_11")</f>
        <v>0</v>
      </c>
    </row>
    <row r="93" spans="2:6" x14ac:dyDescent="0.55000000000000004">
      <c r="B93" s="146"/>
      <c r="C93" s="43" t="s">
        <v>511</v>
      </c>
      <c r="D93" s="43">
        <f>COUNTIF('PF100'!U10:U109,"ADC[0]_12")</f>
        <v>0</v>
      </c>
      <c r="E93" s="43">
        <f>COUNTIF('PF100'!U10:U109,"ADC[1]_12")</f>
        <v>0</v>
      </c>
      <c r="F93" s="43">
        <f>COUNTIF('PF100'!U10:U109,"ADC[2]_12")</f>
        <v>0</v>
      </c>
    </row>
    <row r="94" spans="2:6" x14ac:dyDescent="0.55000000000000004">
      <c r="B94" s="146"/>
      <c r="C94" s="43" t="s">
        <v>512</v>
      </c>
      <c r="D94" s="43">
        <f>COUNTIF('PF100'!U10:U109,"ADC[0]_13")</f>
        <v>0</v>
      </c>
      <c r="E94" s="43">
        <f>COUNTIF('PF100'!U10:U109,"ADC[1]_13")</f>
        <v>0</v>
      </c>
      <c r="F94" s="43">
        <f>COUNTIF('PF100'!U10:U109,"ADC[2]_13")</f>
        <v>0</v>
      </c>
    </row>
    <row r="95" spans="2:6" x14ac:dyDescent="0.55000000000000004">
      <c r="B95" s="146"/>
      <c r="C95" s="43" t="s">
        <v>513</v>
      </c>
      <c r="D95" s="43">
        <f>COUNTIF('PF100'!U10:U109,"ADC[0]_14")</f>
        <v>0</v>
      </c>
      <c r="E95" s="43">
        <f>COUNTIF('PF100'!U10:U109,"ADC[1]_14")</f>
        <v>0</v>
      </c>
      <c r="F95" s="43">
        <f>COUNTIF('PF100'!U10:U109,"ADC[2]_14")</f>
        <v>0</v>
      </c>
    </row>
    <row r="96" spans="2:6" x14ac:dyDescent="0.55000000000000004">
      <c r="B96" s="146"/>
      <c r="C96" s="43" t="s">
        <v>514</v>
      </c>
      <c r="D96" s="43">
        <f>COUNTIF('PF100'!U10:U109,"ADC[0]_15")</f>
        <v>0</v>
      </c>
      <c r="E96" s="43">
        <f>COUNTIF('PF100'!U10:U109,"ADC[1]_15")</f>
        <v>0</v>
      </c>
      <c r="F96" s="43">
        <f>COUNTIF('PF100'!U10:U109,"ADC[2]_15")</f>
        <v>0</v>
      </c>
    </row>
    <row r="97" spans="2:6" x14ac:dyDescent="0.55000000000000004">
      <c r="B97" s="146"/>
      <c r="C97" s="43" t="s">
        <v>515</v>
      </c>
      <c r="D97" s="43">
        <f>COUNTIF('PF100'!U10:U109,"ADC[0]_16")</f>
        <v>0</v>
      </c>
      <c r="E97" s="43">
        <f>COUNTIF('PF100'!U10:U109,"ADC[1]_16")</f>
        <v>0</v>
      </c>
      <c r="F97" s="43">
        <f>COUNTIF('PF100'!U10:U109,"ADC[2]_16")</f>
        <v>0</v>
      </c>
    </row>
    <row r="98" spans="2:6" x14ac:dyDescent="0.55000000000000004">
      <c r="B98" s="146"/>
      <c r="C98" s="43" t="s">
        <v>516</v>
      </c>
      <c r="D98" s="43">
        <f>COUNTIF('PF100'!U10:U109,"ADC[0]_17")</f>
        <v>0</v>
      </c>
      <c r="E98" s="43">
        <f>COUNTIF('PF100'!U10:U109,"ADC[1]_17")</f>
        <v>0</v>
      </c>
      <c r="F98" s="43">
        <f>COUNTIF('PF100'!U10:U109,"ADC[2]_17")</f>
        <v>0</v>
      </c>
    </row>
    <row r="99" spans="2:6" x14ac:dyDescent="0.55000000000000004">
      <c r="B99" s="146"/>
      <c r="C99" s="43" t="s">
        <v>517</v>
      </c>
      <c r="D99" s="43">
        <f>COUNTIF('PF100'!U10:U109,"ADC[0]_18")</f>
        <v>0</v>
      </c>
      <c r="E99" s="43">
        <f>COUNTIF('PF100'!U10:U109,"ADC[1]_18")</f>
        <v>0</v>
      </c>
      <c r="F99" s="43">
        <f>COUNTIF('PF100'!U10:U109,"ADC[2]_18")</f>
        <v>0</v>
      </c>
    </row>
    <row r="100" spans="2:6" x14ac:dyDescent="0.55000000000000004">
      <c r="B100" s="146"/>
      <c r="C100" s="43" t="s">
        <v>518</v>
      </c>
      <c r="D100" s="43">
        <f>COUNTIF('PF100'!U10:U109,"ADC[0]_19")</f>
        <v>0</v>
      </c>
      <c r="E100" s="43">
        <f>COUNTIF('PF100'!U10:U109,"ADC[1]_19")</f>
        <v>0</v>
      </c>
      <c r="F100" s="43">
        <f>COUNTIF('PF100'!U10:U109,"ADC[2]_19")</f>
        <v>0</v>
      </c>
    </row>
    <row r="101" spans="2:6" x14ac:dyDescent="0.55000000000000004">
      <c r="B101" s="146"/>
      <c r="C101" s="43" t="s">
        <v>519</v>
      </c>
      <c r="D101" s="43">
        <f>COUNTIF('PF100'!U10:U109,"ADC[0]_20")</f>
        <v>0</v>
      </c>
      <c r="E101" s="43">
        <f>COUNTIF('PF100'!U10:U109,"ADC[1]_20")</f>
        <v>0</v>
      </c>
      <c r="F101" s="43">
        <f>COUNTIF('PF100'!U10:U109,"ADC[2]_20")</f>
        <v>0</v>
      </c>
    </row>
    <row r="102" spans="2:6" x14ac:dyDescent="0.55000000000000004">
      <c r="B102" s="146"/>
      <c r="C102" s="43" t="s">
        <v>520</v>
      </c>
      <c r="D102" s="43">
        <f>COUNTIF('PF100'!U10:U109,"ADC[0]_21")</f>
        <v>0</v>
      </c>
      <c r="E102" s="43">
        <f>COUNTIF('PF100'!U10:U109,"ADC[1]_21")</f>
        <v>0</v>
      </c>
      <c r="F102" s="43">
        <f>COUNTIF('PF100'!U10:U109,"ADC[2]_21")</f>
        <v>0</v>
      </c>
    </row>
    <row r="103" spans="2:6" x14ac:dyDescent="0.55000000000000004">
      <c r="B103" s="146"/>
      <c r="C103" s="43" t="s">
        <v>521</v>
      </c>
      <c r="D103" s="43">
        <f>COUNTIF('PF100'!U10:U109,"ADC[0]_22")</f>
        <v>0</v>
      </c>
      <c r="E103" s="43">
        <f>COUNTIF('PF100'!U10:U109,"ADC[1]_22")</f>
        <v>0</v>
      </c>
      <c r="F103" s="43">
        <f>COUNTIF('PF100'!U10:U109,"ADC[2]_22")</f>
        <v>0</v>
      </c>
    </row>
    <row r="104" spans="2:6" x14ac:dyDescent="0.55000000000000004">
      <c r="B104" s="146"/>
      <c r="C104" s="43" t="s">
        <v>522</v>
      </c>
      <c r="D104" s="43">
        <f>COUNTIF('PF100'!U10:U109,"ADC[0]_23")</f>
        <v>0</v>
      </c>
      <c r="E104" s="43">
        <f>COUNTIF('PF100'!U10:U109,"ADC[1]_23")</f>
        <v>0</v>
      </c>
      <c r="F104" s="43">
        <f>COUNTIF('PF100'!U10:U109,"ADC[2]_23")</f>
        <v>0</v>
      </c>
    </row>
    <row r="105" spans="2:6" x14ac:dyDescent="0.55000000000000004">
      <c r="B105" s="146"/>
      <c r="C105" s="43" t="s">
        <v>523</v>
      </c>
      <c r="D105" s="43">
        <f>COUNTIF('PF100'!U10:U109,"ADC[0]_24")</f>
        <v>0</v>
      </c>
      <c r="E105" s="43">
        <f>COUNTIF('PF100'!U10:U109,"ADC[1]_24")</f>
        <v>0</v>
      </c>
      <c r="F105" s="43">
        <f>COUNTIF('PF100'!U10:U109,"ADC[2]_24")</f>
        <v>0</v>
      </c>
    </row>
    <row r="106" spans="2:6" x14ac:dyDescent="0.55000000000000004">
      <c r="B106" s="146"/>
      <c r="C106" s="43" t="s">
        <v>524</v>
      </c>
      <c r="D106" s="43">
        <f>COUNTIF('PF100'!U10:U109,"ADC[0]_25")</f>
        <v>0</v>
      </c>
      <c r="E106" s="43">
        <f>COUNTIF('PF100'!U10:U109,"ADC[1]_25")</f>
        <v>0</v>
      </c>
      <c r="F106" s="43">
        <f>COUNTIF('PF100'!U10:U109,"ADC[2]_25")</f>
        <v>0</v>
      </c>
    </row>
    <row r="107" spans="2:6" x14ac:dyDescent="0.55000000000000004">
      <c r="B107" s="146"/>
      <c r="C107" s="43" t="s">
        <v>525</v>
      </c>
      <c r="D107" s="43">
        <f>COUNTIF('PF100'!U10:U109,"ADC[0]_26")</f>
        <v>0</v>
      </c>
      <c r="E107" s="43">
        <f>COUNTIF('PF100'!U10:U109,"ADC[1]_26")</f>
        <v>0</v>
      </c>
      <c r="F107" s="43">
        <f>COUNTIF('PF100'!U10:U109,"ADC[2]_26")</f>
        <v>0</v>
      </c>
    </row>
    <row r="108" spans="2:6" x14ac:dyDescent="0.55000000000000004">
      <c r="B108" s="146"/>
      <c r="C108" s="43" t="s">
        <v>526</v>
      </c>
      <c r="D108" s="43">
        <f>COUNTIF('PF100'!U10:U109,"ADC[0]_27")</f>
        <v>0</v>
      </c>
      <c r="E108" s="43">
        <f>COUNTIF('PF100'!U10:U109,"ADC[1]_27")</f>
        <v>0</v>
      </c>
      <c r="F108" s="43">
        <f>COUNTIF('PF100'!U10:U109,"ADC[2]_27")</f>
        <v>0</v>
      </c>
    </row>
    <row r="109" spans="2:6" x14ac:dyDescent="0.55000000000000004">
      <c r="B109" s="146"/>
      <c r="C109" s="43" t="s">
        <v>527</v>
      </c>
      <c r="D109" s="43">
        <f>COUNTIF('PF100'!U10:U109,"ADC[0]_28")</f>
        <v>0</v>
      </c>
      <c r="E109" s="43">
        <f>COUNTIF('PF100'!U10:U109,"ADC[1]_28")</f>
        <v>0</v>
      </c>
      <c r="F109" s="43">
        <f>COUNTIF('PF100'!U10:U109,"ADC[2]_28")</f>
        <v>0</v>
      </c>
    </row>
    <row r="110" spans="2:6" x14ac:dyDescent="0.55000000000000004">
      <c r="B110" s="146"/>
      <c r="C110" s="43" t="s">
        <v>528</v>
      </c>
      <c r="D110" s="43">
        <f>COUNTIF('PF100'!U10:U109,"ADC[0]_29")</f>
        <v>0</v>
      </c>
      <c r="E110" s="43">
        <f>COUNTIF('PF100'!U10:U109,"ADC[1]_29")</f>
        <v>0</v>
      </c>
      <c r="F110" s="43">
        <f>COUNTIF('PF100'!U10:U109,"ADC[2]_29")</f>
        <v>0</v>
      </c>
    </row>
    <row r="111" spans="2:6" x14ac:dyDescent="0.55000000000000004">
      <c r="B111" s="146"/>
      <c r="C111" s="43" t="s">
        <v>529</v>
      </c>
      <c r="D111" s="43">
        <f>COUNTIF('PF100'!U10:U109,"ADC[0]_30")</f>
        <v>0</v>
      </c>
      <c r="E111" s="43">
        <f>COUNTIF('PF100'!U10:U109,"ADC[1]_30")</f>
        <v>0</v>
      </c>
      <c r="F111" s="43">
        <f>COUNTIF('PF100'!U10:U109,"ADC[2]_30")</f>
        <v>0</v>
      </c>
    </row>
    <row r="112" spans="2:6" x14ac:dyDescent="0.55000000000000004">
      <c r="B112" s="144"/>
      <c r="C112" s="43" t="s">
        <v>530</v>
      </c>
      <c r="D112" s="43">
        <f>COUNTIF('PF100'!U10:U109,"ADC[0]_31")</f>
        <v>0</v>
      </c>
      <c r="E112" s="43">
        <f>COUNTIF('PF100'!U10:U109,"ADC[1]_31")</f>
        <v>0</v>
      </c>
      <c r="F112" s="43">
        <f>COUNTIF('PF100'!U10:U109,"ADC[2]_31")</f>
        <v>0</v>
      </c>
    </row>
    <row r="113" spans="2:21" ht="20" x14ac:dyDescent="0.55000000000000004">
      <c r="B113" s="68" t="s">
        <v>531</v>
      </c>
      <c r="C113" s="69" t="s">
        <v>430</v>
      </c>
      <c r="D113" s="43">
        <f>COUNTIF('PF100'!U10:U109,"ADC[0]_M")</f>
        <v>0</v>
      </c>
      <c r="E113" s="43">
        <f>COUNTIF('PF100'!U10:U109,"ADC[1]_M")</f>
        <v>0</v>
      </c>
      <c r="F113" s="43">
        <f>COUNTIF('PF100'!U10:U109,"ADC[2]_M")</f>
        <v>0</v>
      </c>
    </row>
    <row r="124" spans="2:21" ht="15" customHeight="1" x14ac:dyDescent="0.35">
      <c r="B124" s="117" t="s">
        <v>847</v>
      </c>
      <c r="C124" s="117"/>
      <c r="D124" s="117"/>
      <c r="E124" s="117"/>
      <c r="F124" s="117"/>
      <c r="G124" s="117"/>
      <c r="H124" s="117"/>
      <c r="I124" s="117"/>
      <c r="J124" s="117"/>
      <c r="K124" s="117"/>
      <c r="L124" s="117"/>
      <c r="M124" s="117"/>
      <c r="N124" s="117"/>
      <c r="O124" s="117"/>
      <c r="P124" s="117"/>
      <c r="Q124" s="117"/>
      <c r="R124" s="117"/>
      <c r="S124" s="117"/>
      <c r="T124" s="117"/>
      <c r="U124" s="117"/>
    </row>
    <row r="125" spans="2:21" ht="172" customHeight="1" x14ac:dyDescent="0.55000000000000004">
      <c r="B125" s="116" t="s">
        <v>848</v>
      </c>
      <c r="C125" s="116"/>
      <c r="D125" s="116"/>
      <c r="E125" s="116"/>
      <c r="F125" s="116"/>
      <c r="G125" s="116"/>
      <c r="H125" s="116"/>
      <c r="I125" s="116"/>
      <c r="J125" s="116"/>
      <c r="K125" s="116"/>
      <c r="L125" s="116"/>
      <c r="M125" s="116"/>
      <c r="N125" s="116"/>
      <c r="O125" s="116"/>
      <c r="P125" s="116"/>
      <c r="Q125" s="116"/>
      <c r="R125" s="116"/>
      <c r="S125" s="116"/>
      <c r="T125" s="116"/>
      <c r="U125" s="116"/>
    </row>
  </sheetData>
  <sheetProtection algorithmName="SHA-512" hashValue="RR9Gmb3UY3Bzf8GipgMCI0MtbVJKD5jkir/AFKAyQUxRIzlihHSaIEZ0xndls2IN5mckANeiEc5/KVm2W1BnJg==" saltValue="MpeVDP+Kyg0pSYfcJsiyVQ==" spinCount="100000" sheet="1" objects="1" scenarios="1" formatCells="0" formatColumns="0" formatRows="0" insertColumns="0" insertRows="0" insertHyperlinks="0" deleteColumns="0" deleteRows="0" selectLockedCells="1" sort="0" autoFilter="0" pivotTables="0"/>
  <mergeCells count="23">
    <mergeCell ref="B65:B66"/>
    <mergeCell ref="B68:C68"/>
    <mergeCell ref="B69:B70"/>
    <mergeCell ref="B63:B64"/>
    <mergeCell ref="B7:C7"/>
    <mergeCell ref="B8:B9"/>
    <mergeCell ref="B11:C11"/>
    <mergeCell ref="B12:B13"/>
    <mergeCell ref="B16:C16"/>
    <mergeCell ref="B17:B19"/>
    <mergeCell ref="B22:C22"/>
    <mergeCell ref="B23:B36"/>
    <mergeCell ref="B37:B44"/>
    <mergeCell ref="B45:B50"/>
    <mergeCell ref="B62:C62"/>
    <mergeCell ref="B71:B72"/>
    <mergeCell ref="B74:C74"/>
    <mergeCell ref="B124:U124"/>
    <mergeCell ref="B125:U125"/>
    <mergeCell ref="B77:B78"/>
    <mergeCell ref="B80:C80"/>
    <mergeCell ref="B81:B112"/>
    <mergeCell ref="B75:B76"/>
  </mergeCells>
  <phoneticPr fontId="3"/>
  <conditionalFormatting sqref="D17:K20 D8:F9 D12:F14 D75:G78 D69:O72 D63:BN66 D81:F113 D23:K50">
    <cfRule type="cellIs" dxfId="9" priority="35" operator="greaterThanOrEqual">
      <formula>2</formula>
    </cfRule>
    <cfRule type="cellIs" dxfId="8" priority="42" operator="notEqual">
      <formula>0</formula>
    </cfRule>
  </conditionalFormatting>
  <pageMargins left="0.7" right="0.7" top="0.75" bottom="0.75" header="0.3" footer="0.3"/>
  <pageSetup paperSize="9" orientation="portrait" r:id="rId1"/>
  <ignoredErrors>
    <ignoredError sqref="D53:K60 D8:F13 D17:K19 D23:K50 D81:F113 D75:G78 D63:BN66 D69:O72" unlockedFormula="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21719-C408-4BA2-888F-1FD9B1ED5792}">
  <dimension ref="A1:AW49"/>
  <sheetViews>
    <sheetView zoomScale="70" zoomScaleNormal="70" workbookViewId="0">
      <selection activeCell="P3" sqref="P3"/>
    </sheetView>
  </sheetViews>
  <sheetFormatPr defaultRowHeight="10" x14ac:dyDescent="0.55000000000000004"/>
  <cols>
    <col min="1" max="2" width="8.58203125" style="40"/>
    <col min="3" max="3" width="18.58203125" style="40" customWidth="1"/>
    <col min="4" max="5" width="3.33203125" style="40" customWidth="1"/>
    <col min="6" max="30" width="2.33203125" style="40" customWidth="1"/>
    <col min="31" max="32" width="3.33203125" style="40" customWidth="1"/>
    <col min="33" max="33" width="16.58203125" style="40" customWidth="1"/>
    <col min="34" max="36" width="8.58203125" style="40" customWidth="1"/>
    <col min="37" max="258" width="8.58203125" style="40"/>
    <col min="259" max="259" width="14.33203125" style="40" customWidth="1"/>
    <col min="260" max="261" width="3.33203125" style="40" customWidth="1"/>
    <col min="262" max="286" width="2.33203125" style="40" customWidth="1"/>
    <col min="287" max="288" width="3.33203125" style="40" customWidth="1"/>
    <col min="289" max="289" width="14.33203125" style="40" customWidth="1"/>
    <col min="290" max="514" width="8.58203125" style="40"/>
    <col min="515" max="515" width="14.33203125" style="40" customWidth="1"/>
    <col min="516" max="517" width="3.33203125" style="40" customWidth="1"/>
    <col min="518" max="542" width="2.33203125" style="40" customWidth="1"/>
    <col min="543" max="544" width="3.33203125" style="40" customWidth="1"/>
    <col min="545" max="545" width="14.33203125" style="40" customWidth="1"/>
    <col min="546" max="770" width="8.58203125" style="40"/>
    <col min="771" max="771" width="14.33203125" style="40" customWidth="1"/>
    <col min="772" max="773" width="3.33203125" style="40" customWidth="1"/>
    <col min="774" max="798" width="2.33203125" style="40" customWidth="1"/>
    <col min="799" max="800" width="3.33203125" style="40" customWidth="1"/>
    <col min="801" max="801" width="14.33203125" style="40" customWidth="1"/>
    <col min="802" max="1026" width="8.58203125" style="40"/>
    <col min="1027" max="1027" width="14.33203125" style="40" customWidth="1"/>
    <col min="1028" max="1029" width="3.33203125" style="40" customWidth="1"/>
    <col min="1030" max="1054" width="2.33203125" style="40" customWidth="1"/>
    <col min="1055" max="1056" width="3.33203125" style="40" customWidth="1"/>
    <col min="1057" max="1057" width="14.33203125" style="40" customWidth="1"/>
    <col min="1058" max="1282" width="8.58203125" style="40"/>
    <col min="1283" max="1283" width="14.33203125" style="40" customWidth="1"/>
    <col min="1284" max="1285" width="3.33203125" style="40" customWidth="1"/>
    <col min="1286" max="1310" width="2.33203125" style="40" customWidth="1"/>
    <col min="1311" max="1312" width="3.33203125" style="40" customWidth="1"/>
    <col min="1313" max="1313" width="14.33203125" style="40" customWidth="1"/>
    <col min="1314" max="1538" width="8.58203125" style="40"/>
    <col min="1539" max="1539" width="14.33203125" style="40" customWidth="1"/>
    <col min="1540" max="1541" width="3.33203125" style="40" customWidth="1"/>
    <col min="1542" max="1566" width="2.33203125" style="40" customWidth="1"/>
    <col min="1567" max="1568" width="3.33203125" style="40" customWidth="1"/>
    <col min="1569" max="1569" width="14.33203125" style="40" customWidth="1"/>
    <col min="1570" max="1794" width="8.58203125" style="40"/>
    <col min="1795" max="1795" width="14.33203125" style="40" customWidth="1"/>
    <col min="1796" max="1797" width="3.33203125" style="40" customWidth="1"/>
    <col min="1798" max="1822" width="2.33203125" style="40" customWidth="1"/>
    <col min="1823" max="1824" width="3.33203125" style="40" customWidth="1"/>
    <col min="1825" max="1825" width="14.33203125" style="40" customWidth="1"/>
    <col min="1826" max="2050" width="8.58203125" style="40"/>
    <col min="2051" max="2051" width="14.33203125" style="40" customWidth="1"/>
    <col min="2052" max="2053" width="3.33203125" style="40" customWidth="1"/>
    <col min="2054" max="2078" width="2.33203125" style="40" customWidth="1"/>
    <col min="2079" max="2080" width="3.33203125" style="40" customWidth="1"/>
    <col min="2081" max="2081" width="14.33203125" style="40" customWidth="1"/>
    <col min="2082" max="2306" width="8.58203125" style="40"/>
    <col min="2307" max="2307" width="14.33203125" style="40" customWidth="1"/>
    <col min="2308" max="2309" width="3.33203125" style="40" customWidth="1"/>
    <col min="2310" max="2334" width="2.33203125" style="40" customWidth="1"/>
    <col min="2335" max="2336" width="3.33203125" style="40" customWidth="1"/>
    <col min="2337" max="2337" width="14.33203125" style="40" customWidth="1"/>
    <col min="2338" max="2562" width="8.58203125" style="40"/>
    <col min="2563" max="2563" width="14.33203125" style="40" customWidth="1"/>
    <col min="2564" max="2565" width="3.33203125" style="40" customWidth="1"/>
    <col min="2566" max="2590" width="2.33203125" style="40" customWidth="1"/>
    <col min="2591" max="2592" width="3.33203125" style="40" customWidth="1"/>
    <col min="2593" max="2593" width="14.33203125" style="40" customWidth="1"/>
    <col min="2594" max="2818" width="8.58203125" style="40"/>
    <col min="2819" max="2819" width="14.33203125" style="40" customWidth="1"/>
    <col min="2820" max="2821" width="3.33203125" style="40" customWidth="1"/>
    <col min="2822" max="2846" width="2.33203125" style="40" customWidth="1"/>
    <col min="2847" max="2848" width="3.33203125" style="40" customWidth="1"/>
    <col min="2849" max="2849" width="14.33203125" style="40" customWidth="1"/>
    <col min="2850" max="3074" width="8.58203125" style="40"/>
    <col min="3075" max="3075" width="14.33203125" style="40" customWidth="1"/>
    <col min="3076" max="3077" width="3.33203125" style="40" customWidth="1"/>
    <col min="3078" max="3102" width="2.33203125" style="40" customWidth="1"/>
    <col min="3103" max="3104" width="3.33203125" style="40" customWidth="1"/>
    <col min="3105" max="3105" width="14.33203125" style="40" customWidth="1"/>
    <col min="3106" max="3330" width="8.58203125" style="40"/>
    <col min="3331" max="3331" width="14.33203125" style="40" customWidth="1"/>
    <col min="3332" max="3333" width="3.33203125" style="40" customWidth="1"/>
    <col min="3334" max="3358" width="2.33203125" style="40" customWidth="1"/>
    <col min="3359" max="3360" width="3.33203125" style="40" customWidth="1"/>
    <col min="3361" max="3361" width="14.33203125" style="40" customWidth="1"/>
    <col min="3362" max="3586" width="8.58203125" style="40"/>
    <col min="3587" max="3587" width="14.33203125" style="40" customWidth="1"/>
    <col min="3588" max="3589" width="3.33203125" style="40" customWidth="1"/>
    <col min="3590" max="3614" width="2.33203125" style="40" customWidth="1"/>
    <col min="3615" max="3616" width="3.33203125" style="40" customWidth="1"/>
    <col min="3617" max="3617" width="14.33203125" style="40" customWidth="1"/>
    <col min="3618" max="3842" width="8.58203125" style="40"/>
    <col min="3843" max="3843" width="14.33203125" style="40" customWidth="1"/>
    <col min="3844" max="3845" width="3.33203125" style="40" customWidth="1"/>
    <col min="3846" max="3870" width="2.33203125" style="40" customWidth="1"/>
    <col min="3871" max="3872" width="3.33203125" style="40" customWidth="1"/>
    <col min="3873" max="3873" width="14.33203125" style="40" customWidth="1"/>
    <col min="3874" max="4098" width="8.58203125" style="40"/>
    <col min="4099" max="4099" width="14.33203125" style="40" customWidth="1"/>
    <col min="4100" max="4101" width="3.33203125" style="40" customWidth="1"/>
    <col min="4102" max="4126" width="2.33203125" style="40" customWidth="1"/>
    <col min="4127" max="4128" width="3.33203125" style="40" customWidth="1"/>
    <col min="4129" max="4129" width="14.33203125" style="40" customWidth="1"/>
    <col min="4130" max="4354" width="8.58203125" style="40"/>
    <col min="4355" max="4355" width="14.33203125" style="40" customWidth="1"/>
    <col min="4356" max="4357" width="3.33203125" style="40" customWidth="1"/>
    <col min="4358" max="4382" width="2.33203125" style="40" customWidth="1"/>
    <col min="4383" max="4384" width="3.33203125" style="40" customWidth="1"/>
    <col min="4385" max="4385" width="14.33203125" style="40" customWidth="1"/>
    <col min="4386" max="4610" width="8.58203125" style="40"/>
    <col min="4611" max="4611" width="14.33203125" style="40" customWidth="1"/>
    <col min="4612" max="4613" width="3.33203125" style="40" customWidth="1"/>
    <col min="4614" max="4638" width="2.33203125" style="40" customWidth="1"/>
    <col min="4639" max="4640" width="3.33203125" style="40" customWidth="1"/>
    <col min="4641" max="4641" width="14.33203125" style="40" customWidth="1"/>
    <col min="4642" max="4866" width="8.58203125" style="40"/>
    <col min="4867" max="4867" width="14.33203125" style="40" customWidth="1"/>
    <col min="4868" max="4869" width="3.33203125" style="40" customWidth="1"/>
    <col min="4870" max="4894" width="2.33203125" style="40" customWidth="1"/>
    <col min="4895" max="4896" width="3.33203125" style="40" customWidth="1"/>
    <col min="4897" max="4897" width="14.33203125" style="40" customWidth="1"/>
    <col min="4898" max="5122" width="8.58203125" style="40"/>
    <col min="5123" max="5123" width="14.33203125" style="40" customWidth="1"/>
    <col min="5124" max="5125" width="3.33203125" style="40" customWidth="1"/>
    <col min="5126" max="5150" width="2.33203125" style="40" customWidth="1"/>
    <col min="5151" max="5152" width="3.33203125" style="40" customWidth="1"/>
    <col min="5153" max="5153" width="14.33203125" style="40" customWidth="1"/>
    <col min="5154" max="5378" width="8.58203125" style="40"/>
    <col min="5379" max="5379" width="14.33203125" style="40" customWidth="1"/>
    <col min="5380" max="5381" width="3.33203125" style="40" customWidth="1"/>
    <col min="5382" max="5406" width="2.33203125" style="40" customWidth="1"/>
    <col min="5407" max="5408" width="3.33203125" style="40" customWidth="1"/>
    <col min="5409" max="5409" width="14.33203125" style="40" customWidth="1"/>
    <col min="5410" max="5634" width="8.58203125" style="40"/>
    <col min="5635" max="5635" width="14.33203125" style="40" customWidth="1"/>
    <col min="5636" max="5637" width="3.33203125" style="40" customWidth="1"/>
    <col min="5638" max="5662" width="2.33203125" style="40" customWidth="1"/>
    <col min="5663" max="5664" width="3.33203125" style="40" customWidth="1"/>
    <col min="5665" max="5665" width="14.33203125" style="40" customWidth="1"/>
    <col min="5666" max="5890" width="8.58203125" style="40"/>
    <col min="5891" max="5891" width="14.33203125" style="40" customWidth="1"/>
    <col min="5892" max="5893" width="3.33203125" style="40" customWidth="1"/>
    <col min="5894" max="5918" width="2.33203125" style="40" customWidth="1"/>
    <col min="5919" max="5920" width="3.33203125" style="40" customWidth="1"/>
    <col min="5921" max="5921" width="14.33203125" style="40" customWidth="1"/>
    <col min="5922" max="6146" width="8.58203125" style="40"/>
    <col min="6147" max="6147" width="14.33203125" style="40" customWidth="1"/>
    <col min="6148" max="6149" width="3.33203125" style="40" customWidth="1"/>
    <col min="6150" max="6174" width="2.33203125" style="40" customWidth="1"/>
    <col min="6175" max="6176" width="3.33203125" style="40" customWidth="1"/>
    <col min="6177" max="6177" width="14.33203125" style="40" customWidth="1"/>
    <col min="6178" max="6402" width="8.58203125" style="40"/>
    <col min="6403" max="6403" width="14.33203125" style="40" customWidth="1"/>
    <col min="6404" max="6405" width="3.33203125" style="40" customWidth="1"/>
    <col min="6406" max="6430" width="2.33203125" style="40" customWidth="1"/>
    <col min="6431" max="6432" width="3.33203125" style="40" customWidth="1"/>
    <col min="6433" max="6433" width="14.33203125" style="40" customWidth="1"/>
    <col min="6434" max="6658" width="8.58203125" style="40"/>
    <col min="6659" max="6659" width="14.33203125" style="40" customWidth="1"/>
    <col min="6660" max="6661" width="3.33203125" style="40" customWidth="1"/>
    <col min="6662" max="6686" width="2.33203125" style="40" customWidth="1"/>
    <col min="6687" max="6688" width="3.33203125" style="40" customWidth="1"/>
    <col min="6689" max="6689" width="14.33203125" style="40" customWidth="1"/>
    <col min="6690" max="6914" width="8.58203125" style="40"/>
    <col min="6915" max="6915" width="14.33203125" style="40" customWidth="1"/>
    <col min="6916" max="6917" width="3.33203125" style="40" customWidth="1"/>
    <col min="6918" max="6942" width="2.33203125" style="40" customWidth="1"/>
    <col min="6943" max="6944" width="3.33203125" style="40" customWidth="1"/>
    <col min="6945" max="6945" width="14.33203125" style="40" customWidth="1"/>
    <col min="6946" max="7170" width="8.58203125" style="40"/>
    <col min="7171" max="7171" width="14.33203125" style="40" customWidth="1"/>
    <col min="7172" max="7173" width="3.33203125" style="40" customWidth="1"/>
    <col min="7174" max="7198" width="2.33203125" style="40" customWidth="1"/>
    <col min="7199" max="7200" width="3.33203125" style="40" customWidth="1"/>
    <col min="7201" max="7201" width="14.33203125" style="40" customWidth="1"/>
    <col min="7202" max="7426" width="8.58203125" style="40"/>
    <col min="7427" max="7427" width="14.33203125" style="40" customWidth="1"/>
    <col min="7428" max="7429" width="3.33203125" style="40" customWidth="1"/>
    <col min="7430" max="7454" width="2.33203125" style="40" customWidth="1"/>
    <col min="7455" max="7456" width="3.33203125" style="40" customWidth="1"/>
    <col min="7457" max="7457" width="14.33203125" style="40" customWidth="1"/>
    <col min="7458" max="7682" width="8.58203125" style="40"/>
    <col min="7683" max="7683" width="14.33203125" style="40" customWidth="1"/>
    <col min="7684" max="7685" width="3.33203125" style="40" customWidth="1"/>
    <col min="7686" max="7710" width="2.33203125" style="40" customWidth="1"/>
    <col min="7711" max="7712" width="3.33203125" style="40" customWidth="1"/>
    <col min="7713" max="7713" width="14.33203125" style="40" customWidth="1"/>
    <col min="7714" max="7938" width="8.58203125" style="40"/>
    <col min="7939" max="7939" width="14.33203125" style="40" customWidth="1"/>
    <col min="7940" max="7941" width="3.33203125" style="40" customWidth="1"/>
    <col min="7942" max="7966" width="2.33203125" style="40" customWidth="1"/>
    <col min="7967" max="7968" width="3.33203125" style="40" customWidth="1"/>
    <col min="7969" max="7969" width="14.33203125" style="40" customWidth="1"/>
    <col min="7970" max="8194" width="8.58203125" style="40"/>
    <col min="8195" max="8195" width="14.33203125" style="40" customWidth="1"/>
    <col min="8196" max="8197" width="3.33203125" style="40" customWidth="1"/>
    <col min="8198" max="8222" width="2.33203125" style="40" customWidth="1"/>
    <col min="8223" max="8224" width="3.33203125" style="40" customWidth="1"/>
    <col min="8225" max="8225" width="14.33203125" style="40" customWidth="1"/>
    <col min="8226" max="8450" width="8.58203125" style="40"/>
    <col min="8451" max="8451" width="14.33203125" style="40" customWidth="1"/>
    <col min="8452" max="8453" width="3.33203125" style="40" customWidth="1"/>
    <col min="8454" max="8478" width="2.33203125" style="40" customWidth="1"/>
    <col min="8479" max="8480" width="3.33203125" style="40" customWidth="1"/>
    <col min="8481" max="8481" width="14.33203125" style="40" customWidth="1"/>
    <col min="8482" max="8706" width="8.58203125" style="40"/>
    <col min="8707" max="8707" width="14.33203125" style="40" customWidth="1"/>
    <col min="8708" max="8709" width="3.33203125" style="40" customWidth="1"/>
    <col min="8710" max="8734" width="2.33203125" style="40" customWidth="1"/>
    <col min="8735" max="8736" width="3.33203125" style="40" customWidth="1"/>
    <col min="8737" max="8737" width="14.33203125" style="40" customWidth="1"/>
    <col min="8738" max="8962" width="8.58203125" style="40"/>
    <col min="8963" max="8963" width="14.33203125" style="40" customWidth="1"/>
    <col min="8964" max="8965" width="3.33203125" style="40" customWidth="1"/>
    <col min="8966" max="8990" width="2.33203125" style="40" customWidth="1"/>
    <col min="8991" max="8992" width="3.33203125" style="40" customWidth="1"/>
    <col min="8993" max="8993" width="14.33203125" style="40" customWidth="1"/>
    <col min="8994" max="9218" width="8.58203125" style="40"/>
    <col min="9219" max="9219" width="14.33203125" style="40" customWidth="1"/>
    <col min="9220" max="9221" width="3.33203125" style="40" customWidth="1"/>
    <col min="9222" max="9246" width="2.33203125" style="40" customWidth="1"/>
    <col min="9247" max="9248" width="3.33203125" style="40" customWidth="1"/>
    <col min="9249" max="9249" width="14.33203125" style="40" customWidth="1"/>
    <col min="9250" max="9474" width="8.58203125" style="40"/>
    <col min="9475" max="9475" width="14.33203125" style="40" customWidth="1"/>
    <col min="9476" max="9477" width="3.33203125" style="40" customWidth="1"/>
    <col min="9478" max="9502" width="2.33203125" style="40" customWidth="1"/>
    <col min="9503" max="9504" width="3.33203125" style="40" customWidth="1"/>
    <col min="9505" max="9505" width="14.33203125" style="40" customWidth="1"/>
    <col min="9506" max="9730" width="8.58203125" style="40"/>
    <col min="9731" max="9731" width="14.33203125" style="40" customWidth="1"/>
    <col min="9732" max="9733" width="3.33203125" style="40" customWidth="1"/>
    <col min="9734" max="9758" width="2.33203125" style="40" customWidth="1"/>
    <col min="9759" max="9760" width="3.33203125" style="40" customWidth="1"/>
    <col min="9761" max="9761" width="14.33203125" style="40" customWidth="1"/>
    <col min="9762" max="9986" width="8.58203125" style="40"/>
    <col min="9987" max="9987" width="14.33203125" style="40" customWidth="1"/>
    <col min="9988" max="9989" width="3.33203125" style="40" customWidth="1"/>
    <col min="9990" max="10014" width="2.33203125" style="40" customWidth="1"/>
    <col min="10015" max="10016" width="3.33203125" style="40" customWidth="1"/>
    <col min="10017" max="10017" width="14.33203125" style="40" customWidth="1"/>
    <col min="10018" max="10242" width="8.58203125" style="40"/>
    <col min="10243" max="10243" width="14.33203125" style="40" customWidth="1"/>
    <col min="10244" max="10245" width="3.33203125" style="40" customWidth="1"/>
    <col min="10246" max="10270" width="2.33203125" style="40" customWidth="1"/>
    <col min="10271" max="10272" width="3.33203125" style="40" customWidth="1"/>
    <col min="10273" max="10273" width="14.33203125" style="40" customWidth="1"/>
    <col min="10274" max="10498" width="8.58203125" style="40"/>
    <col min="10499" max="10499" width="14.33203125" style="40" customWidth="1"/>
    <col min="10500" max="10501" width="3.33203125" style="40" customWidth="1"/>
    <col min="10502" max="10526" width="2.33203125" style="40" customWidth="1"/>
    <col min="10527" max="10528" width="3.33203125" style="40" customWidth="1"/>
    <col min="10529" max="10529" width="14.33203125" style="40" customWidth="1"/>
    <col min="10530" max="10754" width="8.58203125" style="40"/>
    <col min="10755" max="10755" width="14.33203125" style="40" customWidth="1"/>
    <col min="10756" max="10757" width="3.33203125" style="40" customWidth="1"/>
    <col min="10758" max="10782" width="2.33203125" style="40" customWidth="1"/>
    <col min="10783" max="10784" width="3.33203125" style="40" customWidth="1"/>
    <col min="10785" max="10785" width="14.33203125" style="40" customWidth="1"/>
    <col min="10786" max="11010" width="8.58203125" style="40"/>
    <col min="11011" max="11011" width="14.33203125" style="40" customWidth="1"/>
    <col min="11012" max="11013" width="3.33203125" style="40" customWidth="1"/>
    <col min="11014" max="11038" width="2.33203125" style="40" customWidth="1"/>
    <col min="11039" max="11040" width="3.33203125" style="40" customWidth="1"/>
    <col min="11041" max="11041" width="14.33203125" style="40" customWidth="1"/>
    <col min="11042" max="11266" width="8.58203125" style="40"/>
    <col min="11267" max="11267" width="14.33203125" style="40" customWidth="1"/>
    <col min="11268" max="11269" width="3.33203125" style="40" customWidth="1"/>
    <col min="11270" max="11294" width="2.33203125" style="40" customWidth="1"/>
    <col min="11295" max="11296" width="3.33203125" style="40" customWidth="1"/>
    <col min="11297" max="11297" width="14.33203125" style="40" customWidth="1"/>
    <col min="11298" max="11522" width="8.58203125" style="40"/>
    <col min="11523" max="11523" width="14.33203125" style="40" customWidth="1"/>
    <col min="11524" max="11525" width="3.33203125" style="40" customWidth="1"/>
    <col min="11526" max="11550" width="2.33203125" style="40" customWidth="1"/>
    <col min="11551" max="11552" width="3.33203125" style="40" customWidth="1"/>
    <col min="11553" max="11553" width="14.33203125" style="40" customWidth="1"/>
    <col min="11554" max="11778" width="8.58203125" style="40"/>
    <col min="11779" max="11779" width="14.33203125" style="40" customWidth="1"/>
    <col min="11780" max="11781" width="3.33203125" style="40" customWidth="1"/>
    <col min="11782" max="11806" width="2.33203125" style="40" customWidth="1"/>
    <col min="11807" max="11808" width="3.33203125" style="40" customWidth="1"/>
    <col min="11809" max="11809" width="14.33203125" style="40" customWidth="1"/>
    <col min="11810" max="12034" width="8.58203125" style="40"/>
    <col min="12035" max="12035" width="14.33203125" style="40" customWidth="1"/>
    <col min="12036" max="12037" width="3.33203125" style="40" customWidth="1"/>
    <col min="12038" max="12062" width="2.33203125" style="40" customWidth="1"/>
    <col min="12063" max="12064" width="3.33203125" style="40" customWidth="1"/>
    <col min="12065" max="12065" width="14.33203125" style="40" customWidth="1"/>
    <col min="12066" max="12290" width="8.58203125" style="40"/>
    <col min="12291" max="12291" width="14.33203125" style="40" customWidth="1"/>
    <col min="12292" max="12293" width="3.33203125" style="40" customWidth="1"/>
    <col min="12294" max="12318" width="2.33203125" style="40" customWidth="1"/>
    <col min="12319" max="12320" width="3.33203125" style="40" customWidth="1"/>
    <col min="12321" max="12321" width="14.33203125" style="40" customWidth="1"/>
    <col min="12322" max="12546" width="8.58203125" style="40"/>
    <col min="12547" max="12547" width="14.33203125" style="40" customWidth="1"/>
    <col min="12548" max="12549" width="3.33203125" style="40" customWidth="1"/>
    <col min="12550" max="12574" width="2.33203125" style="40" customWidth="1"/>
    <col min="12575" max="12576" width="3.33203125" style="40" customWidth="1"/>
    <col min="12577" max="12577" width="14.33203125" style="40" customWidth="1"/>
    <col min="12578" max="12802" width="8.58203125" style="40"/>
    <col min="12803" max="12803" width="14.33203125" style="40" customWidth="1"/>
    <col min="12804" max="12805" width="3.33203125" style="40" customWidth="1"/>
    <col min="12806" max="12830" width="2.33203125" style="40" customWidth="1"/>
    <col min="12831" max="12832" width="3.33203125" style="40" customWidth="1"/>
    <col min="12833" max="12833" width="14.33203125" style="40" customWidth="1"/>
    <col min="12834" max="13058" width="8.58203125" style="40"/>
    <col min="13059" max="13059" width="14.33203125" style="40" customWidth="1"/>
    <col min="13060" max="13061" width="3.33203125" style="40" customWidth="1"/>
    <col min="13062" max="13086" width="2.33203125" style="40" customWidth="1"/>
    <col min="13087" max="13088" width="3.33203125" style="40" customWidth="1"/>
    <col min="13089" max="13089" width="14.33203125" style="40" customWidth="1"/>
    <col min="13090" max="13314" width="8.58203125" style="40"/>
    <col min="13315" max="13315" width="14.33203125" style="40" customWidth="1"/>
    <col min="13316" max="13317" width="3.33203125" style="40" customWidth="1"/>
    <col min="13318" max="13342" width="2.33203125" style="40" customWidth="1"/>
    <col min="13343" max="13344" width="3.33203125" style="40" customWidth="1"/>
    <col min="13345" max="13345" width="14.33203125" style="40" customWidth="1"/>
    <col min="13346" max="13570" width="8.58203125" style="40"/>
    <col min="13571" max="13571" width="14.33203125" style="40" customWidth="1"/>
    <col min="13572" max="13573" width="3.33203125" style="40" customWidth="1"/>
    <col min="13574" max="13598" width="2.33203125" style="40" customWidth="1"/>
    <col min="13599" max="13600" width="3.33203125" style="40" customWidth="1"/>
    <col min="13601" max="13601" width="14.33203125" style="40" customWidth="1"/>
    <col min="13602" max="13826" width="8.58203125" style="40"/>
    <col min="13827" max="13827" width="14.33203125" style="40" customWidth="1"/>
    <col min="13828" max="13829" width="3.33203125" style="40" customWidth="1"/>
    <col min="13830" max="13854" width="2.33203125" style="40" customWidth="1"/>
    <col min="13855" max="13856" width="3.33203125" style="40" customWidth="1"/>
    <col min="13857" max="13857" width="14.33203125" style="40" customWidth="1"/>
    <col min="13858" max="14082" width="8.58203125" style="40"/>
    <col min="14083" max="14083" width="14.33203125" style="40" customWidth="1"/>
    <col min="14084" max="14085" width="3.33203125" style="40" customWidth="1"/>
    <col min="14086" max="14110" width="2.33203125" style="40" customWidth="1"/>
    <col min="14111" max="14112" width="3.33203125" style="40" customWidth="1"/>
    <col min="14113" max="14113" width="14.33203125" style="40" customWidth="1"/>
    <col min="14114" max="14338" width="8.58203125" style="40"/>
    <col min="14339" max="14339" width="14.33203125" style="40" customWidth="1"/>
    <col min="14340" max="14341" width="3.33203125" style="40" customWidth="1"/>
    <col min="14342" max="14366" width="2.33203125" style="40" customWidth="1"/>
    <col min="14367" max="14368" width="3.33203125" style="40" customWidth="1"/>
    <col min="14369" max="14369" width="14.33203125" style="40" customWidth="1"/>
    <col min="14370" max="14594" width="8.58203125" style="40"/>
    <col min="14595" max="14595" width="14.33203125" style="40" customWidth="1"/>
    <col min="14596" max="14597" width="3.33203125" style="40" customWidth="1"/>
    <col min="14598" max="14622" width="2.33203125" style="40" customWidth="1"/>
    <col min="14623" max="14624" width="3.33203125" style="40" customWidth="1"/>
    <col min="14625" max="14625" width="14.33203125" style="40" customWidth="1"/>
    <col min="14626" max="14850" width="8.58203125" style="40"/>
    <col min="14851" max="14851" width="14.33203125" style="40" customWidth="1"/>
    <col min="14852" max="14853" width="3.33203125" style="40" customWidth="1"/>
    <col min="14854" max="14878" width="2.33203125" style="40" customWidth="1"/>
    <col min="14879" max="14880" width="3.33203125" style="40" customWidth="1"/>
    <col min="14881" max="14881" width="14.33203125" style="40" customWidth="1"/>
    <col min="14882" max="15106" width="8.58203125" style="40"/>
    <col min="15107" max="15107" width="14.33203125" style="40" customWidth="1"/>
    <col min="15108" max="15109" width="3.33203125" style="40" customWidth="1"/>
    <col min="15110" max="15134" width="2.33203125" style="40" customWidth="1"/>
    <col min="15135" max="15136" width="3.33203125" style="40" customWidth="1"/>
    <col min="15137" max="15137" width="14.33203125" style="40" customWidth="1"/>
    <col min="15138" max="15362" width="8.58203125" style="40"/>
    <col min="15363" max="15363" width="14.33203125" style="40" customWidth="1"/>
    <col min="15364" max="15365" width="3.33203125" style="40" customWidth="1"/>
    <col min="15366" max="15390" width="2.33203125" style="40" customWidth="1"/>
    <col min="15391" max="15392" width="3.33203125" style="40" customWidth="1"/>
    <col min="15393" max="15393" width="14.33203125" style="40" customWidth="1"/>
    <col min="15394" max="15618" width="8.58203125" style="40"/>
    <col min="15619" max="15619" width="14.33203125" style="40" customWidth="1"/>
    <col min="15620" max="15621" width="3.33203125" style="40" customWidth="1"/>
    <col min="15622" max="15646" width="2.33203125" style="40" customWidth="1"/>
    <col min="15647" max="15648" width="3.33203125" style="40" customWidth="1"/>
    <col min="15649" max="15649" width="14.33203125" style="40" customWidth="1"/>
    <col min="15650" max="15874" width="8.58203125" style="40"/>
    <col min="15875" max="15875" width="14.33203125" style="40" customWidth="1"/>
    <col min="15876" max="15877" width="3.33203125" style="40" customWidth="1"/>
    <col min="15878" max="15902" width="2.33203125" style="40" customWidth="1"/>
    <col min="15903" max="15904" width="3.33203125" style="40" customWidth="1"/>
    <col min="15905" max="15905" width="14.33203125" style="40" customWidth="1"/>
    <col min="15906" max="16130" width="8.58203125" style="40"/>
    <col min="16131" max="16131" width="14.33203125" style="40" customWidth="1"/>
    <col min="16132" max="16133" width="3.33203125" style="40" customWidth="1"/>
    <col min="16134" max="16158" width="2.33203125" style="40" customWidth="1"/>
    <col min="16159" max="16160" width="3.33203125" style="40" customWidth="1"/>
    <col min="16161" max="16161" width="14.33203125" style="40" customWidth="1"/>
    <col min="16162" max="16384" width="8.58203125" style="40"/>
  </cols>
  <sheetData>
    <row r="1" spans="1:36" ht="25" customHeight="1" x14ac:dyDescent="0.55000000000000004">
      <c r="A1" s="39" t="s">
        <v>373</v>
      </c>
      <c r="AH1" s="10"/>
      <c r="AI1" s="10"/>
      <c r="AJ1" s="10"/>
    </row>
    <row r="2" spans="1:36" ht="25" customHeight="1" x14ac:dyDescent="0.55000000000000004">
      <c r="A2" s="39"/>
      <c r="AH2" s="10"/>
      <c r="AI2" s="10"/>
      <c r="AJ2" s="10"/>
    </row>
    <row r="3" spans="1:36" ht="25" customHeight="1" x14ac:dyDescent="0.55000000000000004">
      <c r="A3" s="39"/>
      <c r="AH3" s="10"/>
      <c r="AI3" s="10"/>
      <c r="AJ3" s="10"/>
    </row>
    <row r="4" spans="1:36" ht="25" customHeight="1" x14ac:dyDescent="0.55000000000000004">
      <c r="A4" s="39"/>
      <c r="AH4" s="10"/>
      <c r="AI4" s="10"/>
      <c r="AJ4" s="10"/>
    </row>
    <row r="5" spans="1:36" ht="25" customHeight="1" x14ac:dyDescent="0.55000000000000004">
      <c r="A5" s="39"/>
      <c r="AH5" s="10"/>
      <c r="AI5" s="10"/>
      <c r="AJ5" s="11" t="s">
        <v>814</v>
      </c>
    </row>
    <row r="7" spans="1:36" ht="105" customHeight="1" x14ac:dyDescent="0.55000000000000004">
      <c r="F7" s="71" t="str">
        <f>'PF100'!U109</f>
        <v>VDDD</v>
      </c>
      <c r="G7" s="72">
        <f>'PF100'!U108</f>
        <v>0</v>
      </c>
      <c r="H7" s="72">
        <f>'PF100'!U107</f>
        <v>0</v>
      </c>
      <c r="I7" s="72">
        <f>'PF100'!U106</f>
        <v>0</v>
      </c>
      <c r="J7" s="72">
        <f>'PF100'!U105</f>
        <v>0</v>
      </c>
      <c r="K7" s="72">
        <f>'PF100'!U104</f>
        <v>0</v>
      </c>
      <c r="L7" s="72">
        <f>'PF100'!U103</f>
        <v>0</v>
      </c>
      <c r="M7" s="72">
        <f>'PF100'!U102</f>
        <v>0</v>
      </c>
      <c r="N7" s="72">
        <f>'PF100'!U101</f>
        <v>0</v>
      </c>
      <c r="O7" s="72">
        <f>'PF100'!U100</f>
        <v>0</v>
      </c>
      <c r="P7" s="72">
        <f>'PF100'!U99</f>
        <v>0</v>
      </c>
      <c r="Q7" s="71" t="str">
        <f>'PF100'!U98</f>
        <v>VCCD</v>
      </c>
      <c r="R7" s="73" t="str">
        <f>'PF100'!U97</f>
        <v>VSSD</v>
      </c>
      <c r="S7" s="73" t="str">
        <f>'PF100'!U96</f>
        <v>VSSD</v>
      </c>
      <c r="T7" s="71" t="str">
        <f>'PF100'!U95</f>
        <v>VDDD</v>
      </c>
      <c r="U7" s="74" t="str">
        <f>'PF100'!U94</f>
        <v>XRES_L</v>
      </c>
      <c r="V7" s="72">
        <f>'PF100'!U93</f>
        <v>0</v>
      </c>
      <c r="W7" s="72">
        <f>'PF100'!U92</f>
        <v>0</v>
      </c>
      <c r="X7" s="72">
        <f>'PF100'!U91</f>
        <v>0</v>
      </c>
      <c r="Y7" s="72">
        <f>'PF100'!U90</f>
        <v>0</v>
      </c>
      <c r="Z7" s="72">
        <f>'PF100'!U89</f>
        <v>0</v>
      </c>
      <c r="AA7" s="72">
        <f>'PF100'!U88</f>
        <v>0</v>
      </c>
      <c r="AB7" s="72">
        <f>'PF100'!U87</f>
        <v>0</v>
      </c>
      <c r="AC7" s="72">
        <f>'PF100'!U86</f>
        <v>0</v>
      </c>
      <c r="AD7" s="73" t="str">
        <f>'PF100'!U85</f>
        <v>VSSD</v>
      </c>
    </row>
    <row r="8" spans="1:36" ht="15" customHeight="1" x14ac:dyDescent="0.55000000000000004">
      <c r="D8" s="75"/>
      <c r="E8" s="76"/>
      <c r="F8" s="76">
        <v>100</v>
      </c>
      <c r="G8" s="76">
        <v>99</v>
      </c>
      <c r="H8" s="76">
        <v>98</v>
      </c>
      <c r="I8" s="76">
        <v>97</v>
      </c>
      <c r="J8" s="76">
        <v>96</v>
      </c>
      <c r="K8" s="76">
        <v>95</v>
      </c>
      <c r="L8" s="76">
        <v>94</v>
      </c>
      <c r="M8" s="76">
        <v>93</v>
      </c>
      <c r="N8" s="76">
        <v>92</v>
      </c>
      <c r="O8" s="76">
        <v>91</v>
      </c>
      <c r="P8" s="76">
        <v>90</v>
      </c>
      <c r="Q8" s="76">
        <v>89</v>
      </c>
      <c r="R8" s="76">
        <v>88</v>
      </c>
      <c r="S8" s="76">
        <v>87</v>
      </c>
      <c r="T8" s="76">
        <v>86</v>
      </c>
      <c r="U8" s="76">
        <v>85</v>
      </c>
      <c r="V8" s="76">
        <v>84</v>
      </c>
      <c r="W8" s="76">
        <v>83</v>
      </c>
      <c r="X8" s="76">
        <v>82</v>
      </c>
      <c r="Y8" s="76">
        <v>81</v>
      </c>
      <c r="Z8" s="76">
        <v>80</v>
      </c>
      <c r="AA8" s="76">
        <v>79</v>
      </c>
      <c r="AB8" s="76">
        <v>78</v>
      </c>
      <c r="AC8" s="76">
        <v>77</v>
      </c>
      <c r="AD8" s="76">
        <v>76</v>
      </c>
      <c r="AE8" s="76"/>
      <c r="AF8" s="77"/>
    </row>
    <row r="9" spans="1:36" ht="15" customHeight="1" x14ac:dyDescent="0.55000000000000004">
      <c r="D9" s="78"/>
      <c r="E9" s="79"/>
      <c r="F9" s="79"/>
      <c r="G9" s="79"/>
      <c r="H9" s="79"/>
      <c r="I9" s="79"/>
      <c r="J9" s="79"/>
      <c r="K9" s="79"/>
      <c r="L9" s="79"/>
      <c r="M9" s="79"/>
      <c r="N9" s="79"/>
      <c r="O9" s="79"/>
      <c r="P9" s="79"/>
      <c r="Q9" s="79"/>
      <c r="R9" s="79"/>
      <c r="S9" s="79"/>
      <c r="T9" s="79"/>
      <c r="U9" s="79"/>
      <c r="V9" s="79"/>
      <c r="W9" s="79"/>
      <c r="X9" s="79"/>
      <c r="Y9" s="79"/>
      <c r="Z9" s="79"/>
      <c r="AA9" s="79"/>
      <c r="AB9" s="79"/>
      <c r="AC9" s="79"/>
      <c r="AD9" s="79"/>
      <c r="AE9" s="79"/>
      <c r="AF9" s="80"/>
    </row>
    <row r="10" spans="1:36" ht="15" customHeight="1" x14ac:dyDescent="0.55000000000000004">
      <c r="B10" s="81"/>
      <c r="C10" s="82" t="str">
        <f>'PF100'!U10</f>
        <v>VSSD</v>
      </c>
      <c r="D10" s="78">
        <v>1</v>
      </c>
      <c r="E10" s="79"/>
      <c r="F10" s="151" t="s">
        <v>365</v>
      </c>
      <c r="G10" s="151"/>
      <c r="H10" s="151"/>
      <c r="I10" s="151"/>
      <c r="J10" s="151"/>
      <c r="K10" s="151"/>
      <c r="L10" s="151"/>
      <c r="M10" s="151"/>
      <c r="N10" s="151"/>
      <c r="O10" s="151"/>
      <c r="P10" s="151"/>
      <c r="Q10" s="151"/>
      <c r="R10" s="151"/>
      <c r="S10" s="151"/>
      <c r="T10" s="151"/>
      <c r="U10" s="151"/>
      <c r="V10" s="151"/>
      <c r="W10" s="151"/>
      <c r="X10" s="151"/>
      <c r="Y10" s="151"/>
      <c r="Z10" s="151"/>
      <c r="AA10" s="151"/>
      <c r="AB10" s="151"/>
      <c r="AC10" s="151"/>
      <c r="AD10" s="151"/>
      <c r="AE10" s="79"/>
      <c r="AF10" s="80">
        <v>75</v>
      </c>
      <c r="AG10" s="83" t="str">
        <f>'PF100'!U84</f>
        <v>VDDD</v>
      </c>
    </row>
    <row r="11" spans="1:36" ht="15" customHeight="1" x14ac:dyDescent="0.55000000000000004">
      <c r="B11" s="81"/>
      <c r="C11" s="84">
        <f>'PF100'!U11</f>
        <v>0</v>
      </c>
      <c r="D11" s="78">
        <v>2</v>
      </c>
      <c r="E11" s="79"/>
      <c r="F11" s="151"/>
      <c r="G11" s="151"/>
      <c r="H11" s="151"/>
      <c r="I11" s="151"/>
      <c r="J11" s="151"/>
      <c r="K11" s="151"/>
      <c r="L11" s="151"/>
      <c r="M11" s="151"/>
      <c r="N11" s="151"/>
      <c r="O11" s="151"/>
      <c r="P11" s="151"/>
      <c r="Q11" s="151"/>
      <c r="R11" s="151"/>
      <c r="S11" s="151"/>
      <c r="T11" s="151"/>
      <c r="U11" s="151"/>
      <c r="V11" s="151"/>
      <c r="W11" s="151"/>
      <c r="X11" s="151"/>
      <c r="Y11" s="151"/>
      <c r="Z11" s="151"/>
      <c r="AA11" s="151"/>
      <c r="AB11" s="151"/>
      <c r="AC11" s="151"/>
      <c r="AD11" s="151"/>
      <c r="AE11" s="79"/>
      <c r="AF11" s="80">
        <v>74</v>
      </c>
      <c r="AG11" s="85">
        <f>'PF100'!U83</f>
        <v>0</v>
      </c>
    </row>
    <row r="12" spans="1:36" ht="15" customHeight="1" x14ac:dyDescent="0.55000000000000004">
      <c r="B12" s="81"/>
      <c r="C12" s="84">
        <f>'PF100'!U12</f>
        <v>0</v>
      </c>
      <c r="D12" s="78">
        <v>3</v>
      </c>
      <c r="E12" s="79"/>
      <c r="F12" s="151"/>
      <c r="G12" s="151"/>
      <c r="H12" s="151"/>
      <c r="I12" s="151"/>
      <c r="J12" s="151"/>
      <c r="K12" s="151"/>
      <c r="L12" s="151"/>
      <c r="M12" s="151"/>
      <c r="N12" s="151"/>
      <c r="O12" s="151"/>
      <c r="P12" s="151"/>
      <c r="Q12" s="151"/>
      <c r="R12" s="151"/>
      <c r="S12" s="151"/>
      <c r="T12" s="151"/>
      <c r="U12" s="151"/>
      <c r="V12" s="151"/>
      <c r="W12" s="151"/>
      <c r="X12" s="151"/>
      <c r="Y12" s="151"/>
      <c r="Z12" s="151"/>
      <c r="AA12" s="151"/>
      <c r="AB12" s="151"/>
      <c r="AC12" s="151"/>
      <c r="AD12" s="151"/>
      <c r="AE12" s="79"/>
      <c r="AF12" s="80">
        <v>73</v>
      </c>
      <c r="AG12" s="85">
        <f>'PF100'!U82</f>
        <v>0</v>
      </c>
    </row>
    <row r="13" spans="1:36" ht="15" customHeight="1" x14ac:dyDescent="0.55000000000000004">
      <c r="B13" s="81"/>
      <c r="C13" s="84">
        <f>'PF100'!U13</f>
        <v>0</v>
      </c>
      <c r="D13" s="78">
        <v>4</v>
      </c>
      <c r="E13" s="79"/>
      <c r="F13" s="151"/>
      <c r="G13" s="151"/>
      <c r="H13" s="151"/>
      <c r="I13" s="151"/>
      <c r="J13" s="151"/>
      <c r="K13" s="151"/>
      <c r="L13" s="151"/>
      <c r="M13" s="151"/>
      <c r="N13" s="151"/>
      <c r="O13" s="151"/>
      <c r="P13" s="151"/>
      <c r="Q13" s="151"/>
      <c r="R13" s="151"/>
      <c r="S13" s="151"/>
      <c r="T13" s="151"/>
      <c r="U13" s="151"/>
      <c r="V13" s="151"/>
      <c r="W13" s="151"/>
      <c r="X13" s="151"/>
      <c r="Y13" s="151"/>
      <c r="Z13" s="151"/>
      <c r="AA13" s="151"/>
      <c r="AB13" s="151"/>
      <c r="AC13" s="151"/>
      <c r="AD13" s="151"/>
      <c r="AE13" s="79"/>
      <c r="AF13" s="80">
        <v>72</v>
      </c>
      <c r="AG13" s="85">
        <f>'PF100'!U81</f>
        <v>0</v>
      </c>
    </row>
    <row r="14" spans="1:36" ht="15" customHeight="1" x14ac:dyDescent="0.55000000000000004">
      <c r="B14" s="81"/>
      <c r="C14" s="84">
        <f>'PF100'!U14</f>
        <v>0</v>
      </c>
      <c r="D14" s="78">
        <v>5</v>
      </c>
      <c r="E14" s="79"/>
      <c r="F14" s="151"/>
      <c r="G14" s="151"/>
      <c r="H14" s="151"/>
      <c r="I14" s="151"/>
      <c r="J14" s="151"/>
      <c r="K14" s="151"/>
      <c r="L14" s="151"/>
      <c r="M14" s="151"/>
      <c r="N14" s="151"/>
      <c r="O14" s="151"/>
      <c r="P14" s="151"/>
      <c r="Q14" s="151"/>
      <c r="R14" s="151"/>
      <c r="S14" s="151"/>
      <c r="T14" s="151"/>
      <c r="U14" s="151"/>
      <c r="V14" s="151"/>
      <c r="W14" s="151"/>
      <c r="X14" s="151"/>
      <c r="Y14" s="151"/>
      <c r="Z14" s="151"/>
      <c r="AA14" s="151"/>
      <c r="AB14" s="151"/>
      <c r="AC14" s="151"/>
      <c r="AD14" s="151"/>
      <c r="AE14" s="79"/>
      <c r="AF14" s="80">
        <v>71</v>
      </c>
      <c r="AG14" s="85">
        <f>'PF100'!U80</f>
        <v>0</v>
      </c>
    </row>
    <row r="15" spans="1:36" ht="15" customHeight="1" x14ac:dyDescent="0.55000000000000004">
      <c r="B15" s="81"/>
      <c r="C15" s="84">
        <f>'PF100'!U15</f>
        <v>0</v>
      </c>
      <c r="D15" s="78">
        <v>6</v>
      </c>
      <c r="E15" s="79"/>
      <c r="F15" s="151"/>
      <c r="G15" s="151"/>
      <c r="H15" s="151"/>
      <c r="I15" s="151"/>
      <c r="J15" s="151"/>
      <c r="K15" s="151"/>
      <c r="L15" s="151"/>
      <c r="M15" s="151"/>
      <c r="N15" s="151"/>
      <c r="O15" s="151"/>
      <c r="P15" s="151"/>
      <c r="Q15" s="151"/>
      <c r="R15" s="151"/>
      <c r="S15" s="151"/>
      <c r="T15" s="151"/>
      <c r="U15" s="151"/>
      <c r="V15" s="151"/>
      <c r="W15" s="151"/>
      <c r="X15" s="151"/>
      <c r="Y15" s="151"/>
      <c r="Z15" s="151"/>
      <c r="AA15" s="151"/>
      <c r="AB15" s="151"/>
      <c r="AC15" s="151"/>
      <c r="AD15" s="151"/>
      <c r="AE15" s="79"/>
      <c r="AF15" s="80">
        <v>70</v>
      </c>
      <c r="AG15" s="85">
        <f>'PF100'!U79</f>
        <v>0</v>
      </c>
    </row>
    <row r="16" spans="1:36" ht="15" customHeight="1" x14ac:dyDescent="0.55000000000000004">
      <c r="B16" s="81"/>
      <c r="C16" s="84">
        <f>'PF100'!U16</f>
        <v>0</v>
      </c>
      <c r="D16" s="78">
        <v>7</v>
      </c>
      <c r="E16" s="79"/>
      <c r="F16" s="151"/>
      <c r="G16" s="151"/>
      <c r="H16" s="151"/>
      <c r="I16" s="151"/>
      <c r="J16" s="151"/>
      <c r="K16" s="151"/>
      <c r="L16" s="151"/>
      <c r="M16" s="151"/>
      <c r="N16" s="151"/>
      <c r="O16" s="151"/>
      <c r="P16" s="151"/>
      <c r="Q16" s="151"/>
      <c r="R16" s="151"/>
      <c r="S16" s="151"/>
      <c r="T16" s="151"/>
      <c r="U16" s="151"/>
      <c r="V16" s="151"/>
      <c r="W16" s="151"/>
      <c r="X16" s="151"/>
      <c r="Y16" s="151"/>
      <c r="Z16" s="151"/>
      <c r="AA16" s="151"/>
      <c r="AB16" s="151"/>
      <c r="AC16" s="151"/>
      <c r="AD16" s="151"/>
      <c r="AE16" s="79"/>
      <c r="AF16" s="80">
        <v>69</v>
      </c>
      <c r="AG16" s="85">
        <f>'PF100'!U78</f>
        <v>0</v>
      </c>
    </row>
    <row r="17" spans="2:33" ht="15" customHeight="1" x14ac:dyDescent="0.55000000000000004">
      <c r="B17" s="81"/>
      <c r="C17" s="84">
        <f>'PF100'!U17</f>
        <v>0</v>
      </c>
      <c r="D17" s="78">
        <v>8</v>
      </c>
      <c r="E17" s="79"/>
      <c r="F17" s="151"/>
      <c r="G17" s="151"/>
      <c r="H17" s="151"/>
      <c r="I17" s="151"/>
      <c r="J17" s="151"/>
      <c r="K17" s="151"/>
      <c r="L17" s="151"/>
      <c r="M17" s="151"/>
      <c r="N17" s="151"/>
      <c r="O17" s="151"/>
      <c r="P17" s="151"/>
      <c r="Q17" s="151"/>
      <c r="R17" s="151"/>
      <c r="S17" s="151"/>
      <c r="T17" s="151"/>
      <c r="U17" s="151"/>
      <c r="V17" s="151"/>
      <c r="W17" s="151"/>
      <c r="X17" s="151"/>
      <c r="Y17" s="151"/>
      <c r="Z17" s="151"/>
      <c r="AA17" s="151"/>
      <c r="AB17" s="151"/>
      <c r="AC17" s="151"/>
      <c r="AD17" s="151"/>
      <c r="AE17" s="79"/>
      <c r="AF17" s="80">
        <v>68</v>
      </c>
      <c r="AG17" s="85">
        <f>'PF100'!U77</f>
        <v>0</v>
      </c>
    </row>
    <row r="18" spans="2:33" ht="15" customHeight="1" x14ac:dyDescent="0.55000000000000004">
      <c r="B18" s="81"/>
      <c r="C18" s="84">
        <f>'PF100'!U18</f>
        <v>0</v>
      </c>
      <c r="D18" s="78">
        <v>9</v>
      </c>
      <c r="E18" s="79"/>
      <c r="F18" s="151"/>
      <c r="G18" s="151"/>
      <c r="H18" s="151"/>
      <c r="I18" s="151"/>
      <c r="J18" s="151"/>
      <c r="K18" s="151"/>
      <c r="L18" s="151"/>
      <c r="M18" s="151"/>
      <c r="N18" s="151"/>
      <c r="O18" s="151"/>
      <c r="P18" s="151"/>
      <c r="Q18" s="151"/>
      <c r="R18" s="151"/>
      <c r="S18" s="151"/>
      <c r="T18" s="151"/>
      <c r="U18" s="151"/>
      <c r="V18" s="151"/>
      <c r="W18" s="151"/>
      <c r="X18" s="151"/>
      <c r="Y18" s="151"/>
      <c r="Z18" s="151"/>
      <c r="AA18" s="151"/>
      <c r="AB18" s="151"/>
      <c r="AC18" s="151"/>
      <c r="AD18" s="151"/>
      <c r="AE18" s="79"/>
      <c r="AF18" s="80">
        <v>67</v>
      </c>
      <c r="AG18" s="85">
        <f>'PF100'!U76</f>
        <v>0</v>
      </c>
    </row>
    <row r="19" spans="2:33" ht="15" customHeight="1" x14ac:dyDescent="0.55000000000000004">
      <c r="B19" s="81"/>
      <c r="C19" s="84">
        <f>'PF100'!U19</f>
        <v>0</v>
      </c>
      <c r="D19" s="78">
        <v>10</v>
      </c>
      <c r="E19" s="79"/>
      <c r="F19" s="151"/>
      <c r="G19" s="151"/>
      <c r="H19" s="151"/>
      <c r="I19" s="151"/>
      <c r="J19" s="151"/>
      <c r="K19" s="151"/>
      <c r="L19" s="151"/>
      <c r="M19" s="151"/>
      <c r="N19" s="151"/>
      <c r="O19" s="151"/>
      <c r="P19" s="151"/>
      <c r="Q19" s="151"/>
      <c r="R19" s="151"/>
      <c r="S19" s="151"/>
      <c r="T19" s="151"/>
      <c r="U19" s="151"/>
      <c r="V19" s="151"/>
      <c r="W19" s="151"/>
      <c r="X19" s="151"/>
      <c r="Y19" s="151"/>
      <c r="Z19" s="151"/>
      <c r="AA19" s="151"/>
      <c r="AB19" s="151"/>
      <c r="AC19" s="151"/>
      <c r="AD19" s="151"/>
      <c r="AE19" s="79"/>
      <c r="AF19" s="80">
        <v>66</v>
      </c>
      <c r="AG19" s="85">
        <f>'PF100'!U75</f>
        <v>0</v>
      </c>
    </row>
    <row r="20" spans="2:33" ht="15" customHeight="1" x14ac:dyDescent="0.55000000000000004">
      <c r="B20" s="81"/>
      <c r="C20" s="84">
        <f>'PF100'!U20</f>
        <v>0</v>
      </c>
      <c r="D20" s="78">
        <v>11</v>
      </c>
      <c r="E20" s="79"/>
      <c r="F20" s="151"/>
      <c r="G20" s="151"/>
      <c r="H20" s="151"/>
      <c r="I20" s="151"/>
      <c r="J20" s="151"/>
      <c r="K20" s="151"/>
      <c r="L20" s="151"/>
      <c r="M20" s="151"/>
      <c r="N20" s="151"/>
      <c r="O20" s="151"/>
      <c r="P20" s="151"/>
      <c r="Q20" s="151"/>
      <c r="R20" s="151"/>
      <c r="S20" s="151"/>
      <c r="T20" s="151"/>
      <c r="U20" s="151"/>
      <c r="V20" s="151"/>
      <c r="W20" s="151"/>
      <c r="X20" s="151"/>
      <c r="Y20" s="151"/>
      <c r="Z20" s="151"/>
      <c r="AA20" s="151"/>
      <c r="AB20" s="151"/>
      <c r="AC20" s="151"/>
      <c r="AD20" s="151"/>
      <c r="AE20" s="79"/>
      <c r="AF20" s="80">
        <v>65</v>
      </c>
      <c r="AG20" s="85">
        <f>'PF100'!U74</f>
        <v>0</v>
      </c>
    </row>
    <row r="21" spans="2:33" ht="15" customHeight="1" x14ac:dyDescent="0.55000000000000004">
      <c r="B21" s="81"/>
      <c r="C21" s="86" t="str">
        <f>'PF100'!U21</f>
        <v>VDDD</v>
      </c>
      <c r="D21" s="78">
        <v>12</v>
      </c>
      <c r="E21" s="79"/>
      <c r="F21" s="151"/>
      <c r="G21" s="151"/>
      <c r="H21" s="151"/>
      <c r="I21" s="151"/>
      <c r="J21" s="151"/>
      <c r="K21" s="151"/>
      <c r="L21" s="151"/>
      <c r="M21" s="151"/>
      <c r="N21" s="151"/>
      <c r="O21" s="151"/>
      <c r="P21" s="151"/>
      <c r="Q21" s="151"/>
      <c r="R21" s="151"/>
      <c r="S21" s="151"/>
      <c r="T21" s="151"/>
      <c r="U21" s="151"/>
      <c r="V21" s="151"/>
      <c r="W21" s="151"/>
      <c r="X21" s="151"/>
      <c r="Y21" s="151"/>
      <c r="Z21" s="151"/>
      <c r="AA21" s="151"/>
      <c r="AB21" s="151"/>
      <c r="AC21" s="151"/>
      <c r="AD21" s="151"/>
      <c r="AE21" s="79"/>
      <c r="AF21" s="80">
        <v>64</v>
      </c>
      <c r="AG21" s="85">
        <f>'PF100'!U73</f>
        <v>0</v>
      </c>
    </row>
    <row r="22" spans="2:33" ht="15" customHeight="1" x14ac:dyDescent="0.55000000000000004">
      <c r="B22" s="81"/>
      <c r="C22" s="82" t="str">
        <f>'PF100'!U22</f>
        <v>VSSD</v>
      </c>
      <c r="D22" s="78">
        <v>13</v>
      </c>
      <c r="E22" s="79"/>
      <c r="F22" s="151"/>
      <c r="G22" s="151"/>
      <c r="H22" s="151"/>
      <c r="I22" s="151"/>
      <c r="J22" s="151"/>
      <c r="K22" s="151"/>
      <c r="L22" s="151"/>
      <c r="M22" s="151"/>
      <c r="N22" s="151"/>
      <c r="O22" s="151"/>
      <c r="P22" s="151"/>
      <c r="Q22" s="151"/>
      <c r="R22" s="151"/>
      <c r="S22" s="151"/>
      <c r="T22" s="151"/>
      <c r="U22" s="151"/>
      <c r="V22" s="151"/>
      <c r="W22" s="151"/>
      <c r="X22" s="151"/>
      <c r="Y22" s="151"/>
      <c r="Z22" s="151"/>
      <c r="AA22" s="151"/>
      <c r="AB22" s="151"/>
      <c r="AC22" s="151"/>
      <c r="AD22" s="151"/>
      <c r="AE22" s="79"/>
      <c r="AF22" s="80">
        <v>63</v>
      </c>
      <c r="AG22" s="85">
        <f>'PF100'!U72</f>
        <v>0</v>
      </c>
    </row>
    <row r="23" spans="2:33" ht="15" customHeight="1" x14ac:dyDescent="0.55000000000000004">
      <c r="B23" s="81"/>
      <c r="C23" s="84">
        <f>'PF100'!U23</f>
        <v>0</v>
      </c>
      <c r="D23" s="78">
        <v>14</v>
      </c>
      <c r="E23" s="79"/>
      <c r="F23" s="151"/>
      <c r="G23" s="151"/>
      <c r="H23" s="151"/>
      <c r="I23" s="151"/>
      <c r="J23" s="151"/>
      <c r="K23" s="151"/>
      <c r="L23" s="151"/>
      <c r="M23" s="151"/>
      <c r="N23" s="151"/>
      <c r="O23" s="151"/>
      <c r="P23" s="151"/>
      <c r="Q23" s="151"/>
      <c r="R23" s="151"/>
      <c r="S23" s="151"/>
      <c r="T23" s="151"/>
      <c r="U23" s="151"/>
      <c r="V23" s="151"/>
      <c r="W23" s="151"/>
      <c r="X23" s="151"/>
      <c r="Y23" s="151"/>
      <c r="Z23" s="151"/>
      <c r="AA23" s="151"/>
      <c r="AB23" s="151"/>
      <c r="AC23" s="151"/>
      <c r="AD23" s="151"/>
      <c r="AE23" s="79"/>
      <c r="AF23" s="80">
        <v>62</v>
      </c>
      <c r="AG23" s="85">
        <f>'PF100'!U71</f>
        <v>0</v>
      </c>
    </row>
    <row r="24" spans="2:33" ht="15" customHeight="1" x14ac:dyDescent="0.55000000000000004">
      <c r="B24" s="81"/>
      <c r="C24" s="84">
        <f>'PF100'!U24</f>
        <v>0</v>
      </c>
      <c r="D24" s="78">
        <v>15</v>
      </c>
      <c r="E24" s="79"/>
      <c r="F24" s="151"/>
      <c r="G24" s="151"/>
      <c r="H24" s="151"/>
      <c r="I24" s="151"/>
      <c r="J24" s="151"/>
      <c r="K24" s="151"/>
      <c r="L24" s="151"/>
      <c r="M24" s="151"/>
      <c r="N24" s="151"/>
      <c r="O24" s="151"/>
      <c r="P24" s="151"/>
      <c r="Q24" s="151"/>
      <c r="R24" s="151"/>
      <c r="S24" s="151"/>
      <c r="T24" s="151"/>
      <c r="U24" s="151"/>
      <c r="V24" s="151"/>
      <c r="W24" s="151"/>
      <c r="X24" s="151"/>
      <c r="Y24" s="151"/>
      <c r="Z24" s="151"/>
      <c r="AA24" s="151"/>
      <c r="AB24" s="151"/>
      <c r="AC24" s="151"/>
      <c r="AD24" s="151"/>
      <c r="AE24" s="79"/>
      <c r="AF24" s="80">
        <v>61</v>
      </c>
      <c r="AG24" s="85">
        <f>'PF100'!U70</f>
        <v>0</v>
      </c>
    </row>
    <row r="25" spans="2:33" ht="15" customHeight="1" x14ac:dyDescent="0.55000000000000004">
      <c r="B25" s="81"/>
      <c r="C25" s="84">
        <f>'PF100'!U25</f>
        <v>0</v>
      </c>
      <c r="D25" s="78">
        <v>16</v>
      </c>
      <c r="E25" s="79"/>
      <c r="F25" s="151"/>
      <c r="G25" s="151"/>
      <c r="H25" s="151"/>
      <c r="I25" s="151"/>
      <c r="J25" s="151"/>
      <c r="K25" s="151"/>
      <c r="L25" s="151"/>
      <c r="M25" s="151"/>
      <c r="N25" s="151"/>
      <c r="O25" s="151"/>
      <c r="P25" s="151"/>
      <c r="Q25" s="151"/>
      <c r="R25" s="151"/>
      <c r="S25" s="151"/>
      <c r="T25" s="151"/>
      <c r="U25" s="151"/>
      <c r="V25" s="151"/>
      <c r="W25" s="151"/>
      <c r="X25" s="151"/>
      <c r="Y25" s="151"/>
      <c r="Z25" s="151"/>
      <c r="AA25" s="151"/>
      <c r="AB25" s="151"/>
      <c r="AC25" s="151"/>
      <c r="AD25" s="151"/>
      <c r="AE25" s="79"/>
      <c r="AF25" s="80">
        <v>60</v>
      </c>
      <c r="AG25" s="85">
        <f>'PF100'!U69</f>
        <v>0</v>
      </c>
    </row>
    <row r="26" spans="2:33" ht="15" customHeight="1" x14ac:dyDescent="0.55000000000000004">
      <c r="B26" s="81"/>
      <c r="C26" s="84">
        <f>'PF100'!U26</f>
        <v>0</v>
      </c>
      <c r="D26" s="78">
        <v>17</v>
      </c>
      <c r="E26" s="79"/>
      <c r="F26" s="151"/>
      <c r="G26" s="151"/>
      <c r="H26" s="151"/>
      <c r="I26" s="151"/>
      <c r="J26" s="151"/>
      <c r="K26" s="151"/>
      <c r="L26" s="151"/>
      <c r="M26" s="151"/>
      <c r="N26" s="151"/>
      <c r="O26" s="151"/>
      <c r="P26" s="151"/>
      <c r="Q26" s="151"/>
      <c r="R26" s="151"/>
      <c r="S26" s="151"/>
      <c r="T26" s="151"/>
      <c r="U26" s="151"/>
      <c r="V26" s="151"/>
      <c r="W26" s="151"/>
      <c r="X26" s="151"/>
      <c r="Y26" s="151"/>
      <c r="Z26" s="151"/>
      <c r="AA26" s="151"/>
      <c r="AB26" s="151"/>
      <c r="AC26" s="151"/>
      <c r="AD26" s="151"/>
      <c r="AE26" s="79"/>
      <c r="AF26" s="80">
        <v>59</v>
      </c>
      <c r="AG26" s="85">
        <f>'PF100'!U68</f>
        <v>0</v>
      </c>
    </row>
    <row r="27" spans="2:33" ht="15" customHeight="1" x14ac:dyDescent="0.55000000000000004">
      <c r="B27" s="81"/>
      <c r="C27" s="84">
        <f>'PF100'!U27</f>
        <v>0</v>
      </c>
      <c r="D27" s="78">
        <v>18</v>
      </c>
      <c r="E27" s="79"/>
      <c r="F27" s="151"/>
      <c r="G27" s="151"/>
      <c r="H27" s="151"/>
      <c r="I27" s="151"/>
      <c r="J27" s="151"/>
      <c r="K27" s="151"/>
      <c r="L27" s="151"/>
      <c r="M27" s="151"/>
      <c r="N27" s="151"/>
      <c r="O27" s="151"/>
      <c r="P27" s="151"/>
      <c r="Q27" s="151"/>
      <c r="R27" s="151"/>
      <c r="S27" s="151"/>
      <c r="T27" s="151"/>
      <c r="U27" s="151"/>
      <c r="V27" s="151"/>
      <c r="W27" s="151"/>
      <c r="X27" s="151"/>
      <c r="Y27" s="151"/>
      <c r="Z27" s="151"/>
      <c r="AA27" s="151"/>
      <c r="AB27" s="151"/>
      <c r="AC27" s="151"/>
      <c r="AD27" s="151"/>
      <c r="AE27" s="79"/>
      <c r="AF27" s="80">
        <v>58</v>
      </c>
      <c r="AG27" s="85">
        <f>'PF100'!U67</f>
        <v>0</v>
      </c>
    </row>
    <row r="28" spans="2:33" ht="15" customHeight="1" x14ac:dyDescent="0.55000000000000004">
      <c r="B28" s="81"/>
      <c r="C28" s="84">
        <f>'PF100'!U28</f>
        <v>0</v>
      </c>
      <c r="D28" s="78">
        <v>19</v>
      </c>
      <c r="E28" s="79"/>
      <c r="F28" s="151"/>
      <c r="G28" s="151"/>
      <c r="H28" s="151"/>
      <c r="I28" s="151"/>
      <c r="J28" s="151"/>
      <c r="K28" s="151"/>
      <c r="L28" s="151"/>
      <c r="M28" s="151"/>
      <c r="N28" s="151"/>
      <c r="O28" s="151"/>
      <c r="P28" s="151"/>
      <c r="Q28" s="151"/>
      <c r="R28" s="151"/>
      <c r="S28" s="151"/>
      <c r="T28" s="151"/>
      <c r="U28" s="151"/>
      <c r="V28" s="151"/>
      <c r="W28" s="151"/>
      <c r="X28" s="151"/>
      <c r="Y28" s="151"/>
      <c r="Z28" s="151"/>
      <c r="AA28" s="151"/>
      <c r="AB28" s="151"/>
      <c r="AC28" s="151"/>
      <c r="AD28" s="151"/>
      <c r="AE28" s="79"/>
      <c r="AF28" s="80">
        <v>57</v>
      </c>
      <c r="AG28" s="85">
        <f>'PF100'!U66</f>
        <v>0</v>
      </c>
    </row>
    <row r="29" spans="2:33" ht="15" customHeight="1" x14ac:dyDescent="0.55000000000000004">
      <c r="B29" s="81"/>
      <c r="C29" s="84">
        <f>'PF100'!U29</f>
        <v>0</v>
      </c>
      <c r="D29" s="78">
        <v>20</v>
      </c>
      <c r="E29" s="79"/>
      <c r="F29" s="151"/>
      <c r="G29" s="151"/>
      <c r="H29" s="151"/>
      <c r="I29" s="151"/>
      <c r="J29" s="151"/>
      <c r="K29" s="151"/>
      <c r="L29" s="151"/>
      <c r="M29" s="151"/>
      <c r="N29" s="151"/>
      <c r="O29" s="151"/>
      <c r="P29" s="151"/>
      <c r="Q29" s="151"/>
      <c r="R29" s="151"/>
      <c r="S29" s="151"/>
      <c r="T29" s="151"/>
      <c r="U29" s="151"/>
      <c r="V29" s="151"/>
      <c r="W29" s="151"/>
      <c r="X29" s="151"/>
      <c r="Y29" s="151"/>
      <c r="Z29" s="151"/>
      <c r="AA29" s="151"/>
      <c r="AB29" s="151"/>
      <c r="AC29" s="151"/>
      <c r="AD29" s="151"/>
      <c r="AE29" s="79"/>
      <c r="AF29" s="80">
        <v>56</v>
      </c>
      <c r="AG29" s="85">
        <f>'PF100'!U65</f>
        <v>0</v>
      </c>
    </row>
    <row r="30" spans="2:33" ht="15" customHeight="1" x14ac:dyDescent="0.55000000000000004">
      <c r="B30" s="81"/>
      <c r="C30" s="84">
        <f>'PF100'!U30</f>
        <v>0</v>
      </c>
      <c r="D30" s="78">
        <v>21</v>
      </c>
      <c r="E30" s="79"/>
      <c r="F30" s="151"/>
      <c r="G30" s="151"/>
      <c r="H30" s="151"/>
      <c r="I30" s="151"/>
      <c r="J30" s="151"/>
      <c r="K30" s="151"/>
      <c r="L30" s="151"/>
      <c r="M30" s="151"/>
      <c r="N30" s="151"/>
      <c r="O30" s="151"/>
      <c r="P30" s="151"/>
      <c r="Q30" s="151"/>
      <c r="R30" s="151"/>
      <c r="S30" s="151"/>
      <c r="T30" s="151"/>
      <c r="U30" s="151"/>
      <c r="V30" s="151"/>
      <c r="W30" s="151"/>
      <c r="X30" s="151"/>
      <c r="Y30" s="151"/>
      <c r="Z30" s="151"/>
      <c r="AA30" s="151"/>
      <c r="AB30" s="151"/>
      <c r="AC30" s="151"/>
      <c r="AD30" s="151"/>
      <c r="AE30" s="79"/>
      <c r="AF30" s="80">
        <v>55</v>
      </c>
      <c r="AG30" s="85">
        <f>'PF100'!U64</f>
        <v>0</v>
      </c>
    </row>
    <row r="31" spans="2:33" ht="15" customHeight="1" x14ac:dyDescent="0.55000000000000004">
      <c r="B31" s="81"/>
      <c r="C31" s="84">
        <f>'PF100'!U31</f>
        <v>0</v>
      </c>
      <c r="D31" s="78">
        <v>22</v>
      </c>
      <c r="E31" s="79"/>
      <c r="F31" s="151"/>
      <c r="G31" s="151"/>
      <c r="H31" s="151"/>
      <c r="I31" s="151"/>
      <c r="J31" s="151"/>
      <c r="K31" s="151"/>
      <c r="L31" s="151"/>
      <c r="M31" s="151"/>
      <c r="N31" s="151"/>
      <c r="O31" s="151"/>
      <c r="P31" s="151"/>
      <c r="Q31" s="151"/>
      <c r="R31" s="151"/>
      <c r="S31" s="151"/>
      <c r="T31" s="151"/>
      <c r="U31" s="151"/>
      <c r="V31" s="151"/>
      <c r="W31" s="151"/>
      <c r="X31" s="151"/>
      <c r="Y31" s="151"/>
      <c r="Z31" s="151"/>
      <c r="AA31" s="151"/>
      <c r="AB31" s="151"/>
      <c r="AC31" s="151"/>
      <c r="AD31" s="151"/>
      <c r="AE31" s="79"/>
      <c r="AF31" s="80">
        <v>54</v>
      </c>
      <c r="AG31" s="85">
        <f>'PF100'!U63</f>
        <v>0</v>
      </c>
    </row>
    <row r="32" spans="2:33" ht="15" customHeight="1" x14ac:dyDescent="0.55000000000000004">
      <c r="B32" s="81"/>
      <c r="C32" s="84">
        <f>'PF100'!U32</f>
        <v>0</v>
      </c>
      <c r="D32" s="78">
        <v>23</v>
      </c>
      <c r="E32" s="79"/>
      <c r="F32" s="151"/>
      <c r="G32" s="151"/>
      <c r="H32" s="151"/>
      <c r="I32" s="151"/>
      <c r="J32" s="151"/>
      <c r="K32" s="151"/>
      <c r="L32" s="151"/>
      <c r="M32" s="151"/>
      <c r="N32" s="151"/>
      <c r="O32" s="151"/>
      <c r="P32" s="151"/>
      <c r="Q32" s="151"/>
      <c r="R32" s="151"/>
      <c r="S32" s="151"/>
      <c r="T32" s="151"/>
      <c r="U32" s="151"/>
      <c r="V32" s="151"/>
      <c r="W32" s="151"/>
      <c r="X32" s="151"/>
      <c r="Y32" s="151"/>
      <c r="Z32" s="151"/>
      <c r="AA32" s="151"/>
      <c r="AB32" s="151"/>
      <c r="AC32" s="151"/>
      <c r="AD32" s="151"/>
      <c r="AE32" s="79"/>
      <c r="AF32" s="80">
        <v>53</v>
      </c>
      <c r="AG32" s="85">
        <f>'PF100'!U62</f>
        <v>0</v>
      </c>
    </row>
    <row r="33" spans="2:49" ht="15" customHeight="1" x14ac:dyDescent="0.55000000000000004">
      <c r="B33" s="81"/>
      <c r="C33" s="86" t="str">
        <f>'PF100'!U33</f>
        <v>VDDD</v>
      </c>
      <c r="D33" s="78">
        <v>24</v>
      </c>
      <c r="E33" s="79"/>
      <c r="F33" s="151"/>
      <c r="G33" s="151"/>
      <c r="H33" s="151"/>
      <c r="I33" s="151"/>
      <c r="J33" s="151"/>
      <c r="K33" s="151"/>
      <c r="L33" s="151"/>
      <c r="M33" s="151"/>
      <c r="N33" s="151"/>
      <c r="O33" s="151"/>
      <c r="P33" s="151"/>
      <c r="Q33" s="151"/>
      <c r="R33" s="151"/>
      <c r="S33" s="151"/>
      <c r="T33" s="151"/>
      <c r="U33" s="151"/>
      <c r="V33" s="151"/>
      <c r="W33" s="151"/>
      <c r="X33" s="151"/>
      <c r="Y33" s="151"/>
      <c r="Z33" s="151"/>
      <c r="AA33" s="151"/>
      <c r="AB33" s="151"/>
      <c r="AC33" s="151"/>
      <c r="AD33" s="151"/>
      <c r="AE33" s="79"/>
      <c r="AF33" s="80">
        <v>52</v>
      </c>
      <c r="AG33" s="85">
        <f>'PF100'!U61</f>
        <v>0</v>
      </c>
    </row>
    <row r="34" spans="2:49" ht="15" customHeight="1" x14ac:dyDescent="0.55000000000000004">
      <c r="B34" s="81"/>
      <c r="C34" s="86" t="str">
        <f>'PF100'!U34</f>
        <v>VDDIO_1</v>
      </c>
      <c r="D34" s="78">
        <v>25</v>
      </c>
      <c r="E34" s="79"/>
      <c r="F34" s="151"/>
      <c r="G34" s="151"/>
      <c r="H34" s="151"/>
      <c r="I34" s="151"/>
      <c r="J34" s="151"/>
      <c r="K34" s="151"/>
      <c r="L34" s="151"/>
      <c r="M34" s="151"/>
      <c r="N34" s="151"/>
      <c r="O34" s="151"/>
      <c r="P34" s="151"/>
      <c r="Q34" s="151"/>
      <c r="R34" s="151"/>
      <c r="S34" s="151"/>
      <c r="T34" s="151"/>
      <c r="U34" s="151"/>
      <c r="V34" s="151"/>
      <c r="W34" s="151"/>
      <c r="X34" s="151"/>
      <c r="Y34" s="151"/>
      <c r="Z34" s="151"/>
      <c r="AA34" s="151"/>
      <c r="AB34" s="151"/>
      <c r="AC34" s="151"/>
      <c r="AD34" s="151"/>
      <c r="AE34" s="79"/>
      <c r="AF34" s="80">
        <v>51</v>
      </c>
      <c r="AG34" s="87" t="str">
        <f>'PF100'!U60</f>
        <v>VSSD</v>
      </c>
    </row>
    <row r="35" spans="2:49" ht="15" customHeight="1" x14ac:dyDescent="0.55000000000000004">
      <c r="D35" s="78"/>
      <c r="E35" s="79"/>
      <c r="F35" s="79"/>
      <c r="G35" s="79"/>
      <c r="H35" s="79"/>
      <c r="I35" s="79"/>
      <c r="J35" s="79"/>
      <c r="K35" s="79"/>
      <c r="L35" s="79"/>
      <c r="M35" s="79"/>
      <c r="N35" s="79"/>
      <c r="O35" s="79"/>
      <c r="P35" s="79"/>
      <c r="Q35" s="79"/>
      <c r="R35" s="79"/>
      <c r="S35" s="79"/>
      <c r="T35" s="79"/>
      <c r="U35" s="79"/>
      <c r="V35" s="79"/>
      <c r="W35" s="79"/>
      <c r="X35" s="79"/>
      <c r="Y35" s="79"/>
      <c r="Z35" s="79"/>
      <c r="AA35" s="79"/>
      <c r="AB35" s="79"/>
      <c r="AC35" s="79"/>
      <c r="AD35" s="79"/>
      <c r="AE35" s="79"/>
      <c r="AF35" s="80"/>
    </row>
    <row r="36" spans="2:49" ht="15" customHeight="1" x14ac:dyDescent="0.55000000000000004">
      <c r="D36" s="77"/>
      <c r="E36" s="88"/>
      <c r="F36" s="88">
        <v>26</v>
      </c>
      <c r="G36" s="88">
        <v>27</v>
      </c>
      <c r="H36" s="88">
        <v>28</v>
      </c>
      <c r="I36" s="88">
        <v>29</v>
      </c>
      <c r="J36" s="88">
        <v>30</v>
      </c>
      <c r="K36" s="88">
        <v>31</v>
      </c>
      <c r="L36" s="88">
        <v>32</v>
      </c>
      <c r="M36" s="88">
        <v>33</v>
      </c>
      <c r="N36" s="88">
        <v>34</v>
      </c>
      <c r="O36" s="88">
        <v>35</v>
      </c>
      <c r="P36" s="88">
        <v>36</v>
      </c>
      <c r="Q36" s="88">
        <v>37</v>
      </c>
      <c r="R36" s="88">
        <v>38</v>
      </c>
      <c r="S36" s="88">
        <v>39</v>
      </c>
      <c r="T36" s="88">
        <v>40</v>
      </c>
      <c r="U36" s="88">
        <v>41</v>
      </c>
      <c r="V36" s="88">
        <v>42</v>
      </c>
      <c r="W36" s="88">
        <v>43</v>
      </c>
      <c r="X36" s="88">
        <v>44</v>
      </c>
      <c r="Y36" s="88">
        <v>45</v>
      </c>
      <c r="Z36" s="88">
        <v>46</v>
      </c>
      <c r="AA36" s="88">
        <v>47</v>
      </c>
      <c r="AB36" s="88">
        <v>48</v>
      </c>
      <c r="AC36" s="88">
        <v>49</v>
      </c>
      <c r="AD36" s="88">
        <v>50</v>
      </c>
      <c r="AE36" s="88"/>
      <c r="AF36" s="75"/>
    </row>
    <row r="37" spans="2:49" ht="105" customHeight="1" x14ac:dyDescent="0.55000000000000004">
      <c r="F37" s="89" t="str">
        <f>'PF100'!U35</f>
        <v>VSSD</v>
      </c>
      <c r="G37" s="89" t="str">
        <f>'PF100'!U36</f>
        <v>VSSD</v>
      </c>
      <c r="H37" s="90" t="str">
        <f>'PF100'!U37</f>
        <v>VCCD</v>
      </c>
      <c r="I37" s="91">
        <f>'PF100'!U38</f>
        <v>0</v>
      </c>
      <c r="J37" s="91">
        <f>'PF100'!U39</f>
        <v>0</v>
      </c>
      <c r="K37" s="91">
        <f>'PF100'!U40</f>
        <v>0</v>
      </c>
      <c r="L37" s="91">
        <f>'PF100'!U41</f>
        <v>0</v>
      </c>
      <c r="M37" s="91">
        <f>'PF100'!U42</f>
        <v>0</v>
      </c>
      <c r="N37" s="91">
        <f>'PF100'!U43</f>
        <v>0</v>
      </c>
      <c r="O37" s="91">
        <f>'PF100'!U44</f>
        <v>0</v>
      </c>
      <c r="P37" s="91">
        <f>'PF100'!U45</f>
        <v>0</v>
      </c>
      <c r="Q37" s="91">
        <f>'PF100'!U46</f>
        <v>0</v>
      </c>
      <c r="R37" s="91">
        <f>'PF100'!U47</f>
        <v>0</v>
      </c>
      <c r="S37" s="91">
        <f>'PF100'!U48</f>
        <v>0</v>
      </c>
      <c r="T37" s="91">
        <f>'PF100'!U49</f>
        <v>0</v>
      </c>
      <c r="U37" s="92" t="str">
        <f>'PF100'!U50</f>
        <v>VREFL</v>
      </c>
      <c r="V37" s="89" t="str">
        <f>'PF100'!U51</f>
        <v>VSSA</v>
      </c>
      <c r="W37" s="92" t="str">
        <f>'PF100'!U52</f>
        <v>VDDA</v>
      </c>
      <c r="X37" s="90" t="str">
        <f>'PF100'!U53</f>
        <v>VREFH</v>
      </c>
      <c r="Y37" s="91">
        <f>'PF100'!U54</f>
        <v>0</v>
      </c>
      <c r="Z37" s="91">
        <f>'PF100'!U55</f>
        <v>0</v>
      </c>
      <c r="AA37" s="91">
        <f>'PF100'!U56</f>
        <v>0</v>
      </c>
      <c r="AB37" s="91">
        <f>'PF100'!U57</f>
        <v>0</v>
      </c>
      <c r="AC37" s="91">
        <f>'PF100'!U58</f>
        <v>0</v>
      </c>
      <c r="AD37" s="90" t="str">
        <f>'PF100'!U59</f>
        <v>VDDIO_2</v>
      </c>
    </row>
    <row r="48" spans="2:49" ht="15" customHeight="1" x14ac:dyDescent="0.55000000000000004">
      <c r="B48" s="152" t="s">
        <v>849</v>
      </c>
      <c r="C48" s="152"/>
      <c r="D48" s="152"/>
      <c r="E48" s="152"/>
      <c r="F48" s="152"/>
      <c r="G48" s="152"/>
      <c r="H48" s="152"/>
      <c r="I48" s="152"/>
      <c r="J48" s="152"/>
      <c r="K48" s="152"/>
      <c r="L48" s="152"/>
      <c r="M48" s="152"/>
      <c r="N48" s="152"/>
      <c r="O48" s="152"/>
      <c r="P48" s="152"/>
      <c r="Q48" s="152"/>
      <c r="R48" s="152"/>
      <c r="S48" s="152"/>
      <c r="T48" s="152"/>
      <c r="U48" s="152"/>
      <c r="V48" s="152"/>
      <c r="W48" s="152"/>
      <c r="X48" s="152"/>
      <c r="Y48" s="152"/>
      <c r="Z48" s="152"/>
      <c r="AA48" s="152"/>
      <c r="AB48" s="152"/>
      <c r="AC48" s="152"/>
      <c r="AD48" s="152"/>
      <c r="AE48" s="152"/>
      <c r="AF48" s="152"/>
      <c r="AG48" s="152"/>
      <c r="AH48" s="152"/>
      <c r="AI48" s="155"/>
      <c r="AJ48" s="155"/>
      <c r="AK48" s="155"/>
      <c r="AL48" s="155"/>
      <c r="AM48" s="155"/>
      <c r="AN48" s="155"/>
      <c r="AO48" s="155"/>
      <c r="AP48" s="155"/>
      <c r="AQ48" s="155"/>
      <c r="AR48" s="155"/>
      <c r="AS48" s="155"/>
      <c r="AT48" s="155"/>
      <c r="AU48" s="155"/>
      <c r="AV48" s="155"/>
      <c r="AW48" s="155"/>
    </row>
    <row r="49" spans="2:49" ht="178" customHeight="1" x14ac:dyDescent="0.55000000000000004">
      <c r="B49" s="116" t="s">
        <v>850</v>
      </c>
      <c r="C49" s="116"/>
      <c r="D49" s="116"/>
      <c r="E49" s="116"/>
      <c r="F49" s="116"/>
      <c r="G49" s="116"/>
      <c r="H49" s="116"/>
      <c r="I49" s="116"/>
      <c r="J49" s="116"/>
      <c r="K49" s="116"/>
      <c r="L49" s="116"/>
      <c r="M49" s="116"/>
      <c r="N49" s="116"/>
      <c r="O49" s="116"/>
      <c r="P49" s="116"/>
      <c r="Q49" s="116"/>
      <c r="R49" s="116"/>
      <c r="S49" s="116"/>
      <c r="T49" s="116"/>
      <c r="U49" s="116"/>
      <c r="V49" s="116"/>
      <c r="W49" s="116"/>
      <c r="X49" s="116"/>
      <c r="Y49" s="116"/>
      <c r="Z49" s="116"/>
      <c r="AA49" s="116"/>
      <c r="AB49" s="116"/>
      <c r="AC49" s="116"/>
      <c r="AD49" s="116"/>
      <c r="AE49" s="116"/>
      <c r="AF49" s="116"/>
      <c r="AG49" s="116"/>
      <c r="AH49" s="116"/>
      <c r="AI49" s="156"/>
      <c r="AJ49" s="156"/>
      <c r="AK49" s="156"/>
      <c r="AL49" s="156"/>
      <c r="AM49" s="156"/>
      <c r="AN49" s="156"/>
      <c r="AO49" s="156"/>
      <c r="AP49" s="156"/>
      <c r="AQ49" s="156"/>
      <c r="AR49" s="156"/>
      <c r="AS49" s="156"/>
      <c r="AT49" s="156"/>
      <c r="AU49" s="156"/>
      <c r="AV49" s="156"/>
      <c r="AW49" s="156"/>
    </row>
  </sheetData>
  <sheetProtection algorithmName="SHA-512" hashValue="wvJ9xUF7cl31vUh06mFY6w35jD0FphOD0l8irr0Em2njRPsq284kNvrzkmB0anRM8uPIgD5LgxtW7f4+ptVBNw==" saltValue="/cGx3BZ2qIbLVLbVxMUXLw==" spinCount="100000" sheet="1" objects="1" scenarios="1" formatCells="0" formatColumns="0" formatRows="0" insertColumns="0" insertRows="0" insertHyperlinks="0" deleteColumns="0" deleteRows="0" selectLockedCells="1" sort="0" autoFilter="0" pivotTables="0"/>
  <mergeCells count="3">
    <mergeCell ref="F10:AD34"/>
    <mergeCell ref="B49:AH49"/>
    <mergeCell ref="B48:AH48"/>
  </mergeCells>
  <phoneticPr fontId="3"/>
  <pageMargins left="0.7" right="0.7" top="0.75" bottom="0.75" header="0.3" footer="0.3"/>
  <pageSetup paperSize="9" orientation="portrait" r:id="rId1"/>
  <ignoredErrors>
    <ignoredError sqref="F7:AD7 C10:C34 F37:AD37 AG10:AG34" unlockedFormula="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16</vt:i4>
      </vt:variant>
    </vt:vector>
  </HeadingPairs>
  <TitlesOfParts>
    <vt:vector size="16" baseType="lpstr">
      <vt:lpstr>PF176</vt:lpstr>
      <vt:lpstr>PCH176</vt:lpstr>
      <vt:lpstr>PA176</vt:lpstr>
      <vt:lpstr>PF144</vt:lpstr>
      <vt:lpstr>PCH144</vt:lpstr>
      <vt:lpstr>PA144</vt:lpstr>
      <vt:lpstr>PF100</vt:lpstr>
      <vt:lpstr>PCH100</vt:lpstr>
      <vt:lpstr>PA100</vt:lpstr>
      <vt:lpstr>PF80</vt:lpstr>
      <vt:lpstr>PCH80</vt:lpstr>
      <vt:lpstr>PA80</vt:lpstr>
      <vt:lpstr>PF64</vt:lpstr>
      <vt:lpstr>PCH64</vt:lpstr>
      <vt:lpstr>PA64</vt:lpstr>
      <vt:lpstr>History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2022-12-13T08:29:59Z</dcterms:modified>
</cp:coreProperties>
</file>